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bookViews>
    <workbookView xWindow="5235" yWindow="345" windowWidth="14415" windowHeight="12435" tabRatio="714"/>
  </bookViews>
  <sheets>
    <sheet name="New Table 164" sheetId="22" r:id="rId1"/>
    <sheet name="Old Table 164" sheetId="34" r:id="rId2"/>
    <sheet name="New Tables 165-167" sheetId="21" r:id="rId3"/>
    <sheet name="Old Tables 165-167" sheetId="33" r:id="rId4"/>
    <sheet name="New Tables 168-184" sheetId="23" r:id="rId5"/>
    <sheet name="Old Tables 168-184" sheetId="32" r:id="rId6"/>
    <sheet name="$ Pivot Table" sheetId="26" r:id="rId7"/>
    <sheet name=" Benefits Data" sheetId="9" r:id="rId8"/>
    <sheet name="11a Benefits Descriptions A" sheetId="30" r:id="rId9"/>
    <sheet name="11b Benefits Descriptions B" sheetId="31" r:id="rId10"/>
    <sheet name="Pivot format" sheetId="29" r:id="rId11"/>
    <sheet name="Sheet1" sheetId="36" r:id="rId12"/>
  </sheets>
  <externalReferences>
    <externalReference r:id="rId13"/>
    <externalReference r:id="rId14"/>
    <externalReference r:id="rId15"/>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xlnm._FilterDatabase" localSheetId="8" hidden="1">'11a Benefits Descriptions A'!$A$4:$E$4</definedName>
    <definedName name="_xlnm._FilterDatabase" localSheetId="9" hidden="1">'11b Benefits Descriptions B'!$B$4:$F$4</definedName>
    <definedName name="_Order1" hidden="1">255</definedName>
    <definedName name="APPHEAD" localSheetId="1">#REF!</definedName>
    <definedName name="APPHEAD" localSheetId="3">#REF!</definedName>
    <definedName name="APPHEAD" localSheetId="5">#REF!</definedName>
    <definedName name="APPHEAD">#REF!</definedName>
    <definedName name="CHART">'[1]Surveys In'!$A$1:$U$38</definedName>
    <definedName name="CHHEAD" localSheetId="1">#REF!</definedName>
    <definedName name="CHHEAD" localSheetId="3">#REF!</definedName>
    <definedName name="CHHEAD" localSheetId="5">#REF!</definedName>
    <definedName name="CHHEAD">#REF!</definedName>
    <definedName name="MEMO">'[1]Surveys In'!$A$1:$U$41</definedName>
    <definedName name="N">'[1]Surveys In'!$I$38</definedName>
    <definedName name="NEWYEAR" localSheetId="1">#REF!</definedName>
    <definedName name="NEWYEAR" localSheetId="3">#REF!</definedName>
    <definedName name="NEWYEAR" localSheetId="5">#REF!</definedName>
    <definedName name="NEWYEAR">#REF!</definedName>
    <definedName name="OLE_LINK1" localSheetId="9">'11b Benefits Descriptions B'!#REF!</definedName>
    <definedName name="PAGE_17" localSheetId="1">#REF!</definedName>
    <definedName name="PAGE_17" localSheetId="3">#REF!</definedName>
    <definedName name="PAGE_17" localSheetId="5">#REF!</definedName>
    <definedName name="PAGE_17">#REF!</definedName>
    <definedName name="PAGE1" localSheetId="1">#REF!</definedName>
    <definedName name="PAGE1" localSheetId="3">#REF!</definedName>
    <definedName name="PAGE1" localSheetId="5">#REF!</definedName>
    <definedName name="PAGE1">#REF!</definedName>
    <definedName name="PAGE10" localSheetId="1">#REF!</definedName>
    <definedName name="PAGE10" localSheetId="3">#REF!</definedName>
    <definedName name="PAGE10" localSheetId="5">#REF!</definedName>
    <definedName name="PAGE10">#REF!</definedName>
    <definedName name="PAGE11" localSheetId="1">#REF!</definedName>
    <definedName name="PAGE11" localSheetId="3">#REF!</definedName>
    <definedName name="PAGE11" localSheetId="5">#REF!</definedName>
    <definedName name="PAGE11">#REF!</definedName>
    <definedName name="PAGE12" localSheetId="1">#REF!</definedName>
    <definedName name="PAGE12" localSheetId="3">#REF!</definedName>
    <definedName name="PAGE12" localSheetId="5">#REF!</definedName>
    <definedName name="PAGE12">#REF!</definedName>
    <definedName name="PAGE13" localSheetId="1">#REF!</definedName>
    <definedName name="PAGE13" localSheetId="3">#REF!</definedName>
    <definedName name="PAGE13" localSheetId="5">#REF!</definedName>
    <definedName name="PAGE13">#REF!</definedName>
    <definedName name="PAGE14" localSheetId="1">#REF!</definedName>
    <definedName name="PAGE14" localSheetId="3">#REF!</definedName>
    <definedName name="PAGE14" localSheetId="5">#REF!</definedName>
    <definedName name="PAGE14">#REF!</definedName>
    <definedName name="PAGE15" localSheetId="1">#REF!</definedName>
    <definedName name="PAGE15" localSheetId="3">#REF!</definedName>
    <definedName name="PAGE15" localSheetId="5">#REF!</definedName>
    <definedName name="PAGE15">#REF!</definedName>
    <definedName name="PAGE16" localSheetId="1">#REF!</definedName>
    <definedName name="PAGE16" localSheetId="3">#REF!</definedName>
    <definedName name="PAGE16" localSheetId="5">#REF!</definedName>
    <definedName name="PAGE16">#REF!</definedName>
    <definedName name="PAGE17" localSheetId="1">#REF!</definedName>
    <definedName name="PAGE17" localSheetId="3">#REF!</definedName>
    <definedName name="PAGE17" localSheetId="5">#REF!</definedName>
    <definedName name="PAGE17">#REF!</definedName>
    <definedName name="PAGE18" localSheetId="1">#REF!</definedName>
    <definedName name="PAGE18" localSheetId="3">#REF!</definedName>
    <definedName name="PAGE18" localSheetId="5">#REF!</definedName>
    <definedName name="PAGE18">#REF!</definedName>
    <definedName name="PAGE19" localSheetId="1">#REF!</definedName>
    <definedName name="PAGE19" localSheetId="3">#REF!</definedName>
    <definedName name="PAGE19" localSheetId="5">#REF!</definedName>
    <definedName name="PAGE19">#REF!</definedName>
    <definedName name="PAGE2" localSheetId="1">#REF!</definedName>
    <definedName name="PAGE2" localSheetId="3">#REF!</definedName>
    <definedName name="PAGE2" localSheetId="5">#REF!</definedName>
    <definedName name="PAGE2">#REF!</definedName>
    <definedName name="PAGE20" localSheetId="1">#REF!</definedName>
    <definedName name="PAGE20" localSheetId="3">#REF!</definedName>
    <definedName name="PAGE20" localSheetId="5">#REF!</definedName>
    <definedName name="PAGE20">#REF!</definedName>
    <definedName name="PAGE3" localSheetId="1">#REF!</definedName>
    <definedName name="PAGE3" localSheetId="3">#REF!</definedName>
    <definedName name="PAGE3" localSheetId="5">#REF!</definedName>
    <definedName name="PAGE3">#REF!</definedName>
    <definedName name="PAGE4" localSheetId="1">#REF!</definedName>
    <definedName name="PAGE4" localSheetId="3">#REF!</definedName>
    <definedName name="PAGE4" localSheetId="5">#REF!</definedName>
    <definedName name="PAGE4">#REF!</definedName>
    <definedName name="PAGE5" localSheetId="1">#REF!</definedName>
    <definedName name="PAGE5" localSheetId="3">#REF!</definedName>
    <definedName name="PAGE5" localSheetId="5">#REF!</definedName>
    <definedName name="PAGE5">#REF!</definedName>
    <definedName name="PAGE6" localSheetId="1">#REF!</definedName>
    <definedName name="PAGE6" localSheetId="3">#REF!</definedName>
    <definedName name="PAGE6" localSheetId="5">#REF!</definedName>
    <definedName name="PAGE6">#REF!</definedName>
    <definedName name="PAGE7" localSheetId="1">#REF!</definedName>
    <definedName name="PAGE7" localSheetId="3">#REF!</definedName>
    <definedName name="PAGE7" localSheetId="5">#REF!</definedName>
    <definedName name="PAGE7">#REF!</definedName>
    <definedName name="PAGE8" localSheetId="1">#REF!</definedName>
    <definedName name="PAGE8" localSheetId="3">#REF!</definedName>
    <definedName name="PAGE8" localSheetId="5">#REF!</definedName>
    <definedName name="PAGE8">#REF!</definedName>
    <definedName name="PAGE9" localSheetId="1">#REF!</definedName>
    <definedName name="PAGE9" localSheetId="3">#REF!</definedName>
    <definedName name="PAGE9" localSheetId="5">#REF!</definedName>
    <definedName name="PAGE9">#REF!</definedName>
    <definedName name="Part_1" localSheetId="1">#REF!</definedName>
    <definedName name="Part_1" localSheetId="3">#REF!</definedName>
    <definedName name="Part_1" localSheetId="5">#REF!</definedName>
    <definedName name="Part_1">#REF!</definedName>
    <definedName name="Part_10" localSheetId="1">#REF!</definedName>
    <definedName name="Part_10" localSheetId="3">#REF!</definedName>
    <definedName name="Part_10" localSheetId="5">#REF!</definedName>
    <definedName name="Part_10">#REF!</definedName>
    <definedName name="Part_11" localSheetId="1">#REF!</definedName>
    <definedName name="Part_11" localSheetId="3">#REF!</definedName>
    <definedName name="Part_11" localSheetId="5">#REF!</definedName>
    <definedName name="Part_11">#REF!</definedName>
    <definedName name="Part_2" localSheetId="1">#REF!</definedName>
    <definedName name="Part_2" localSheetId="3">#REF!</definedName>
    <definedName name="Part_2" localSheetId="5">#REF!</definedName>
    <definedName name="Part_2">#REF!</definedName>
    <definedName name="Part_3" localSheetId="1">#REF!</definedName>
    <definedName name="Part_3" localSheetId="3">#REF!</definedName>
    <definedName name="Part_3" localSheetId="5">#REF!</definedName>
    <definedName name="Part_3">#REF!</definedName>
    <definedName name="Part_4" localSheetId="1">#REF!</definedName>
    <definedName name="Part_4" localSheetId="3">#REF!</definedName>
    <definedName name="Part_4" localSheetId="5">#REF!</definedName>
    <definedName name="Part_4">#REF!</definedName>
    <definedName name="Part_5" localSheetId="1">#REF!</definedName>
    <definedName name="Part_5" localSheetId="3">#REF!</definedName>
    <definedName name="Part_5" localSheetId="5">#REF!</definedName>
    <definedName name="Part_5">#REF!</definedName>
    <definedName name="Part_6" localSheetId="1">#REF!</definedName>
    <definedName name="Part_6" localSheetId="3">#REF!</definedName>
    <definedName name="Part_6" localSheetId="5">#REF!</definedName>
    <definedName name="Part_6">#REF!</definedName>
    <definedName name="Part_7" localSheetId="1">#REF!</definedName>
    <definedName name="Part_7" localSheetId="3">#REF!</definedName>
    <definedName name="Part_7" localSheetId="5">#REF!</definedName>
    <definedName name="Part_7">#REF!</definedName>
    <definedName name="Part_8" localSheetId="1">#REF!</definedName>
    <definedName name="Part_8" localSheetId="3">#REF!</definedName>
    <definedName name="Part_8" localSheetId="5">#REF!</definedName>
    <definedName name="Part_8">#REF!</definedName>
    <definedName name="Part_9" localSheetId="1">#REF!</definedName>
    <definedName name="Part_9" localSheetId="3">#REF!</definedName>
    <definedName name="Part_9" localSheetId="5">#REF!</definedName>
    <definedName name="Part_9">#REF!</definedName>
    <definedName name="PART1" localSheetId="1">#REF!</definedName>
    <definedName name="PART1" localSheetId="3">#REF!</definedName>
    <definedName name="PART1" localSheetId="5">#REF!</definedName>
    <definedName name="PART1">#REF!</definedName>
    <definedName name="PART2" localSheetId="1">#REF!</definedName>
    <definedName name="PART2" localSheetId="3">#REF!</definedName>
    <definedName name="PART2" localSheetId="5">#REF!</definedName>
    <definedName name="PART2">#REF!</definedName>
    <definedName name="PART3" localSheetId="1">#REF!</definedName>
    <definedName name="PART3" localSheetId="3">#REF!</definedName>
    <definedName name="PART3" localSheetId="5">#REF!</definedName>
    <definedName name="PART3">#REF!</definedName>
    <definedName name="PART4A" localSheetId="1">#REF!</definedName>
    <definedName name="PART4A" localSheetId="3">#REF!</definedName>
    <definedName name="PART4A" localSheetId="5">#REF!</definedName>
    <definedName name="PART4A">#REF!</definedName>
    <definedName name="PART4B" localSheetId="1">#REF!</definedName>
    <definedName name="PART4B" localSheetId="3">#REF!</definedName>
    <definedName name="PART4B" localSheetId="5">#REF!</definedName>
    <definedName name="PART4B">#REF!</definedName>
    <definedName name="PART5" localSheetId="1">#REF!</definedName>
    <definedName name="PART5" localSheetId="3">#REF!</definedName>
    <definedName name="PART5" localSheetId="5">#REF!</definedName>
    <definedName name="PART5">#REF!</definedName>
    <definedName name="PART6A" localSheetId="1">#REF!</definedName>
    <definedName name="PART6A" localSheetId="3">#REF!</definedName>
    <definedName name="PART6A" localSheetId="5">#REF!</definedName>
    <definedName name="PART6A">#REF!</definedName>
    <definedName name="PART6B" localSheetId="1">#REF!</definedName>
    <definedName name="PART6B" localSheetId="3">#REF!</definedName>
    <definedName name="PART6B" localSheetId="5">#REF!</definedName>
    <definedName name="PART6B">#REF!</definedName>
    <definedName name="PART6C" localSheetId="1">#REF!</definedName>
    <definedName name="PART6C" localSheetId="3">#REF!</definedName>
    <definedName name="PART6C" localSheetId="5">#REF!</definedName>
    <definedName name="PART6C">#REF!</definedName>
    <definedName name="PART7B" localSheetId="1">#REF!</definedName>
    <definedName name="PART7B" localSheetId="3">#REF!</definedName>
    <definedName name="PART7B" localSheetId="5">#REF!</definedName>
    <definedName name="PART7B">#REF!</definedName>
    <definedName name="PART7C" localSheetId="1">#REF!</definedName>
    <definedName name="PART7C" localSheetId="3">#REF!</definedName>
    <definedName name="PART7C" localSheetId="5">#REF!</definedName>
    <definedName name="PART7C">#REF!</definedName>
    <definedName name="PART8" localSheetId="1">#REF!</definedName>
    <definedName name="PART8" localSheetId="3">#REF!</definedName>
    <definedName name="PART8" localSheetId="5">#REF!</definedName>
    <definedName name="PART8">#REF!</definedName>
    <definedName name="_xlnm.Print_Area" localSheetId="6">'$ Pivot Table'!$C$6:$U$485</definedName>
    <definedName name="_xlnm.Print_Area" localSheetId="8">'11a Benefits Descriptions A'!$A$5:$E$33</definedName>
    <definedName name="_xlnm.Print_Area" localSheetId="9">'11b Benefits Descriptions B'!$A$5:$F$34</definedName>
    <definedName name="_xlnm.Print_Area" localSheetId="0">'New Table 164'!$A$1:$K$29</definedName>
    <definedName name="_xlnm.Print_Area" localSheetId="2">'New Tables 165-167'!$A$1:$O$96</definedName>
    <definedName name="_xlnm.Print_Area" localSheetId="4">'New Tables 168-184'!$A$1:$O$545</definedName>
    <definedName name="_xlnm.Print_Area" localSheetId="1">'Old Table 164'!$A$1:$K$29</definedName>
    <definedName name="_xlnm.Print_Area" localSheetId="3">'Old Tables 165-167'!$A$1:$O$96</definedName>
    <definedName name="_xlnm.Print_Area" localSheetId="5">'Old Tables 168-184'!$A$1:$O$542</definedName>
    <definedName name="_xlnm.Print_Area">#REF!</definedName>
    <definedName name="_xlnm.Print_Titles" localSheetId="7">' Benefits Data'!$A:$E</definedName>
    <definedName name="_xlnm.Print_Titles" localSheetId="6">'$ Pivot Table'!$A:$B,'$ Pivot Table'!$1:$5</definedName>
    <definedName name="_xlnm.Print_Titles" localSheetId="8">'11a Benefits Descriptions A'!$1:$4</definedName>
    <definedName name="_xlnm.Print_Titles" localSheetId="9">'11b Benefits Descriptions B'!$1:$4</definedName>
    <definedName name="R_">'[1]Surveys In'!$D$38</definedName>
    <definedName name="RATIONALE" localSheetId="1">#REF!</definedName>
    <definedName name="RATIONALE" localSheetId="3">#REF!</definedName>
    <definedName name="RATIONALE" localSheetId="5">#REF!</definedName>
    <definedName name="RATIONALE">#REF!</definedName>
    <definedName name="RATIONALE2" localSheetId="1">#REF!</definedName>
    <definedName name="RATIONALE2" localSheetId="3">#REF!</definedName>
    <definedName name="RATIONALE2" localSheetId="5">#REF!</definedName>
    <definedName name="RATIONALE2">#REF!</definedName>
    <definedName name="RNG_DATA_A">'[1]Surveys In'!$AA$10:$AC$10</definedName>
    <definedName name="RNG_LABEL_Y">'[1]Surveys In'!$V$9</definedName>
    <definedName name="SALHEAD" localSheetId="1">#REF!</definedName>
    <definedName name="SALHEAD" localSheetId="3">#REF!</definedName>
    <definedName name="SALHEAD" localSheetId="5">#REF!</definedName>
    <definedName name="SALHEAD">#REF!</definedName>
  </definedNames>
  <calcPr calcId="125725"/>
  <pivotCaches>
    <pivotCache cacheId="13" r:id="rId16"/>
  </pivotCaches>
</workbook>
</file>

<file path=xl/calcChain.xml><?xml version="1.0" encoding="utf-8"?>
<calcChain xmlns="http://schemas.openxmlformats.org/spreadsheetml/2006/main">
  <c r="B539" i="32"/>
  <c r="B538"/>
  <c r="B537"/>
  <c r="B536"/>
  <c r="B535"/>
  <c r="B534"/>
  <c r="B533"/>
  <c r="B532"/>
  <c r="B531"/>
  <c r="B530"/>
  <c r="B529"/>
  <c r="B528"/>
  <c r="B527"/>
  <c r="B526"/>
  <c r="B525"/>
  <c r="B524"/>
  <c r="B523"/>
  <c r="B522"/>
  <c r="B521"/>
  <c r="B519"/>
  <c r="B507"/>
  <c r="B506"/>
  <c r="B505"/>
  <c r="B504"/>
  <c r="B503"/>
  <c r="B502"/>
  <c r="B501"/>
  <c r="B500"/>
  <c r="B499"/>
  <c r="B498"/>
  <c r="B497"/>
  <c r="B496"/>
  <c r="B495"/>
  <c r="B494"/>
  <c r="B493"/>
  <c r="B492"/>
  <c r="B491"/>
  <c r="B490"/>
  <c r="B489"/>
  <c r="B487"/>
  <c r="B475"/>
  <c r="B474"/>
  <c r="B473"/>
  <c r="B472"/>
  <c r="B471"/>
  <c r="B470"/>
  <c r="B469"/>
  <c r="B468"/>
  <c r="B467"/>
  <c r="B466"/>
  <c r="B465"/>
  <c r="B464"/>
  <c r="B463"/>
  <c r="B462"/>
  <c r="B461"/>
  <c r="B460"/>
  <c r="B459"/>
  <c r="B458"/>
  <c r="B457"/>
  <c r="B455"/>
  <c r="B443"/>
  <c r="B442"/>
  <c r="B441"/>
  <c r="B440"/>
  <c r="B439"/>
  <c r="B438"/>
  <c r="B437"/>
  <c r="B436"/>
  <c r="B435"/>
  <c r="B434"/>
  <c r="B433"/>
  <c r="B432"/>
  <c r="B431"/>
  <c r="B430"/>
  <c r="B429"/>
  <c r="B428"/>
  <c r="B426"/>
  <c r="B382"/>
  <c r="B381"/>
  <c r="B380"/>
  <c r="B379"/>
  <c r="B378"/>
  <c r="B377"/>
  <c r="B376"/>
  <c r="B375"/>
  <c r="B374"/>
  <c r="B373"/>
  <c r="B372"/>
  <c r="B371"/>
  <c r="B370"/>
  <c r="B369"/>
  <c r="B368"/>
  <c r="B367"/>
  <c r="B366"/>
  <c r="B365"/>
  <c r="B364"/>
  <c r="B362"/>
  <c r="B350"/>
  <c r="B349"/>
  <c r="B348"/>
  <c r="B347"/>
  <c r="B346"/>
  <c r="B345"/>
  <c r="B344"/>
  <c r="B343"/>
  <c r="B342"/>
  <c r="B341"/>
  <c r="B340"/>
  <c r="B339"/>
  <c r="B338"/>
  <c r="B337"/>
  <c r="B336"/>
  <c r="B335"/>
  <c r="B334"/>
  <c r="B333"/>
  <c r="B332"/>
  <c r="B330"/>
  <c r="B318"/>
  <c r="B317"/>
  <c r="B316"/>
  <c r="B315"/>
  <c r="B314"/>
  <c r="B313"/>
  <c r="B312"/>
  <c r="B311"/>
  <c r="B310"/>
  <c r="B309"/>
  <c r="B308"/>
  <c r="B307"/>
  <c r="B306"/>
  <c r="B305"/>
  <c r="B304"/>
  <c r="B303"/>
  <c r="B302"/>
  <c r="B301"/>
  <c r="B300"/>
  <c r="B298"/>
  <c r="B287"/>
  <c r="B286"/>
  <c r="B285"/>
  <c r="B284"/>
  <c r="B283"/>
  <c r="B282"/>
  <c r="B281"/>
  <c r="B280"/>
  <c r="B279"/>
  <c r="B278"/>
  <c r="B277"/>
  <c r="B276"/>
  <c r="B275"/>
  <c r="B274"/>
  <c r="B273"/>
  <c r="B272"/>
  <c r="B271"/>
  <c r="B270"/>
  <c r="B269"/>
  <c r="B267"/>
  <c r="B254"/>
  <c r="B253"/>
  <c r="B252"/>
  <c r="B251"/>
  <c r="B250"/>
  <c r="B249"/>
  <c r="B248"/>
  <c r="B247"/>
  <c r="B246"/>
  <c r="B245"/>
  <c r="B244"/>
  <c r="B243"/>
  <c r="B242"/>
  <c r="B241"/>
  <c r="B240"/>
  <c r="B239"/>
  <c r="B238"/>
  <c r="B237"/>
  <c r="B236"/>
  <c r="B234"/>
  <c r="B223"/>
  <c r="B222"/>
  <c r="B221"/>
  <c r="B220"/>
  <c r="B219"/>
  <c r="B218"/>
  <c r="B217"/>
  <c r="B216"/>
  <c r="B215"/>
  <c r="B214"/>
  <c r="B213"/>
  <c r="B212"/>
  <c r="B211"/>
  <c r="B210"/>
  <c r="B209"/>
  <c r="B208"/>
  <c r="B207"/>
  <c r="B206"/>
  <c r="B205"/>
  <c r="B203"/>
  <c r="B191"/>
  <c r="B190"/>
  <c r="B189"/>
  <c r="B188"/>
  <c r="B187"/>
  <c r="B186"/>
  <c r="B185"/>
  <c r="B184"/>
  <c r="B183"/>
  <c r="B182"/>
  <c r="B181"/>
  <c r="B180"/>
  <c r="B179"/>
  <c r="B178"/>
  <c r="B177"/>
  <c r="B176"/>
  <c r="B175"/>
  <c r="B174"/>
  <c r="B173"/>
  <c r="B171"/>
  <c r="B158"/>
  <c r="B157"/>
  <c r="B156"/>
  <c r="B155"/>
  <c r="B154"/>
  <c r="B153"/>
  <c r="B152"/>
  <c r="B151"/>
  <c r="B150"/>
  <c r="B149"/>
  <c r="B148"/>
  <c r="B147"/>
  <c r="B146"/>
  <c r="B145"/>
  <c r="B144"/>
  <c r="B143"/>
  <c r="B142"/>
  <c r="B141"/>
  <c r="B140"/>
  <c r="B138"/>
  <c r="B126"/>
  <c r="B125"/>
  <c r="B124"/>
  <c r="B123"/>
  <c r="B122"/>
  <c r="B121"/>
  <c r="B120"/>
  <c r="B119"/>
  <c r="B118"/>
  <c r="B117"/>
  <c r="B116"/>
  <c r="B115"/>
  <c r="B114"/>
  <c r="B113"/>
  <c r="B112"/>
  <c r="B111"/>
  <c r="B110"/>
  <c r="B109"/>
  <c r="B108"/>
  <c r="B106"/>
  <c r="B94"/>
  <c r="B93"/>
  <c r="B92"/>
  <c r="B91"/>
  <c r="B90"/>
  <c r="B89"/>
  <c r="B88"/>
  <c r="B87"/>
  <c r="B86"/>
  <c r="B85"/>
  <c r="B84"/>
  <c r="B83"/>
  <c r="B82"/>
  <c r="B81"/>
  <c r="B80"/>
  <c r="B79"/>
  <c r="B78"/>
  <c r="B77"/>
  <c r="B76"/>
  <c r="B74"/>
  <c r="B62"/>
  <c r="B61"/>
  <c r="B60"/>
  <c r="B59"/>
  <c r="B58"/>
  <c r="B57"/>
  <c r="B56"/>
  <c r="B55"/>
  <c r="B54"/>
  <c r="B53"/>
  <c r="B52"/>
  <c r="B51"/>
  <c r="B50"/>
  <c r="B49"/>
  <c r="B48"/>
  <c r="B47"/>
  <c r="B46"/>
  <c r="B45"/>
  <c r="B44"/>
  <c r="B42"/>
  <c r="B29"/>
  <c r="B28"/>
  <c r="B27"/>
  <c r="B26"/>
  <c r="B25"/>
  <c r="B24"/>
  <c r="B23"/>
  <c r="B22"/>
  <c r="B21"/>
  <c r="B20"/>
  <c r="B19"/>
  <c r="B18"/>
  <c r="B17"/>
  <c r="B16"/>
  <c r="B15"/>
  <c r="B14"/>
  <c r="B13"/>
  <c r="B12"/>
  <c r="B11"/>
  <c r="B9"/>
  <c r="B542" i="23"/>
  <c r="B541"/>
  <c r="B540"/>
  <c r="B539"/>
  <c r="B538"/>
  <c r="B537"/>
  <c r="B536"/>
  <c r="B535"/>
  <c r="B534"/>
  <c r="B533"/>
  <c r="B532"/>
  <c r="B531"/>
  <c r="B530"/>
  <c r="B529"/>
  <c r="B528"/>
  <c r="B527"/>
  <c r="B526"/>
  <c r="B525"/>
  <c r="B524"/>
  <c r="B522"/>
  <c r="B510"/>
  <c r="B509"/>
  <c r="B508"/>
  <c r="B507"/>
  <c r="B506"/>
  <c r="B505"/>
  <c r="B504"/>
  <c r="B503"/>
  <c r="B502"/>
  <c r="B501"/>
  <c r="B500"/>
  <c r="B499"/>
  <c r="B498"/>
  <c r="B497"/>
  <c r="B496"/>
  <c r="B495"/>
  <c r="B494"/>
  <c r="B493"/>
  <c r="B492"/>
  <c r="B490"/>
  <c r="B478"/>
  <c r="B477"/>
  <c r="B476"/>
  <c r="B475"/>
  <c r="B474"/>
  <c r="B473"/>
  <c r="B472"/>
  <c r="B471"/>
  <c r="B470"/>
  <c r="B469"/>
  <c r="B468"/>
  <c r="B467"/>
  <c r="B466"/>
  <c r="B465"/>
  <c r="B464"/>
  <c r="B463"/>
  <c r="B462"/>
  <c r="B461"/>
  <c r="B460"/>
  <c r="B458"/>
  <c r="B446"/>
  <c r="B445"/>
  <c r="B444"/>
  <c r="B443"/>
  <c r="B442"/>
  <c r="B441"/>
  <c r="B440"/>
  <c r="B439"/>
  <c r="B438"/>
  <c r="B437"/>
  <c r="B436"/>
  <c r="B435"/>
  <c r="B434"/>
  <c r="B433"/>
  <c r="B432"/>
  <c r="B431"/>
  <c r="B430"/>
  <c r="B429"/>
  <c r="B428"/>
  <c r="B426"/>
  <c r="Q446"/>
  <c r="Q445"/>
  <c r="Q444"/>
  <c r="Q443"/>
  <c r="Q442"/>
  <c r="Q441"/>
  <c r="Q440"/>
  <c r="Q439"/>
  <c r="Q438"/>
  <c r="Q437"/>
  <c r="Q436"/>
  <c r="Q435"/>
  <c r="Q434"/>
  <c r="Q433"/>
  <c r="Q432"/>
  <c r="Q431"/>
  <c r="Q430"/>
  <c r="Q429"/>
  <c r="Q428"/>
  <c r="Q426"/>
  <c r="B382"/>
  <c r="B381"/>
  <c r="B380"/>
  <c r="B379"/>
  <c r="B378"/>
  <c r="B377"/>
  <c r="B376"/>
  <c r="B375"/>
  <c r="B374"/>
  <c r="B373"/>
  <c r="B372"/>
  <c r="B371"/>
  <c r="B370"/>
  <c r="B369"/>
  <c r="B368"/>
  <c r="B367"/>
  <c r="B366"/>
  <c r="B365"/>
  <c r="B364"/>
  <c r="B362"/>
  <c r="B350"/>
  <c r="B349"/>
  <c r="B348"/>
  <c r="B347"/>
  <c r="B346"/>
  <c r="B345"/>
  <c r="B344"/>
  <c r="B343"/>
  <c r="B342"/>
  <c r="B341"/>
  <c r="B340"/>
  <c r="B339"/>
  <c r="B338"/>
  <c r="B337"/>
  <c r="B336"/>
  <c r="B335"/>
  <c r="B334"/>
  <c r="B333"/>
  <c r="B332"/>
  <c r="B330"/>
  <c r="B318"/>
  <c r="B317"/>
  <c r="B316"/>
  <c r="B315"/>
  <c r="B314"/>
  <c r="B313"/>
  <c r="B312"/>
  <c r="B311"/>
  <c r="B310"/>
  <c r="B309"/>
  <c r="B308"/>
  <c r="B307"/>
  <c r="B306"/>
  <c r="B305"/>
  <c r="B304"/>
  <c r="B303"/>
  <c r="B302"/>
  <c r="B301"/>
  <c r="B300"/>
  <c r="B298"/>
  <c r="B287"/>
  <c r="B286"/>
  <c r="B285"/>
  <c r="B284"/>
  <c r="B283"/>
  <c r="B282"/>
  <c r="B281"/>
  <c r="B280"/>
  <c r="B279"/>
  <c r="B278"/>
  <c r="B277"/>
  <c r="B276"/>
  <c r="B275"/>
  <c r="B274"/>
  <c r="B273"/>
  <c r="B272"/>
  <c r="B271"/>
  <c r="B270"/>
  <c r="B269"/>
  <c r="B267"/>
  <c r="Q254"/>
  <c r="Q253"/>
  <c r="Q252"/>
  <c r="Q251"/>
  <c r="Q250"/>
  <c r="Q249"/>
  <c r="Q248"/>
  <c r="Q247"/>
  <c r="Q246"/>
  <c r="Q245"/>
  <c r="Q244"/>
  <c r="Q243"/>
  <c r="Q242"/>
  <c r="Q241"/>
  <c r="Q240"/>
  <c r="Q239"/>
  <c r="Q238"/>
  <c r="Q237"/>
  <c r="Q236"/>
  <c r="Q234"/>
  <c r="B254"/>
  <c r="B253"/>
  <c r="B252"/>
  <c r="B251"/>
  <c r="B250"/>
  <c r="B249"/>
  <c r="B248"/>
  <c r="B247"/>
  <c r="B246"/>
  <c r="B245"/>
  <c r="B244"/>
  <c r="B243"/>
  <c r="B242"/>
  <c r="B241"/>
  <c r="B240"/>
  <c r="B239"/>
  <c r="B238"/>
  <c r="B237"/>
  <c r="B236"/>
  <c r="B234"/>
  <c r="B223"/>
  <c r="B222"/>
  <c r="B221"/>
  <c r="B220"/>
  <c r="B219"/>
  <c r="B218"/>
  <c r="B217"/>
  <c r="B216"/>
  <c r="B215"/>
  <c r="B214"/>
  <c r="B213"/>
  <c r="B212"/>
  <c r="B211"/>
  <c r="B210"/>
  <c r="B209"/>
  <c r="B208"/>
  <c r="B207"/>
  <c r="B206"/>
  <c r="B205"/>
  <c r="B203"/>
  <c r="B191"/>
  <c r="B190"/>
  <c r="B189"/>
  <c r="B188"/>
  <c r="B187"/>
  <c r="B186"/>
  <c r="B185"/>
  <c r="B184"/>
  <c r="B183"/>
  <c r="B182"/>
  <c r="B181"/>
  <c r="B180"/>
  <c r="B179"/>
  <c r="B178"/>
  <c r="B177"/>
  <c r="B176"/>
  <c r="B175"/>
  <c r="B174"/>
  <c r="B173"/>
  <c r="B171"/>
  <c r="B158"/>
  <c r="B157"/>
  <c r="B156"/>
  <c r="B155"/>
  <c r="B154"/>
  <c r="B153"/>
  <c r="B152"/>
  <c r="B151"/>
  <c r="B150"/>
  <c r="B149"/>
  <c r="B148"/>
  <c r="B147"/>
  <c r="B146"/>
  <c r="B145"/>
  <c r="B144"/>
  <c r="B143"/>
  <c r="B142"/>
  <c r="B141"/>
  <c r="B140"/>
  <c r="B138"/>
  <c r="B126"/>
  <c r="B125"/>
  <c r="B124"/>
  <c r="B123"/>
  <c r="B122"/>
  <c r="B121"/>
  <c r="B120"/>
  <c r="B119"/>
  <c r="B118"/>
  <c r="B117"/>
  <c r="B116"/>
  <c r="B115"/>
  <c r="B114"/>
  <c r="B113"/>
  <c r="B112"/>
  <c r="B111"/>
  <c r="B110"/>
  <c r="B109"/>
  <c r="B108"/>
  <c r="B106"/>
  <c r="B94"/>
  <c r="B93"/>
  <c r="B92"/>
  <c r="B91"/>
  <c r="B90"/>
  <c r="B89"/>
  <c r="B88"/>
  <c r="B87"/>
  <c r="B86"/>
  <c r="B85"/>
  <c r="B84"/>
  <c r="B83"/>
  <c r="B82"/>
  <c r="B81"/>
  <c r="B80"/>
  <c r="B79"/>
  <c r="B78"/>
  <c r="B77"/>
  <c r="B76"/>
  <c r="B74"/>
  <c r="B62"/>
  <c r="B61"/>
  <c r="B60"/>
  <c r="B59"/>
  <c r="B58"/>
  <c r="B57"/>
  <c r="B56"/>
  <c r="B55"/>
  <c r="B54"/>
  <c r="B53"/>
  <c r="B52"/>
  <c r="B51"/>
  <c r="B50"/>
  <c r="B49"/>
  <c r="B48"/>
  <c r="B47"/>
  <c r="B46"/>
  <c r="B45"/>
  <c r="B44"/>
  <c r="B42"/>
  <c r="B29"/>
  <c r="B28"/>
  <c r="B27"/>
  <c r="B26"/>
  <c r="B24"/>
  <c r="B23"/>
  <c r="B22"/>
  <c r="B21"/>
  <c r="B19"/>
  <c r="B18"/>
  <c r="B17"/>
  <c r="B16"/>
  <c r="B14"/>
  <c r="B13"/>
  <c r="B12"/>
  <c r="B11"/>
  <c r="B9"/>
  <c r="Q29"/>
  <c r="Q28"/>
  <c r="Q27"/>
  <c r="Q26"/>
  <c r="Q24"/>
  <c r="Q23"/>
  <c r="Q22"/>
  <c r="Q21"/>
  <c r="Q19"/>
  <c r="Q18"/>
  <c r="Q17"/>
  <c r="Q16"/>
  <c r="Q14"/>
  <c r="Q13"/>
  <c r="Q12"/>
  <c r="Q11"/>
  <c r="Q9"/>
  <c r="B411" i="32" l="1"/>
  <c r="B406"/>
  <c r="B401"/>
  <c r="B396"/>
  <c r="CD8" i="9"/>
  <c r="CE8"/>
  <c r="CF8"/>
  <c r="CG8"/>
  <c r="CD9"/>
  <c r="CE9"/>
  <c r="CF9"/>
  <c r="CG9"/>
  <c r="CD10"/>
  <c r="CE10"/>
  <c r="CF10"/>
  <c r="CG10"/>
  <c r="CD11"/>
  <c r="CE11"/>
  <c r="CF11"/>
  <c r="CG11"/>
  <c r="CD12"/>
  <c r="CE12"/>
  <c r="CF12"/>
  <c r="CG12"/>
  <c r="CD13"/>
  <c r="CE13"/>
  <c r="CF13"/>
  <c r="CG13"/>
  <c r="CD14"/>
  <c r="CE14"/>
  <c r="CF14"/>
  <c r="CG14"/>
  <c r="CD15"/>
  <c r="CE15"/>
  <c r="CF15"/>
  <c r="CG15"/>
  <c r="CD16"/>
  <c r="CE16"/>
  <c r="CF16"/>
  <c r="CG16"/>
  <c r="CD17"/>
  <c r="CE17"/>
  <c r="CF17"/>
  <c r="CG17"/>
  <c r="CD18"/>
  <c r="CE18"/>
  <c r="CF18"/>
  <c r="CG18"/>
  <c r="CD19"/>
  <c r="CE19"/>
  <c r="CF19"/>
  <c r="CG19"/>
  <c r="CD20"/>
  <c r="CE20"/>
  <c r="CF20"/>
  <c r="CG20"/>
  <c r="CD21"/>
  <c r="CE21"/>
  <c r="CF21"/>
  <c r="CG21"/>
  <c r="CD22"/>
  <c r="CE22"/>
  <c r="CF22"/>
  <c r="CG22"/>
  <c r="CD23"/>
  <c r="CE23"/>
  <c r="CF23"/>
  <c r="CG23"/>
  <c r="CD24"/>
  <c r="CE24"/>
  <c r="CF24"/>
  <c r="CG24"/>
  <c r="CD25"/>
  <c r="CE25"/>
  <c r="CF25"/>
  <c r="CG25"/>
  <c r="CD26"/>
  <c r="CE26"/>
  <c r="CF26"/>
  <c r="CG26"/>
  <c r="CD27"/>
  <c r="CE27"/>
  <c r="CF27"/>
  <c r="CG27"/>
  <c r="CD28"/>
  <c r="CE28"/>
  <c r="CF28"/>
  <c r="CG28"/>
  <c r="CD29"/>
  <c r="CE29"/>
  <c r="CF29"/>
  <c r="CG29"/>
  <c r="CD30"/>
  <c r="CE30"/>
  <c r="CF30"/>
  <c r="CG30"/>
  <c r="CD31"/>
  <c r="CE31"/>
  <c r="CF31"/>
  <c r="CG31"/>
  <c r="CD32"/>
  <c r="CE32"/>
  <c r="CF32"/>
  <c r="CG32"/>
  <c r="CD33"/>
  <c r="CE33"/>
  <c r="CF33"/>
  <c r="CG33"/>
  <c r="CD34"/>
  <c r="CE34"/>
  <c r="CF34"/>
  <c r="CG34"/>
  <c r="CD35"/>
  <c r="CE35"/>
  <c r="CF35"/>
  <c r="CG35"/>
  <c r="CD36"/>
  <c r="CE36"/>
  <c r="CF36"/>
  <c r="CG36"/>
  <c r="CD37"/>
  <c r="CE37"/>
  <c r="CF37"/>
  <c r="CG37"/>
  <c r="CD38"/>
  <c r="CE38"/>
  <c r="CF38"/>
  <c r="CG38"/>
  <c r="CD39"/>
  <c r="CE39"/>
  <c r="CF39"/>
  <c r="CG39"/>
  <c r="CD40"/>
  <c r="CE40"/>
  <c r="CF40"/>
  <c r="CG40"/>
  <c r="CD41"/>
  <c r="CE41"/>
  <c r="CF41"/>
  <c r="CG41"/>
  <c r="CD42"/>
  <c r="CE42"/>
  <c r="CF42"/>
  <c r="CG42"/>
  <c r="CD43"/>
  <c r="CE43"/>
  <c r="CF43"/>
  <c r="CG43"/>
  <c r="CD44"/>
  <c r="CE44"/>
  <c r="CF44"/>
  <c r="CG44"/>
  <c r="CD45"/>
  <c r="CE45"/>
  <c r="CF45"/>
  <c r="CG45"/>
  <c r="CD46"/>
  <c r="CE46"/>
  <c r="CF46"/>
  <c r="CG46"/>
  <c r="CD47"/>
  <c r="CE47"/>
  <c r="CF47"/>
  <c r="CG47"/>
  <c r="CD48"/>
  <c r="CE48"/>
  <c r="CF48"/>
  <c r="CG48"/>
  <c r="CD49"/>
  <c r="CE49"/>
  <c r="CF49"/>
  <c r="CG49"/>
  <c r="CD50"/>
  <c r="CE50"/>
  <c r="CF50"/>
  <c r="CG50"/>
  <c r="CD51"/>
  <c r="CE51"/>
  <c r="CF51"/>
  <c r="CG51"/>
  <c r="CD52"/>
  <c r="CE52"/>
  <c r="CF52"/>
  <c r="CG52"/>
  <c r="CD53"/>
  <c r="CE53"/>
  <c r="CF53"/>
  <c r="CG53"/>
  <c r="CD54"/>
  <c r="CE54"/>
  <c r="CF54"/>
  <c r="CG54"/>
  <c r="CD55"/>
  <c r="CE55"/>
  <c r="CF55"/>
  <c r="CG55"/>
  <c r="CD56"/>
  <c r="CE56"/>
  <c r="CF56"/>
  <c r="CG56"/>
  <c r="CD57"/>
  <c r="CE57"/>
  <c r="CF57"/>
  <c r="CG57"/>
  <c r="CD58"/>
  <c r="CE58"/>
  <c r="CF58"/>
  <c r="CG58"/>
  <c r="CD59"/>
  <c r="CE59"/>
  <c r="CF59"/>
  <c r="CG59"/>
  <c r="CD60"/>
  <c r="CE60"/>
  <c r="CF60"/>
  <c r="CG60"/>
  <c r="CD61"/>
  <c r="CE61"/>
  <c r="CF61"/>
  <c r="CG61"/>
  <c r="CD62"/>
  <c r="CE62"/>
  <c r="CF62"/>
  <c r="CG62"/>
  <c r="CD63"/>
  <c r="CE63"/>
  <c r="CF63"/>
  <c r="CG63"/>
  <c r="CD64"/>
  <c r="CE64"/>
  <c r="CF64"/>
  <c r="CG64"/>
  <c r="CD65"/>
  <c r="CE65"/>
  <c r="CF65"/>
  <c r="CG65"/>
  <c r="CD66"/>
  <c r="CE66"/>
  <c r="CF66"/>
  <c r="CG66"/>
  <c r="CD67"/>
  <c r="CE67"/>
  <c r="CF67"/>
  <c r="CG67"/>
  <c r="CD68"/>
  <c r="CE68"/>
  <c r="CF68"/>
  <c r="CG68"/>
  <c r="CD69"/>
  <c r="CE69"/>
  <c r="CF69"/>
  <c r="CG69"/>
  <c r="CD70"/>
  <c r="CE70"/>
  <c r="CF70"/>
  <c r="CG70"/>
  <c r="CD71"/>
  <c r="CE71"/>
  <c r="CF71"/>
  <c r="CG71"/>
  <c r="CD72"/>
  <c r="CE72"/>
  <c r="CF72"/>
  <c r="CG72"/>
  <c r="CD73"/>
  <c r="CE73"/>
  <c r="CF73"/>
  <c r="CG73"/>
  <c r="CD74"/>
  <c r="CE74"/>
  <c r="CF74"/>
  <c r="CG74"/>
  <c r="CD75"/>
  <c r="CE75"/>
  <c r="CF75"/>
  <c r="CG75"/>
  <c r="CD76"/>
  <c r="CE76"/>
  <c r="CF76"/>
  <c r="CG76"/>
  <c r="CD77"/>
  <c r="CE77"/>
  <c r="CF77"/>
  <c r="CG77"/>
  <c r="CD78"/>
  <c r="CE78"/>
  <c r="CF78"/>
  <c r="CG78"/>
  <c r="CD79"/>
  <c r="CE79"/>
  <c r="CF79"/>
  <c r="CG79"/>
  <c r="CD80"/>
  <c r="CE80"/>
  <c r="CF80"/>
  <c r="CG80"/>
  <c r="CD81"/>
  <c r="CE81"/>
  <c r="CF81"/>
  <c r="CG81"/>
  <c r="CD82"/>
  <c r="CE82"/>
  <c r="CF82"/>
  <c r="CG82"/>
  <c r="CD83"/>
  <c r="CE83"/>
  <c r="CF83"/>
  <c r="CG83"/>
  <c r="CD84"/>
  <c r="CE84"/>
  <c r="CF84"/>
  <c r="CG84"/>
  <c r="CD85"/>
  <c r="CE85"/>
  <c r="CF85"/>
  <c r="CG85"/>
  <c r="CD86"/>
  <c r="CE86"/>
  <c r="CF86"/>
  <c r="CG86"/>
  <c r="CD87"/>
  <c r="CE87"/>
  <c r="CF87"/>
  <c r="CG87"/>
  <c r="CD88"/>
  <c r="CE88"/>
  <c r="CF88"/>
  <c r="CG88"/>
  <c r="CD89"/>
  <c r="CE89"/>
  <c r="CF89"/>
  <c r="CG89"/>
  <c r="CD90"/>
  <c r="CE90"/>
  <c r="CF90"/>
  <c r="CG90"/>
  <c r="CD91"/>
  <c r="CE91"/>
  <c r="CF91"/>
  <c r="CG91"/>
  <c r="CD92"/>
  <c r="CE92"/>
  <c r="CF92"/>
  <c r="CG92"/>
  <c r="CD93"/>
  <c r="CE93"/>
  <c r="CF93"/>
  <c r="CG93"/>
  <c r="CD94"/>
  <c r="CE94"/>
  <c r="CF94"/>
  <c r="CG94"/>
  <c r="CD95"/>
  <c r="CE95"/>
  <c r="CF95"/>
  <c r="CG95"/>
  <c r="CD96"/>
  <c r="CE96"/>
  <c r="CF96"/>
  <c r="CG96"/>
  <c r="CD97"/>
  <c r="CE97"/>
  <c r="CF97"/>
  <c r="CG97"/>
  <c r="CD98"/>
  <c r="CE98"/>
  <c r="CF98"/>
  <c r="CG98"/>
  <c r="CD99"/>
  <c r="CE99"/>
  <c r="CF99"/>
  <c r="CG99"/>
  <c r="CD100"/>
  <c r="CE100"/>
  <c r="CF100"/>
  <c r="CG100"/>
  <c r="CD101"/>
  <c r="CE101"/>
  <c r="CF101"/>
  <c r="CG101"/>
  <c r="CD102"/>
  <c r="CE102"/>
  <c r="CF102"/>
  <c r="CG102"/>
  <c r="CD103"/>
  <c r="CE103"/>
  <c r="CF103"/>
  <c r="CG103"/>
  <c r="CD104"/>
  <c r="CE104"/>
  <c r="CF104"/>
  <c r="CG104"/>
  <c r="CD105"/>
  <c r="CE105"/>
  <c r="CF105"/>
  <c r="CG105"/>
  <c r="CD106"/>
  <c r="CE106"/>
  <c r="CF106"/>
  <c r="CG106"/>
  <c r="CD107"/>
  <c r="CE107"/>
  <c r="CF107"/>
  <c r="CG107"/>
  <c r="CD108"/>
  <c r="CE108"/>
  <c r="CF108"/>
  <c r="CG108"/>
  <c r="CD109"/>
  <c r="CE109"/>
  <c r="CF109"/>
  <c r="CG109"/>
  <c r="CD110"/>
  <c r="CE110"/>
  <c r="CF110"/>
  <c r="CG110"/>
  <c r="CD111"/>
  <c r="CE111"/>
  <c r="CF111"/>
  <c r="CG111"/>
  <c r="CD112"/>
  <c r="CE112"/>
  <c r="CF112"/>
  <c r="CG112"/>
  <c r="CD113"/>
  <c r="CE113"/>
  <c r="CF113"/>
  <c r="CG113"/>
  <c r="CD114"/>
  <c r="CE114"/>
  <c r="CF114"/>
  <c r="CG114"/>
  <c r="CD115"/>
  <c r="CE115"/>
  <c r="CF115"/>
  <c r="CG115"/>
  <c r="CD116"/>
  <c r="CE116"/>
  <c r="CF116"/>
  <c r="CG116"/>
  <c r="CD117"/>
  <c r="CE117"/>
  <c r="CF117"/>
  <c r="CG117"/>
  <c r="CD118"/>
  <c r="CE118"/>
  <c r="CF118"/>
  <c r="CG118"/>
  <c r="CD119"/>
  <c r="CE119"/>
  <c r="CF119"/>
  <c r="CG119"/>
  <c r="CD120"/>
  <c r="CE120"/>
  <c r="CF120"/>
  <c r="CG120"/>
  <c r="CD121"/>
  <c r="CE121"/>
  <c r="CF121"/>
  <c r="CG121"/>
  <c r="CD122"/>
  <c r="CF122"/>
  <c r="CD123"/>
  <c r="CF123"/>
  <c r="CD124"/>
  <c r="CF124"/>
  <c r="CD125"/>
  <c r="CF125"/>
  <c r="CD126"/>
  <c r="CF126"/>
  <c r="CD127"/>
  <c r="CF127"/>
  <c r="CD128"/>
  <c r="CF128"/>
  <c r="CD129"/>
  <c r="CF129"/>
  <c r="CD130"/>
  <c r="CF130"/>
  <c r="CD131"/>
  <c r="CF131"/>
  <c r="CD132"/>
  <c r="CF132"/>
  <c r="CD133"/>
  <c r="CF133"/>
  <c r="CD134"/>
  <c r="CF134"/>
  <c r="CD135"/>
  <c r="CF135"/>
  <c r="CD136"/>
  <c r="CF136"/>
  <c r="CD137"/>
  <c r="CF137"/>
  <c r="CD138"/>
  <c r="CF138"/>
  <c r="CD139"/>
  <c r="CF139"/>
  <c r="CD140"/>
  <c r="CF140"/>
  <c r="CD141"/>
  <c r="CF141"/>
  <c r="CD142"/>
  <c r="CF142"/>
  <c r="CD143"/>
  <c r="CF143"/>
  <c r="CD144"/>
  <c r="CF144"/>
  <c r="CD145"/>
  <c r="CF145"/>
  <c r="CD146"/>
  <c r="CF146"/>
  <c r="CD147"/>
  <c r="CF147"/>
  <c r="CD148"/>
  <c r="CF148"/>
  <c r="CD149"/>
  <c r="CF149"/>
  <c r="CD150"/>
  <c r="CF150"/>
  <c r="CD151"/>
  <c r="CF151"/>
  <c r="CD152"/>
  <c r="CE152"/>
  <c r="CF152"/>
  <c r="CD153"/>
  <c r="CF153"/>
  <c r="CD154"/>
  <c r="CF154"/>
  <c r="CD155"/>
  <c r="CE155"/>
  <c r="CF155"/>
  <c r="CG155"/>
  <c r="CD156"/>
  <c r="CE156"/>
  <c r="CF156"/>
  <c r="CG156"/>
  <c r="CD157"/>
  <c r="CE157"/>
  <c r="CF157"/>
  <c r="CG157"/>
  <c r="CD158"/>
  <c r="CE158"/>
  <c r="CF158"/>
  <c r="CG158"/>
  <c r="CD159"/>
  <c r="CE159"/>
  <c r="CF159"/>
  <c r="CG159"/>
  <c r="CD160"/>
  <c r="CE160"/>
  <c r="CF160"/>
  <c r="CG160"/>
  <c r="CD161"/>
  <c r="CE161"/>
  <c r="CF161"/>
  <c r="CG161"/>
  <c r="CD162"/>
  <c r="CE162"/>
  <c r="CF162"/>
  <c r="CG162"/>
  <c r="CD163"/>
  <c r="CE163"/>
  <c r="CF163"/>
  <c r="CG163"/>
  <c r="CF164"/>
  <c r="CG164"/>
  <c r="CD165"/>
  <c r="CE165"/>
  <c r="CF165"/>
  <c r="CG165"/>
  <c r="CD166"/>
  <c r="CE166"/>
  <c r="CF166"/>
  <c r="CG166"/>
  <c r="CD167"/>
  <c r="CE167"/>
  <c r="CF167"/>
  <c r="CG167"/>
  <c r="CD168"/>
  <c r="CE168"/>
  <c r="CF168"/>
  <c r="CG168"/>
  <c r="CD169"/>
  <c r="CE169"/>
  <c r="CF169"/>
  <c r="CG169"/>
  <c r="CD170"/>
  <c r="CE170"/>
  <c r="CF170"/>
  <c r="CG170"/>
  <c r="CD171"/>
  <c r="CE171"/>
  <c r="CF171"/>
  <c r="CG171"/>
  <c r="CD172"/>
  <c r="CE172"/>
  <c r="CF172"/>
  <c r="CG172"/>
  <c r="CD173"/>
  <c r="CE173"/>
  <c r="CF173"/>
  <c r="CG173"/>
  <c r="CD174"/>
  <c r="CE174"/>
  <c r="CF174"/>
  <c r="CG174"/>
  <c r="CD175"/>
  <c r="CE175"/>
  <c r="CF175"/>
  <c r="CG175"/>
  <c r="CD176"/>
  <c r="CE176"/>
  <c r="CF176"/>
  <c r="CG176"/>
  <c r="CF177"/>
  <c r="CG177"/>
  <c r="CD178"/>
  <c r="CE178"/>
  <c r="CF178"/>
  <c r="CG178"/>
  <c r="CD179"/>
  <c r="CE179"/>
  <c r="CF179"/>
  <c r="CG179"/>
  <c r="CD180"/>
  <c r="CE180"/>
  <c r="CF180"/>
  <c r="CG180"/>
  <c r="CD181"/>
  <c r="CE181"/>
  <c r="CF181"/>
  <c r="CG181"/>
  <c r="CD182"/>
  <c r="CE182"/>
  <c r="CF182"/>
  <c r="CG182"/>
  <c r="CD183"/>
  <c r="CE183"/>
  <c r="CF183"/>
  <c r="CG183"/>
  <c r="CD184"/>
  <c r="CE184"/>
  <c r="CF184"/>
  <c r="CG184"/>
  <c r="CD185"/>
  <c r="CE185"/>
  <c r="CD186"/>
  <c r="CE186"/>
  <c r="CF186"/>
  <c r="CG186"/>
  <c r="CD187"/>
  <c r="CE187"/>
  <c r="CF187"/>
  <c r="CG187"/>
  <c r="CD188"/>
  <c r="CE188"/>
  <c r="CF188"/>
  <c r="CD189"/>
  <c r="CE189"/>
  <c r="CF189"/>
  <c r="CD190"/>
  <c r="CE190"/>
  <c r="CD191"/>
  <c r="CE191"/>
  <c r="CF191"/>
  <c r="CD192"/>
  <c r="CE192"/>
  <c r="CF192"/>
  <c r="CD193"/>
  <c r="CE193"/>
  <c r="CF193"/>
  <c r="CD194"/>
  <c r="CE194"/>
  <c r="CF194"/>
  <c r="CD195"/>
  <c r="CE195"/>
  <c r="CF195"/>
  <c r="CD196"/>
  <c r="CE196"/>
  <c r="CF196"/>
  <c r="CD197"/>
  <c r="CE197"/>
  <c r="CD198"/>
  <c r="CE198"/>
  <c r="CF198"/>
  <c r="CD199"/>
  <c r="CE199"/>
  <c r="CD200"/>
  <c r="CE200"/>
  <c r="CD201"/>
  <c r="CE201"/>
  <c r="CF201"/>
  <c r="CG201"/>
  <c r="CD202"/>
  <c r="CE202"/>
  <c r="CF202"/>
  <c r="CD203"/>
  <c r="CE203"/>
  <c r="CF203"/>
  <c r="CD204"/>
  <c r="CE204"/>
  <c r="CD205"/>
  <c r="CE205"/>
  <c r="CF205"/>
  <c r="CG205"/>
  <c r="CD206"/>
  <c r="CE206"/>
  <c r="CF206"/>
  <c r="CG206"/>
  <c r="CD207"/>
  <c r="CE207"/>
  <c r="CF207"/>
  <c r="CG207"/>
  <c r="CD208"/>
  <c r="CE208"/>
  <c r="CF208"/>
  <c r="CG208"/>
  <c r="CD209"/>
  <c r="CE209"/>
  <c r="CF209"/>
  <c r="CG209"/>
  <c r="CD210"/>
  <c r="CE210"/>
  <c r="CF210"/>
  <c r="CG210"/>
  <c r="CD211"/>
  <c r="CE211"/>
  <c r="CF211"/>
  <c r="CG211"/>
  <c r="CD212"/>
  <c r="CE212"/>
  <c r="CF212"/>
  <c r="CG212"/>
  <c r="CD213"/>
  <c r="CE213"/>
  <c r="CF213"/>
  <c r="CG213"/>
  <c r="CD214"/>
  <c r="CE214"/>
  <c r="CF214"/>
  <c r="CG214"/>
  <c r="CD215"/>
  <c r="CE215"/>
  <c r="CF215"/>
  <c r="CG215"/>
  <c r="CD216"/>
  <c r="CE216"/>
  <c r="CF216"/>
  <c r="CG216"/>
  <c r="CD217"/>
  <c r="CE217"/>
  <c r="CF217"/>
  <c r="CG217"/>
  <c r="CD218"/>
  <c r="CE218"/>
  <c r="CF218"/>
  <c r="CG218"/>
  <c r="CD219"/>
  <c r="CE219"/>
  <c r="CF219"/>
  <c r="CG219"/>
  <c r="CD220"/>
  <c r="CE220"/>
  <c r="CF220"/>
  <c r="CG220"/>
  <c r="CD221"/>
  <c r="CE221"/>
  <c r="CF221"/>
  <c r="CG221"/>
  <c r="CD222"/>
  <c r="CE222"/>
  <c r="CF222"/>
  <c r="CG222"/>
  <c r="CD223"/>
  <c r="CE223"/>
  <c r="CF223"/>
  <c r="CG223"/>
  <c r="CD224"/>
  <c r="CE224"/>
  <c r="CF224"/>
  <c r="CG224"/>
  <c r="CD225"/>
  <c r="CE225"/>
  <c r="CF225"/>
  <c r="CG225"/>
  <c r="CD226"/>
  <c r="CE226"/>
  <c r="CF226"/>
  <c r="CG226"/>
  <c r="CD227"/>
  <c r="CE227"/>
  <c r="CF227"/>
  <c r="CG227"/>
  <c r="CD228"/>
  <c r="CE228"/>
  <c r="CF228"/>
  <c r="CG228"/>
  <c r="CD229"/>
  <c r="CE229"/>
  <c r="CF229"/>
  <c r="CG229"/>
  <c r="CD230"/>
  <c r="CE230"/>
  <c r="CF230"/>
  <c r="CG230"/>
  <c r="CD231"/>
  <c r="CE231"/>
  <c r="CF231"/>
  <c r="CG231"/>
  <c r="CD232"/>
  <c r="CE232"/>
  <c r="CF232"/>
  <c r="CG232"/>
  <c r="CD233"/>
  <c r="CE233"/>
  <c r="CF233"/>
  <c r="CG233"/>
  <c r="CD234"/>
  <c r="CE234"/>
  <c r="CF234"/>
  <c r="CG234"/>
  <c r="CD235"/>
  <c r="CE235"/>
  <c r="CF235"/>
  <c r="CG235"/>
  <c r="CD236"/>
  <c r="CE236"/>
  <c r="CF236"/>
  <c r="CG236"/>
  <c r="CD237"/>
  <c r="CE237"/>
  <c r="CF237"/>
  <c r="CG237"/>
  <c r="CD238"/>
  <c r="CE238"/>
  <c r="CF238"/>
  <c r="CG238"/>
  <c r="CD239"/>
  <c r="CE239"/>
  <c r="CF239"/>
  <c r="CG239"/>
  <c r="CD240"/>
  <c r="CE240"/>
  <c r="CF240"/>
  <c r="CG240"/>
  <c r="CD241"/>
  <c r="CE241"/>
  <c r="CF241"/>
  <c r="CG241"/>
  <c r="CD242"/>
  <c r="CE242"/>
  <c r="CF242"/>
  <c r="CG242"/>
  <c r="CD243"/>
  <c r="CE243"/>
  <c r="CF243"/>
  <c r="CG243"/>
  <c r="CD244"/>
  <c r="CE244"/>
  <c r="CF244"/>
  <c r="CG244"/>
  <c r="CD245"/>
  <c r="CE245"/>
  <c r="CF245"/>
  <c r="CG245"/>
  <c r="CD246"/>
  <c r="CE246"/>
  <c r="CF246"/>
  <c r="CG246"/>
  <c r="CD247"/>
  <c r="CE247"/>
  <c r="CF247"/>
  <c r="CG247"/>
  <c r="CD248"/>
  <c r="CE248"/>
  <c r="CF248"/>
  <c r="CG248"/>
  <c r="CD249"/>
  <c r="CE249"/>
  <c r="CF249"/>
  <c r="CG249"/>
  <c r="CD250"/>
  <c r="CE250"/>
  <c r="CF250"/>
  <c r="CG250"/>
  <c r="CD251"/>
  <c r="CE251"/>
  <c r="CF251"/>
  <c r="CG251"/>
  <c r="CD252"/>
  <c r="CE252"/>
  <c r="CF252"/>
  <c r="CG252"/>
  <c r="CD253"/>
  <c r="CE253"/>
  <c r="CF253"/>
  <c r="CG253"/>
  <c r="CD254"/>
  <c r="CE254"/>
  <c r="CF254"/>
  <c r="CG254"/>
  <c r="CD255"/>
  <c r="CE255"/>
  <c r="CF255"/>
  <c r="CG255"/>
  <c r="CD256"/>
  <c r="CE256"/>
  <c r="CF256"/>
  <c r="CG256"/>
  <c r="CD257"/>
  <c r="CE257"/>
  <c r="CF257"/>
  <c r="CG257"/>
  <c r="CD258"/>
  <c r="CE258"/>
  <c r="CF258"/>
  <c r="CG258"/>
  <c r="CD259"/>
  <c r="CE259"/>
  <c r="CF259"/>
  <c r="CG259"/>
  <c r="CD260"/>
  <c r="CE260"/>
  <c r="CF260"/>
  <c r="CG260"/>
  <c r="CD261"/>
  <c r="CE261"/>
  <c r="CF261"/>
  <c r="CG261"/>
  <c r="CD262"/>
  <c r="CE262"/>
  <c r="CF262"/>
  <c r="CG262"/>
  <c r="CD263"/>
  <c r="CE263"/>
  <c r="CF263"/>
  <c r="CG263"/>
  <c r="CD264"/>
  <c r="CE264"/>
  <c r="CF264"/>
  <c r="CG264"/>
  <c r="CD265"/>
  <c r="CE265"/>
  <c r="CF265"/>
  <c r="CG265"/>
  <c r="CD266"/>
  <c r="CE266"/>
  <c r="CF266"/>
  <c r="CG266"/>
  <c r="CD267"/>
  <c r="CE267"/>
  <c r="CF267"/>
  <c r="CG267"/>
  <c r="CD268"/>
  <c r="CE268"/>
  <c r="CF268"/>
  <c r="CG268"/>
  <c r="CD269"/>
  <c r="CE269"/>
  <c r="CF269"/>
  <c r="CG269"/>
  <c r="CD270"/>
  <c r="CE270"/>
  <c r="CF270"/>
  <c r="CG270"/>
  <c r="CD271"/>
  <c r="CE271"/>
  <c r="CF271"/>
  <c r="CG271"/>
  <c r="CD272"/>
  <c r="CE272"/>
  <c r="CF272"/>
  <c r="CG272"/>
  <c r="CD273"/>
  <c r="CE273"/>
  <c r="CF273"/>
  <c r="CG273"/>
  <c r="CD274"/>
  <c r="CE274"/>
  <c r="CF274"/>
  <c r="CG274"/>
  <c r="CD275"/>
  <c r="CE275"/>
  <c r="CF275"/>
  <c r="CG275"/>
  <c r="CD276"/>
  <c r="CE276"/>
  <c r="CF276"/>
  <c r="CG276"/>
  <c r="CD277"/>
  <c r="CE277"/>
  <c r="CF277"/>
  <c r="CG277"/>
  <c r="CD278"/>
  <c r="CE278"/>
  <c r="CF278"/>
  <c r="CG278"/>
  <c r="CD279"/>
  <c r="CE279"/>
  <c r="CF279"/>
  <c r="CG279"/>
  <c r="CD280"/>
  <c r="CE280"/>
  <c r="CF280"/>
  <c r="CG280"/>
  <c r="CD281"/>
  <c r="CE281"/>
  <c r="CF281"/>
  <c r="CG281"/>
  <c r="CD282"/>
  <c r="CE282"/>
  <c r="CF282"/>
  <c r="CG282"/>
  <c r="CD283"/>
  <c r="CE283"/>
  <c r="CG283"/>
  <c r="CD284"/>
  <c r="CE284"/>
  <c r="CF284"/>
  <c r="CG284"/>
  <c r="CD285"/>
  <c r="CE285"/>
  <c r="CF285"/>
  <c r="CG285"/>
  <c r="CD286"/>
  <c r="CE286"/>
  <c r="CF286"/>
  <c r="CG286"/>
  <c r="CD287"/>
  <c r="CE287"/>
  <c r="CF287"/>
  <c r="CG287"/>
  <c r="CD288"/>
  <c r="CE288"/>
  <c r="CF288"/>
  <c r="CG288"/>
  <c r="CD289"/>
  <c r="CE289"/>
  <c r="CF289"/>
  <c r="CG289"/>
  <c r="CD290"/>
  <c r="CE290"/>
  <c r="CF290"/>
  <c r="CG290"/>
  <c r="CD291"/>
  <c r="CE291"/>
  <c r="CF291"/>
  <c r="CG291"/>
  <c r="CD292"/>
  <c r="CE292"/>
  <c r="CF292"/>
  <c r="CG292"/>
  <c r="CD293"/>
  <c r="CE293"/>
  <c r="CF293"/>
  <c r="CG293"/>
  <c r="CD294"/>
  <c r="CE294"/>
  <c r="CF294"/>
  <c r="CG294"/>
  <c r="CD295"/>
  <c r="CE295"/>
  <c r="CF295"/>
  <c r="CG295"/>
  <c r="CD296"/>
  <c r="CE296"/>
  <c r="CF296"/>
  <c r="CG296"/>
  <c r="CD297"/>
  <c r="CE297"/>
  <c r="CF297"/>
  <c r="CG297"/>
  <c r="CD298"/>
  <c r="CE298"/>
  <c r="CF298"/>
  <c r="CG298"/>
  <c r="CD299"/>
  <c r="CE299"/>
  <c r="CF299"/>
  <c r="CG299"/>
  <c r="CD300"/>
  <c r="CE300"/>
  <c r="CF300"/>
  <c r="CG300"/>
  <c r="CD301"/>
  <c r="CE301"/>
  <c r="CF301"/>
  <c r="CG301"/>
  <c r="CD302"/>
  <c r="CE302"/>
  <c r="CF302"/>
  <c r="CG302"/>
  <c r="CD303"/>
  <c r="CE303"/>
  <c r="CF303"/>
  <c r="CG303"/>
  <c r="CD304"/>
  <c r="CE304"/>
  <c r="CF304"/>
  <c r="CG304"/>
  <c r="CD305"/>
  <c r="CE305"/>
  <c r="CF305"/>
  <c r="CG305"/>
  <c r="CD306"/>
  <c r="CE306"/>
  <c r="CF306"/>
  <c r="CG306"/>
  <c r="CD307"/>
  <c r="CE307"/>
  <c r="CF307"/>
  <c r="CG307"/>
  <c r="CD308"/>
  <c r="CE308"/>
  <c r="CF308"/>
  <c r="CG308"/>
  <c r="CD309"/>
  <c r="CE309"/>
  <c r="CF309"/>
  <c r="CG309"/>
  <c r="CD310"/>
  <c r="CE310"/>
  <c r="CF310"/>
  <c r="CG310"/>
  <c r="CD311"/>
  <c r="CE311"/>
  <c r="CF311"/>
  <c r="CG311"/>
  <c r="CD312"/>
  <c r="CE312"/>
  <c r="CF312"/>
  <c r="CG312"/>
  <c r="CD313"/>
  <c r="CE313"/>
  <c r="CF313"/>
  <c r="CG313"/>
  <c r="CD314"/>
  <c r="CE314"/>
  <c r="CF314"/>
  <c r="CG314"/>
  <c r="CD315"/>
  <c r="CE315"/>
  <c r="CF315"/>
  <c r="CG315"/>
  <c r="CD316"/>
  <c r="CE316"/>
  <c r="CF316"/>
  <c r="CG316"/>
  <c r="CD317"/>
  <c r="CE317"/>
  <c r="CF317"/>
  <c r="CG317"/>
  <c r="CD318"/>
  <c r="CE318"/>
  <c r="CF318"/>
  <c r="CG318"/>
  <c r="CD319"/>
  <c r="CE319"/>
  <c r="CF319"/>
  <c r="CG319"/>
  <c r="CD320"/>
  <c r="CE320"/>
  <c r="CF320"/>
  <c r="CG320"/>
  <c r="CD321"/>
  <c r="CE321"/>
  <c r="CF321"/>
  <c r="CG321"/>
  <c r="CD322"/>
  <c r="CE322"/>
  <c r="CF322"/>
  <c r="CG322"/>
  <c r="CD323"/>
  <c r="CE323"/>
  <c r="CF323"/>
  <c r="CG323"/>
  <c r="CD324"/>
  <c r="CE324"/>
  <c r="CF324"/>
  <c r="CG324"/>
  <c r="CD325"/>
  <c r="CE325"/>
  <c r="CF325"/>
  <c r="CG325"/>
  <c r="CD326"/>
  <c r="CE326"/>
  <c r="CF326"/>
  <c r="CG326"/>
  <c r="CD327"/>
  <c r="CE327"/>
  <c r="CF327"/>
  <c r="CG327"/>
  <c r="CD328"/>
  <c r="CE328"/>
  <c r="CF328"/>
  <c r="CG328"/>
  <c r="CD329"/>
  <c r="CE329"/>
  <c r="CF329"/>
  <c r="CG329"/>
  <c r="CD330"/>
  <c r="CE330"/>
  <c r="CF330"/>
  <c r="CG330"/>
  <c r="CD331"/>
  <c r="CE331"/>
  <c r="CF331"/>
  <c r="CG331"/>
  <c r="CD332"/>
  <c r="CE332"/>
  <c r="CF332"/>
  <c r="CG332"/>
  <c r="CD333"/>
  <c r="CE333"/>
  <c r="CF333"/>
  <c r="CG333"/>
  <c r="CD334"/>
  <c r="CE334"/>
  <c r="CF334"/>
  <c r="CG334"/>
  <c r="CD335"/>
  <c r="CE335"/>
  <c r="CF335"/>
  <c r="CG335"/>
  <c r="CD336"/>
  <c r="CE336"/>
  <c r="CF336"/>
  <c r="CG336"/>
  <c r="CD337"/>
  <c r="CE337"/>
  <c r="CF337"/>
  <c r="CG337"/>
  <c r="CD338"/>
  <c r="CE338"/>
  <c r="CF338"/>
  <c r="CG338"/>
  <c r="CD339"/>
  <c r="CE339"/>
  <c r="CF339"/>
  <c r="CG339"/>
  <c r="CD340"/>
  <c r="CE340"/>
  <c r="CF340"/>
  <c r="CG340"/>
  <c r="CD341"/>
  <c r="CE341"/>
  <c r="CF341"/>
  <c r="CG341"/>
  <c r="CD342"/>
  <c r="CE342"/>
  <c r="CF342"/>
  <c r="CG342"/>
  <c r="CD343"/>
  <c r="CE343"/>
  <c r="CF343"/>
  <c r="CG343"/>
  <c r="CD344"/>
  <c r="CE344"/>
  <c r="CF344"/>
  <c r="CG344"/>
  <c r="CD345"/>
  <c r="CE345"/>
  <c r="CF345"/>
  <c r="CG345"/>
  <c r="CD346"/>
  <c r="CE346"/>
  <c r="CF346"/>
  <c r="CG346"/>
  <c r="CD347"/>
  <c r="CE347"/>
  <c r="CF347"/>
  <c r="CG347"/>
  <c r="CD348"/>
  <c r="CE348"/>
  <c r="CF348"/>
  <c r="CG348"/>
  <c r="CD349"/>
  <c r="CE349"/>
  <c r="CF349"/>
  <c r="CG349"/>
  <c r="CD350"/>
  <c r="CE350"/>
  <c r="CF350"/>
  <c r="CG350"/>
  <c r="CD351"/>
  <c r="CE351"/>
  <c r="CF351"/>
  <c r="CG351"/>
  <c r="CD352"/>
  <c r="CE352"/>
  <c r="CF352"/>
  <c r="CG352"/>
  <c r="CD353"/>
  <c r="CE353"/>
  <c r="CF353"/>
  <c r="CG353"/>
  <c r="CD354"/>
  <c r="CE354"/>
  <c r="CF354"/>
  <c r="CG354"/>
  <c r="CD355"/>
  <c r="CE355"/>
  <c r="CF355"/>
  <c r="CG355"/>
  <c r="CD356"/>
  <c r="CE356"/>
  <c r="CF356"/>
  <c r="CG356"/>
  <c r="CD357"/>
  <c r="CE357"/>
  <c r="CF357"/>
  <c r="CG357"/>
  <c r="CD358"/>
  <c r="CE358"/>
  <c r="CF358"/>
  <c r="CG358"/>
  <c r="CD359"/>
  <c r="CE359"/>
  <c r="CF359"/>
  <c r="CG359"/>
  <c r="CD360"/>
  <c r="CE360"/>
  <c r="CF360"/>
  <c r="CG360"/>
  <c r="CD361"/>
  <c r="CE361"/>
  <c r="CF361"/>
  <c r="CD362"/>
  <c r="CE362"/>
  <c r="CF362"/>
  <c r="CD363"/>
  <c r="CE363"/>
  <c r="CF363"/>
  <c r="CD364"/>
  <c r="CE364"/>
  <c r="CF364"/>
  <c r="CG364"/>
  <c r="CD365"/>
  <c r="CE365"/>
  <c r="CF365"/>
  <c r="CD366"/>
  <c r="CE366"/>
  <c r="CF366"/>
  <c r="CD367"/>
  <c r="CE367"/>
  <c r="CF367"/>
  <c r="CD368"/>
  <c r="CE368"/>
  <c r="CF368"/>
  <c r="CD369"/>
  <c r="CE369"/>
  <c r="CF369"/>
  <c r="CD370"/>
  <c r="CE370"/>
  <c r="CF370"/>
  <c r="CD371"/>
  <c r="CE371"/>
  <c r="CF371"/>
  <c r="CD372"/>
  <c r="CE372"/>
  <c r="CF372"/>
  <c r="CD373"/>
  <c r="CE373"/>
  <c r="CF373"/>
  <c r="CD374"/>
  <c r="CE374"/>
  <c r="CF374"/>
  <c r="CD375"/>
  <c r="CE375"/>
  <c r="CF375"/>
  <c r="CG375"/>
  <c r="CD376"/>
  <c r="CE376"/>
  <c r="CF376"/>
  <c r="CD377"/>
  <c r="CE377"/>
  <c r="CF377"/>
  <c r="CD378"/>
  <c r="CE378"/>
  <c r="CF378"/>
  <c r="CD379"/>
  <c r="CE379"/>
  <c r="CF379"/>
  <c r="CD380"/>
  <c r="CE380"/>
  <c r="CF380"/>
  <c r="CD381"/>
  <c r="CE381"/>
  <c r="CF381"/>
  <c r="CD382"/>
  <c r="CE382"/>
  <c r="CF382"/>
  <c r="CG382"/>
  <c r="CD383"/>
  <c r="CE383"/>
  <c r="CF383"/>
  <c r="CD384"/>
  <c r="CE384"/>
  <c r="CF384"/>
  <c r="CD385"/>
  <c r="CE385"/>
  <c r="CF385"/>
  <c r="CD386"/>
  <c r="CE386"/>
  <c r="CF386"/>
  <c r="CD387"/>
  <c r="CE387"/>
  <c r="CF387"/>
  <c r="CD388"/>
  <c r="CE388"/>
  <c r="CF388"/>
  <c r="CG388"/>
  <c r="CD389"/>
  <c r="CE389"/>
  <c r="CF389"/>
  <c r="CG389"/>
  <c r="CD390"/>
  <c r="CE390"/>
  <c r="CF390"/>
  <c r="CG390"/>
  <c r="CD391"/>
  <c r="CE391"/>
  <c r="CF391"/>
  <c r="CG391"/>
  <c r="CD392"/>
  <c r="CE392"/>
  <c r="CF392"/>
  <c r="CG392"/>
  <c r="CD393"/>
  <c r="CE393"/>
  <c r="CF393"/>
  <c r="CG393"/>
  <c r="CD394"/>
  <c r="CE394"/>
  <c r="CF394"/>
  <c r="CG394"/>
  <c r="CD395"/>
  <c r="CE395"/>
  <c r="CF395"/>
  <c r="CG395"/>
  <c r="CD396"/>
  <c r="CE396"/>
  <c r="CF396"/>
  <c r="CG396"/>
  <c r="CD397"/>
  <c r="CE397"/>
  <c r="CF397"/>
  <c r="CG397"/>
  <c r="CD398"/>
  <c r="CE398"/>
  <c r="CF398"/>
  <c r="CG398"/>
  <c r="CD399"/>
  <c r="CE399"/>
  <c r="CF399"/>
  <c r="CG399"/>
  <c r="CD400"/>
  <c r="CE400"/>
  <c r="CF400"/>
  <c r="CG400"/>
  <c r="CD401"/>
  <c r="CE401"/>
  <c r="CF401"/>
  <c r="CG401"/>
  <c r="CD402"/>
  <c r="CE402"/>
  <c r="CF402"/>
  <c r="CG402"/>
  <c r="CD403"/>
  <c r="CE403"/>
  <c r="CF403"/>
  <c r="CG403"/>
  <c r="CD404"/>
  <c r="CE404"/>
  <c r="CF404"/>
  <c r="CG404"/>
  <c r="CD405"/>
  <c r="CE405"/>
  <c r="CF405"/>
  <c r="CG405"/>
  <c r="CD406"/>
  <c r="CE406"/>
  <c r="CF406"/>
  <c r="CG406"/>
  <c r="CD407"/>
  <c r="CE407"/>
  <c r="CF407"/>
  <c r="CG407"/>
  <c r="CD408"/>
  <c r="CE408"/>
  <c r="CF408"/>
  <c r="CG408"/>
  <c r="CD409"/>
  <c r="CE409"/>
  <c r="CF409"/>
  <c r="CG409"/>
  <c r="CD410"/>
  <c r="CE410"/>
  <c r="CF410"/>
  <c r="CG410"/>
  <c r="CD411"/>
  <c r="CE411"/>
  <c r="CF411"/>
  <c r="CG411"/>
  <c r="CD412"/>
  <c r="CE412"/>
  <c r="CF412"/>
  <c r="CG412"/>
  <c r="CD413"/>
  <c r="CE413"/>
  <c r="CF413"/>
  <c r="CG413"/>
  <c r="CD414"/>
  <c r="CE414"/>
  <c r="CF414"/>
  <c r="CG414"/>
  <c r="CD415"/>
  <c r="CE415"/>
  <c r="CF415"/>
  <c r="CG415"/>
  <c r="CD416"/>
  <c r="CE416"/>
  <c r="CF416"/>
  <c r="CG416"/>
  <c r="CD417"/>
  <c r="CE417"/>
  <c r="CF417"/>
  <c r="CG417"/>
  <c r="CD418"/>
  <c r="CE418"/>
  <c r="CF418"/>
  <c r="CG418"/>
  <c r="CD419"/>
  <c r="CE419"/>
  <c r="CF419"/>
  <c r="CG419"/>
  <c r="CD420"/>
  <c r="CE420"/>
  <c r="CF420"/>
  <c r="CG420"/>
  <c r="CD421"/>
  <c r="CE421"/>
  <c r="CF421"/>
  <c r="CG421"/>
  <c r="CD422"/>
  <c r="CE422"/>
  <c r="CF422"/>
  <c r="CG422"/>
  <c r="CD423"/>
  <c r="CE423"/>
  <c r="CF423"/>
  <c r="CG423"/>
  <c r="CD424"/>
  <c r="CE424"/>
  <c r="CF424"/>
  <c r="CG424"/>
  <c r="CD425"/>
  <c r="CE425"/>
  <c r="CF425"/>
  <c r="CG425"/>
  <c r="CD426"/>
  <c r="CE426"/>
  <c r="CF426"/>
  <c r="CG426"/>
  <c r="CD427"/>
  <c r="CE427"/>
  <c r="CF427"/>
  <c r="CG427"/>
  <c r="CD428"/>
  <c r="CE428"/>
  <c r="CF428"/>
  <c r="CG428"/>
  <c r="CD429"/>
  <c r="CE429"/>
  <c r="CF429"/>
  <c r="CG429"/>
  <c r="CD430"/>
  <c r="CE430"/>
  <c r="CF430"/>
  <c r="CG430"/>
  <c r="CD431"/>
  <c r="CE431"/>
  <c r="CF431"/>
  <c r="CG431"/>
  <c r="CD432"/>
  <c r="CE432"/>
  <c r="CF432"/>
  <c r="CG432"/>
  <c r="CD433"/>
  <c r="CE433"/>
  <c r="CF433"/>
  <c r="CG433"/>
  <c r="CD434"/>
  <c r="CE434"/>
  <c r="CF434"/>
  <c r="CG434"/>
  <c r="CD435"/>
  <c r="CE435"/>
  <c r="CF435"/>
  <c r="CG435"/>
  <c r="CD436"/>
  <c r="CE436"/>
  <c r="CF436"/>
  <c r="CG436"/>
  <c r="CD437"/>
  <c r="CE437"/>
  <c r="CF437"/>
  <c r="CG437"/>
  <c r="CD438"/>
  <c r="CE438"/>
  <c r="CF438"/>
  <c r="CG438"/>
  <c r="CD439"/>
  <c r="CE439"/>
  <c r="CF439"/>
  <c r="CG439"/>
  <c r="CD440"/>
  <c r="CE440"/>
  <c r="CF440"/>
  <c r="CG440"/>
  <c r="CD441"/>
  <c r="CE441"/>
  <c r="CF441"/>
  <c r="CG441"/>
  <c r="CD442"/>
  <c r="CE442"/>
  <c r="CF442"/>
  <c r="CG442"/>
  <c r="CD443"/>
  <c r="CE443"/>
  <c r="CF443"/>
  <c r="CG443"/>
  <c r="CD444"/>
  <c r="CE444"/>
  <c r="CF444"/>
  <c r="CG444"/>
  <c r="CD445"/>
  <c r="CE445"/>
  <c r="CF445"/>
  <c r="CG445"/>
  <c r="CD446"/>
  <c r="CE446"/>
  <c r="CF446"/>
  <c r="CG446"/>
  <c r="CD447"/>
  <c r="CE447"/>
  <c r="CF447"/>
  <c r="CG447"/>
  <c r="CD448"/>
  <c r="CE448"/>
  <c r="CF448"/>
  <c r="CG448"/>
  <c r="CD449"/>
  <c r="CE449"/>
  <c r="CF449"/>
  <c r="CG449"/>
  <c r="CD450"/>
  <c r="CE450"/>
  <c r="CF450"/>
  <c r="CG450"/>
  <c r="CD451"/>
  <c r="CE451"/>
  <c r="CF451"/>
  <c r="CG451"/>
  <c r="CD452"/>
  <c r="CE452"/>
  <c r="CF452"/>
  <c r="CG452"/>
  <c r="CD453"/>
  <c r="CE453"/>
  <c r="CF453"/>
  <c r="CG453"/>
  <c r="CD454"/>
  <c r="CE454"/>
  <c r="CF454"/>
  <c r="CG454"/>
  <c r="CD455"/>
  <c r="CE455"/>
  <c r="CF455"/>
  <c r="CG455"/>
  <c r="CD456"/>
  <c r="CE456"/>
  <c r="CF456"/>
  <c r="CG456"/>
  <c r="CD457"/>
  <c r="CE457"/>
  <c r="CF457"/>
  <c r="CG457"/>
  <c r="CD458"/>
  <c r="CE458"/>
  <c r="CF458"/>
  <c r="CG458"/>
  <c r="CD459"/>
  <c r="CE459"/>
  <c r="CF459"/>
  <c r="CG459"/>
  <c r="CD460"/>
  <c r="CE460"/>
  <c r="CF460"/>
  <c r="CG460"/>
  <c r="CD461"/>
  <c r="CE461"/>
  <c r="CF461"/>
  <c r="CG461"/>
  <c r="CD462"/>
  <c r="CE462"/>
  <c r="CF462"/>
  <c r="CG462"/>
  <c r="CD463"/>
  <c r="CE463"/>
  <c r="CF463"/>
  <c r="CG463"/>
  <c r="CD464"/>
  <c r="CE464"/>
  <c r="CF464"/>
  <c r="CG464"/>
  <c r="CD465"/>
  <c r="CE465"/>
  <c r="CF465"/>
  <c r="CG465"/>
  <c r="CD466"/>
  <c r="CE466"/>
  <c r="CF466"/>
  <c r="CG466"/>
  <c r="CD467"/>
  <c r="CE467"/>
  <c r="CD468"/>
  <c r="CE468"/>
  <c r="CF468"/>
  <c r="CG468"/>
  <c r="CD469"/>
  <c r="CE469"/>
  <c r="CF469"/>
  <c r="CG469"/>
  <c r="CD470"/>
  <c r="CE470"/>
  <c r="CF470"/>
  <c r="CG470"/>
  <c r="CD471"/>
  <c r="CE471"/>
  <c r="CF471"/>
  <c r="CG471"/>
  <c r="CD472"/>
  <c r="CE472"/>
  <c r="CF472"/>
  <c r="CG472"/>
  <c r="CD473"/>
  <c r="CE473"/>
  <c r="CF473"/>
  <c r="CG473"/>
  <c r="CD474"/>
  <c r="CE474"/>
  <c r="CF474"/>
  <c r="CG474"/>
  <c r="CD475"/>
  <c r="CE475"/>
  <c r="CF475"/>
  <c r="CG475"/>
  <c r="CD476"/>
  <c r="CE476"/>
  <c r="CF476"/>
  <c r="CG476"/>
  <c r="CD477"/>
  <c r="CE477"/>
  <c r="CF477"/>
  <c r="CG477"/>
  <c r="CD478"/>
  <c r="CE478"/>
  <c r="CF478"/>
  <c r="CG478"/>
  <c r="CD479"/>
  <c r="CE479"/>
  <c r="CF479"/>
  <c r="CG479"/>
  <c r="CD480"/>
  <c r="CE480"/>
  <c r="CF480"/>
  <c r="CG480"/>
  <c r="CD481"/>
  <c r="CE481"/>
  <c r="CF481"/>
  <c r="CG481"/>
  <c r="CD482"/>
  <c r="CE482"/>
  <c r="CF482"/>
  <c r="CG482"/>
  <c r="CD483"/>
  <c r="CE483"/>
  <c r="CF483"/>
  <c r="CG483"/>
  <c r="CD484"/>
  <c r="CE484"/>
  <c r="CF484"/>
  <c r="CG484"/>
  <c r="CD485"/>
  <c r="CE485"/>
  <c r="CF485"/>
  <c r="CG485"/>
  <c r="CD486"/>
  <c r="CE486"/>
  <c r="CF486"/>
  <c r="CD487"/>
  <c r="CE487"/>
  <c r="CF487"/>
  <c r="CG487"/>
  <c r="CD488"/>
  <c r="CE488"/>
  <c r="CF488"/>
  <c r="CG488"/>
  <c r="CD489"/>
  <c r="CE489"/>
  <c r="CF489"/>
  <c r="CG489"/>
  <c r="CD490"/>
  <c r="CE490"/>
  <c r="CF490"/>
  <c r="CG490"/>
  <c r="CD491"/>
  <c r="CE491"/>
  <c r="CF491"/>
  <c r="CG491"/>
  <c r="CD492"/>
  <c r="CE492"/>
  <c r="CF492"/>
  <c r="CG492"/>
  <c r="CD493"/>
  <c r="CE493"/>
  <c r="CF493"/>
  <c r="CG493"/>
  <c r="CD494"/>
  <c r="CE494"/>
  <c r="CF494"/>
  <c r="CG494"/>
  <c r="CD495"/>
  <c r="CE495"/>
  <c r="CF495"/>
  <c r="CG495"/>
  <c r="CD496"/>
  <c r="CE496"/>
  <c r="CF496"/>
  <c r="CG496"/>
  <c r="CD497"/>
  <c r="CE497"/>
  <c r="CF497"/>
  <c r="CG497"/>
  <c r="CD498"/>
  <c r="CE498"/>
  <c r="CF498"/>
  <c r="CG498"/>
  <c r="CD499"/>
  <c r="CE499"/>
  <c r="CF499"/>
  <c r="CG499"/>
  <c r="CD500"/>
  <c r="CE500"/>
  <c r="CF500"/>
  <c r="CG500"/>
  <c r="CD501"/>
  <c r="CE501"/>
  <c r="CF501"/>
  <c r="CG501"/>
  <c r="CD502"/>
  <c r="CE502"/>
  <c r="CF502"/>
  <c r="CG502"/>
  <c r="CD503"/>
  <c r="CE503"/>
  <c r="CF503"/>
  <c r="CG503"/>
  <c r="CD504"/>
  <c r="CE504"/>
  <c r="CF504"/>
  <c r="CG504"/>
  <c r="CD505"/>
  <c r="CE505"/>
  <c r="CF505"/>
  <c r="CG505"/>
  <c r="CD506"/>
  <c r="CE506"/>
  <c r="CF506"/>
  <c r="CG506"/>
  <c r="CD507"/>
  <c r="CE507"/>
  <c r="CF507"/>
  <c r="CG507"/>
  <c r="CD508"/>
  <c r="CE508"/>
  <c r="CF508"/>
  <c r="CG508"/>
  <c r="CD509"/>
  <c r="CE509"/>
  <c r="CF509"/>
  <c r="CG509"/>
  <c r="CD510"/>
  <c r="CE510"/>
  <c r="CF510"/>
  <c r="CG510"/>
  <c r="CD511"/>
  <c r="CE511"/>
  <c r="CF511"/>
  <c r="CG511"/>
  <c r="CD512"/>
  <c r="CE512"/>
  <c r="CF512"/>
  <c r="CG512"/>
  <c r="CD513"/>
  <c r="CE513"/>
  <c r="CF513"/>
  <c r="CG513"/>
  <c r="CD514"/>
  <c r="CE514"/>
  <c r="CF514"/>
  <c r="CG514"/>
  <c r="CD515"/>
  <c r="CE515"/>
  <c r="CF515"/>
  <c r="CG515"/>
  <c r="CD516"/>
  <c r="CE516"/>
  <c r="CF516"/>
  <c r="CG516"/>
  <c r="CD517"/>
  <c r="CE517"/>
  <c r="CF517"/>
  <c r="CG517"/>
  <c r="CD518"/>
  <c r="CE518"/>
  <c r="CF518"/>
  <c r="CG518"/>
  <c r="CD519"/>
  <c r="CE519"/>
  <c r="CF519"/>
  <c r="CG519"/>
  <c r="CD520"/>
  <c r="CE520"/>
  <c r="CF520"/>
  <c r="CG520"/>
  <c r="CD521"/>
  <c r="CE521"/>
  <c r="CF521"/>
  <c r="CG521"/>
  <c r="CD522"/>
  <c r="CE522"/>
  <c r="CF522"/>
  <c r="CG522"/>
  <c r="CD523"/>
  <c r="CE523"/>
  <c r="CF523"/>
  <c r="CG523"/>
  <c r="CD524"/>
  <c r="CE524"/>
  <c r="CF524"/>
  <c r="CG524"/>
  <c r="CD525"/>
  <c r="CE525"/>
  <c r="CF525"/>
  <c r="CG525"/>
  <c r="CD526"/>
  <c r="CE526"/>
  <c r="CF526"/>
  <c r="CG526"/>
  <c r="CD527"/>
  <c r="CE527"/>
  <c r="CF527"/>
  <c r="CG527"/>
  <c r="CD528"/>
  <c r="CE528"/>
  <c r="CF528"/>
  <c r="CG528"/>
  <c r="CD529"/>
  <c r="CE529"/>
  <c r="CF529"/>
  <c r="CG529"/>
  <c r="CD530"/>
  <c r="CE530"/>
  <c r="CF530"/>
  <c r="CG530"/>
  <c r="CD531"/>
  <c r="CE531"/>
  <c r="CF531"/>
  <c r="CG531"/>
  <c r="CD532"/>
  <c r="CE532"/>
  <c r="CF532"/>
  <c r="CG532"/>
  <c r="CD533"/>
  <c r="CE533"/>
  <c r="CF533"/>
  <c r="CG533"/>
  <c r="CD534"/>
  <c r="CE534"/>
  <c r="CF534"/>
  <c r="CG534"/>
  <c r="CD535"/>
  <c r="CE535"/>
  <c r="CF535"/>
  <c r="CG535"/>
  <c r="CD536"/>
  <c r="CE536"/>
  <c r="CF536"/>
  <c r="CG536"/>
  <c r="CD537"/>
  <c r="CE537"/>
  <c r="CF537"/>
  <c r="CG537"/>
  <c r="CD538"/>
  <c r="CE538"/>
  <c r="CF538"/>
  <c r="CG538"/>
  <c r="CD539"/>
  <c r="CE539"/>
  <c r="CF539"/>
  <c r="CG539"/>
  <c r="CD540"/>
  <c r="CE540"/>
  <c r="CF540"/>
  <c r="CG540"/>
  <c r="CD541"/>
  <c r="CE541"/>
  <c r="CF541"/>
  <c r="CG541"/>
  <c r="CD542"/>
  <c r="CE542"/>
  <c r="CF542"/>
  <c r="CG542"/>
  <c r="CD543"/>
  <c r="CE543"/>
  <c r="CF543"/>
  <c r="CG543"/>
  <c r="CD544"/>
  <c r="CE544"/>
  <c r="CF544"/>
  <c r="CG544"/>
  <c r="CD545"/>
  <c r="CE545"/>
  <c r="CF545"/>
  <c r="CG545"/>
  <c r="CD546"/>
  <c r="CE546"/>
  <c r="CF546"/>
  <c r="CG546"/>
  <c r="CD547"/>
  <c r="CE547"/>
  <c r="CF547"/>
  <c r="CG547"/>
  <c r="CD548"/>
  <c r="CE548"/>
  <c r="CF548"/>
  <c r="CG548"/>
  <c r="CD549"/>
  <c r="CE549"/>
  <c r="CF549"/>
  <c r="CG549"/>
  <c r="CD550"/>
  <c r="CE550"/>
  <c r="CF550"/>
  <c r="CG550"/>
  <c r="CD551"/>
  <c r="CE551"/>
  <c r="CF551"/>
  <c r="CG551"/>
  <c r="CD552"/>
  <c r="CE552"/>
  <c r="CF552"/>
  <c r="CG552"/>
  <c r="CD553"/>
  <c r="CE553"/>
  <c r="CF553"/>
  <c r="CG553"/>
  <c r="CD554"/>
  <c r="CE554"/>
  <c r="CF554"/>
  <c r="CG554"/>
  <c r="CD555"/>
  <c r="CE555"/>
  <c r="CF555"/>
  <c r="CG555"/>
  <c r="CD556"/>
  <c r="CE556"/>
  <c r="CF556"/>
  <c r="CG556"/>
  <c r="CD557"/>
  <c r="CE557"/>
  <c r="CF557"/>
  <c r="CG557"/>
  <c r="CD558"/>
  <c r="CE558"/>
  <c r="CF558"/>
  <c r="CG558"/>
  <c r="CD559"/>
  <c r="CE559"/>
  <c r="CF559"/>
  <c r="CG559"/>
  <c r="CD560"/>
  <c r="CE560"/>
  <c r="CF560"/>
  <c r="CG560"/>
  <c r="CD561"/>
  <c r="CE561"/>
  <c r="CF561"/>
  <c r="CG561"/>
  <c r="CD562"/>
  <c r="CE562"/>
  <c r="CF562"/>
  <c r="CG562"/>
  <c r="CD563"/>
  <c r="CE563"/>
  <c r="CF563"/>
  <c r="CG563"/>
  <c r="CD564"/>
  <c r="CE564"/>
  <c r="CF564"/>
  <c r="CG564"/>
  <c r="CD565"/>
  <c r="CE565"/>
  <c r="CF565"/>
  <c r="CG565"/>
  <c r="CD566"/>
  <c r="CE566"/>
  <c r="CF566"/>
  <c r="CG566"/>
  <c r="CD567"/>
  <c r="CE567"/>
  <c r="CF567"/>
  <c r="CG567"/>
  <c r="CD568"/>
  <c r="CE568"/>
  <c r="CF568"/>
  <c r="CG568"/>
  <c r="CD569"/>
  <c r="CE569"/>
  <c r="CF569"/>
  <c r="CG569"/>
  <c r="CD570"/>
  <c r="CE570"/>
  <c r="CF570"/>
  <c r="CG570"/>
  <c r="CD571"/>
  <c r="CE571"/>
  <c r="CF571"/>
  <c r="CG571"/>
  <c r="CD572"/>
  <c r="CE572"/>
  <c r="CF572"/>
  <c r="CG572"/>
  <c r="CD573"/>
  <c r="CE573"/>
  <c r="CF573"/>
  <c r="CG573"/>
  <c r="CD574"/>
  <c r="CE574"/>
  <c r="CF574"/>
  <c r="CG574"/>
  <c r="CD575"/>
  <c r="CE575"/>
  <c r="CF575"/>
  <c r="CG575"/>
  <c r="CD576"/>
  <c r="CE576"/>
  <c r="CF576"/>
  <c r="CG576"/>
  <c r="CD577"/>
  <c r="CE577"/>
  <c r="CF577"/>
  <c r="CG577"/>
  <c r="CD578"/>
  <c r="CE578"/>
  <c r="CF578"/>
  <c r="CG578"/>
  <c r="CD579"/>
  <c r="CE579"/>
  <c r="CF579"/>
  <c r="CG579"/>
  <c r="CD580"/>
  <c r="CE580"/>
  <c r="CF580"/>
  <c r="CG580"/>
  <c r="CD581"/>
  <c r="CE581"/>
  <c r="CF581"/>
  <c r="CG581"/>
  <c r="CD582"/>
  <c r="CE582"/>
  <c r="CF582"/>
  <c r="CG582"/>
  <c r="CD583"/>
  <c r="CE583"/>
  <c r="CF583"/>
  <c r="CG583"/>
  <c r="CD584"/>
  <c r="CE584"/>
  <c r="CF584"/>
  <c r="CG584"/>
  <c r="CD585"/>
  <c r="CE585"/>
  <c r="CF585"/>
  <c r="CG585"/>
  <c r="CD586"/>
  <c r="CE586"/>
  <c r="CF586"/>
  <c r="CG586"/>
  <c r="CD587"/>
  <c r="CE587"/>
  <c r="CF587"/>
  <c r="CG587"/>
  <c r="CD588"/>
  <c r="CE588"/>
  <c r="CF588"/>
  <c r="CG588"/>
  <c r="CD589"/>
  <c r="CE589"/>
  <c r="CF589"/>
  <c r="CG589"/>
  <c r="CD590"/>
  <c r="CE590"/>
  <c r="CF590"/>
  <c r="CG590"/>
  <c r="CD591"/>
  <c r="CE591"/>
  <c r="CF591"/>
  <c r="CG591"/>
  <c r="CD592"/>
  <c r="CE592"/>
  <c r="CF592"/>
  <c r="CG592"/>
  <c r="CD593"/>
  <c r="CE593"/>
  <c r="CF593"/>
  <c r="CG593"/>
  <c r="CD594"/>
  <c r="CE594"/>
  <c r="CF594"/>
  <c r="CG594"/>
  <c r="CD595"/>
  <c r="CE595"/>
  <c r="CF595"/>
  <c r="CG595"/>
  <c r="CD596"/>
  <c r="CE596"/>
  <c r="CF596"/>
  <c r="CG596"/>
  <c r="CD597"/>
  <c r="CE597"/>
  <c r="CF597"/>
  <c r="CG597"/>
  <c r="CD598"/>
  <c r="CE598"/>
  <c r="CF598"/>
  <c r="CG598"/>
  <c r="CD599"/>
  <c r="CE599"/>
  <c r="CF599"/>
  <c r="CG599"/>
  <c r="CD600"/>
  <c r="CE600"/>
  <c r="CF600"/>
  <c r="CG600"/>
  <c r="CD601"/>
  <c r="CE601"/>
  <c r="CF601"/>
  <c r="CG601"/>
  <c r="CD602"/>
  <c r="CE602"/>
  <c r="CF602"/>
  <c r="CG602"/>
  <c r="CD603"/>
  <c r="CE603"/>
  <c r="CF603"/>
  <c r="CG603"/>
  <c r="CD604"/>
  <c r="CE604"/>
  <c r="CF604"/>
  <c r="CG604"/>
  <c r="CD605"/>
  <c r="CE605"/>
  <c r="CF605"/>
  <c r="CG605"/>
  <c r="CD606"/>
  <c r="CE606"/>
  <c r="CF606"/>
  <c r="CG606"/>
  <c r="CD607"/>
  <c r="CE607"/>
  <c r="CF607"/>
  <c r="CG607"/>
  <c r="CD608"/>
  <c r="CE608"/>
  <c r="CF608"/>
  <c r="CG608"/>
  <c r="CD609"/>
  <c r="CE609"/>
  <c r="CF609"/>
  <c r="CG609"/>
  <c r="CD610"/>
  <c r="CE610"/>
  <c r="CF610"/>
  <c r="CG610"/>
  <c r="CD611"/>
  <c r="CE611"/>
  <c r="CF611"/>
  <c r="CG611"/>
  <c r="CD612"/>
  <c r="CE612"/>
  <c r="CF612"/>
  <c r="CG612"/>
  <c r="CD613"/>
  <c r="CE613"/>
  <c r="CF613"/>
  <c r="CG613"/>
  <c r="CD614"/>
  <c r="CE614"/>
  <c r="CF614"/>
  <c r="CG614"/>
  <c r="CD615"/>
  <c r="CE615"/>
  <c r="CF615"/>
  <c r="CG615"/>
  <c r="CD616"/>
  <c r="CE616"/>
  <c r="CF616"/>
  <c r="CG616"/>
  <c r="CD617"/>
  <c r="CE617"/>
  <c r="CF617"/>
  <c r="CG617"/>
  <c r="CD618"/>
  <c r="CE618"/>
  <c r="CF618"/>
  <c r="CG618"/>
  <c r="CD619"/>
  <c r="CE619"/>
  <c r="CF619"/>
  <c r="CG619"/>
  <c r="CD620"/>
  <c r="CE620"/>
  <c r="CF620"/>
  <c r="CG620"/>
  <c r="CD621"/>
  <c r="CE621"/>
  <c r="CF621"/>
  <c r="CG621"/>
  <c r="CD622"/>
  <c r="CE622"/>
  <c r="CF622"/>
  <c r="CG622"/>
  <c r="CD623"/>
  <c r="CE623"/>
  <c r="CF623"/>
  <c r="CG623"/>
  <c r="CD624"/>
  <c r="CE624"/>
  <c r="CF624"/>
  <c r="CG624"/>
  <c r="CD625"/>
  <c r="CE625"/>
  <c r="CF625"/>
  <c r="CG625"/>
  <c r="CD626"/>
  <c r="CE626"/>
  <c r="CF626"/>
  <c r="CG626"/>
  <c r="CD627"/>
  <c r="CE627"/>
  <c r="CF627"/>
  <c r="CG627"/>
  <c r="CD628"/>
  <c r="CE628"/>
  <c r="CF628"/>
  <c r="CG628"/>
  <c r="CD629"/>
  <c r="CE629"/>
  <c r="CF629"/>
  <c r="CG629"/>
  <c r="CD630"/>
  <c r="CE630"/>
  <c r="CF630"/>
  <c r="CG630"/>
  <c r="CD631"/>
  <c r="CE631"/>
  <c r="CF631"/>
  <c r="CG631"/>
  <c r="CD632"/>
  <c r="CE632"/>
  <c r="CF632"/>
  <c r="CG632"/>
  <c r="CD633"/>
  <c r="CE633"/>
  <c r="CF633"/>
  <c r="CG633"/>
  <c r="CD634"/>
  <c r="CE634"/>
  <c r="CF634"/>
  <c r="CG634"/>
  <c r="CD635"/>
  <c r="CE635"/>
  <c r="CF635"/>
  <c r="CG635"/>
  <c r="CD636"/>
  <c r="CE636"/>
  <c r="CF636"/>
  <c r="CG636"/>
  <c r="CD637"/>
  <c r="CE637"/>
  <c r="CF637"/>
  <c r="CG637"/>
  <c r="CD638"/>
  <c r="CE638"/>
  <c r="CF638"/>
  <c r="CG638"/>
  <c r="CD639"/>
  <c r="CE639"/>
  <c r="CF639"/>
  <c r="CG639"/>
  <c r="CD640"/>
  <c r="CE640"/>
  <c r="CF640"/>
  <c r="CG640"/>
  <c r="CD641"/>
  <c r="CE641"/>
  <c r="CF641"/>
  <c r="CG641"/>
  <c r="CD642"/>
  <c r="CE642"/>
  <c r="CF642"/>
  <c r="CG642"/>
  <c r="CD643"/>
  <c r="CE643"/>
  <c r="CF643"/>
  <c r="CG643"/>
  <c r="CD644"/>
  <c r="CE644"/>
  <c r="CF644"/>
  <c r="CG644"/>
  <c r="CD645"/>
  <c r="CE645"/>
  <c r="CF645"/>
  <c r="CG645"/>
  <c r="CD646"/>
  <c r="CE646"/>
  <c r="CF646"/>
  <c r="CG646"/>
  <c r="CD647"/>
  <c r="CE647"/>
  <c r="CF647"/>
  <c r="CG647"/>
  <c r="CD648"/>
  <c r="CE648"/>
  <c r="CF648"/>
  <c r="CG648"/>
  <c r="CD649"/>
  <c r="CE649"/>
  <c r="CF649"/>
  <c r="CG649"/>
  <c r="CD650"/>
  <c r="CE650"/>
  <c r="CF650"/>
  <c r="CG650"/>
  <c r="CD651"/>
  <c r="CE651"/>
  <c r="CF651"/>
  <c r="CG651"/>
  <c r="CD652"/>
  <c r="CE652"/>
  <c r="CF652"/>
  <c r="CG652"/>
  <c r="CD653"/>
  <c r="CE653"/>
  <c r="CF653"/>
  <c r="CG653"/>
  <c r="CD654"/>
  <c r="CE654"/>
  <c r="CF654"/>
  <c r="CG654"/>
  <c r="CD655"/>
  <c r="CE655"/>
  <c r="CF655"/>
  <c r="CG655"/>
  <c r="CD656"/>
  <c r="CE656"/>
  <c r="CF656"/>
  <c r="CG656"/>
  <c r="CD657"/>
  <c r="CE657"/>
  <c r="CF657"/>
  <c r="CG657"/>
  <c r="CD658"/>
  <c r="CE658"/>
  <c r="CF658"/>
  <c r="CG658"/>
  <c r="CD659"/>
  <c r="CE659"/>
  <c r="CF659"/>
  <c r="CG659"/>
  <c r="CD660"/>
  <c r="CE660"/>
  <c r="CF660"/>
  <c r="CG660"/>
  <c r="CD661"/>
  <c r="CE661"/>
  <c r="CF661"/>
  <c r="CG661"/>
  <c r="CD662"/>
  <c r="CE662"/>
  <c r="CF662"/>
  <c r="CG662"/>
  <c r="CD663"/>
  <c r="CE663"/>
  <c r="CF663"/>
  <c r="CG663"/>
  <c r="CD664"/>
  <c r="CE664"/>
  <c r="CF664"/>
  <c r="CG664"/>
  <c r="CD665"/>
  <c r="CE665"/>
  <c r="CF665"/>
  <c r="CG665"/>
  <c r="CD666"/>
  <c r="CE666"/>
  <c r="CF666"/>
  <c r="CG666"/>
  <c r="CD667"/>
  <c r="CE667"/>
  <c r="CF667"/>
  <c r="CG667"/>
  <c r="CD668"/>
  <c r="CE668"/>
  <c r="CF668"/>
  <c r="CG668"/>
  <c r="CD669"/>
  <c r="CE669"/>
  <c r="CF669"/>
  <c r="CG669"/>
  <c r="CD670"/>
  <c r="CE670"/>
  <c r="CF670"/>
  <c r="CG670"/>
  <c r="CD671"/>
  <c r="CE671"/>
  <c r="CF671"/>
  <c r="CG671"/>
  <c r="CD672"/>
  <c r="CE672"/>
  <c r="CF672"/>
  <c r="CG672"/>
  <c r="CD673"/>
  <c r="CE673"/>
  <c r="CF673"/>
  <c r="CG673"/>
  <c r="CD674"/>
  <c r="CE674"/>
  <c r="CF674"/>
  <c r="CG674"/>
  <c r="CD675"/>
  <c r="CE675"/>
  <c r="CF675"/>
  <c r="CG675"/>
  <c r="CD676"/>
  <c r="CE676"/>
  <c r="CF676"/>
  <c r="CG676"/>
  <c r="CD677"/>
  <c r="CE677"/>
  <c r="CF677"/>
  <c r="CG677"/>
  <c r="CD678"/>
  <c r="CE678"/>
  <c r="CF678"/>
  <c r="CG678"/>
  <c r="CD679"/>
  <c r="CE679"/>
  <c r="CF679"/>
  <c r="CG679"/>
  <c r="CD680"/>
  <c r="CE680"/>
  <c r="CF680"/>
  <c r="CG680"/>
  <c r="CD681"/>
  <c r="CE681"/>
  <c r="CF681"/>
  <c r="CG681"/>
  <c r="AP8"/>
  <c r="AQ8"/>
  <c r="AR8"/>
  <c r="AS8"/>
  <c r="AP9"/>
  <c r="AQ9"/>
  <c r="AR9"/>
  <c r="AS9"/>
  <c r="AP10"/>
  <c r="AQ10"/>
  <c r="AR10"/>
  <c r="AS10"/>
  <c r="AP11"/>
  <c r="AQ11"/>
  <c r="AR11"/>
  <c r="AS11"/>
  <c r="AP12"/>
  <c r="AQ12"/>
  <c r="AR12"/>
  <c r="AS12"/>
  <c r="AP13"/>
  <c r="AQ13"/>
  <c r="AR13"/>
  <c r="AS13"/>
  <c r="AP14"/>
  <c r="AQ14"/>
  <c r="AR14"/>
  <c r="AS14"/>
  <c r="AP15"/>
  <c r="AQ15"/>
  <c r="AR15"/>
  <c r="AS15"/>
  <c r="AP16"/>
  <c r="AQ16"/>
  <c r="AR16"/>
  <c r="AS16"/>
  <c r="AP17"/>
  <c r="AQ17"/>
  <c r="AR17"/>
  <c r="AS17"/>
  <c r="AP18"/>
  <c r="AQ18"/>
  <c r="AR18"/>
  <c r="AS18"/>
  <c r="AP19"/>
  <c r="AQ19"/>
  <c r="AR19"/>
  <c r="AS19"/>
  <c r="AP20"/>
  <c r="AQ20"/>
  <c r="AR20"/>
  <c r="AS20"/>
  <c r="AP21"/>
  <c r="AQ21"/>
  <c r="AR21"/>
  <c r="AS21"/>
  <c r="AP22"/>
  <c r="AQ22"/>
  <c r="AR22"/>
  <c r="AS22"/>
  <c r="AP23"/>
  <c r="AQ23"/>
  <c r="AR23"/>
  <c r="AS23"/>
  <c r="AP24"/>
  <c r="AQ24"/>
  <c r="AR24"/>
  <c r="AS24"/>
  <c r="AP25"/>
  <c r="AQ25"/>
  <c r="AR25"/>
  <c r="AS25"/>
  <c r="AP26"/>
  <c r="AQ26"/>
  <c r="AR26"/>
  <c r="AS26"/>
  <c r="AP27"/>
  <c r="AQ27"/>
  <c r="AR27"/>
  <c r="AS27"/>
  <c r="AP28"/>
  <c r="AQ28"/>
  <c r="AR28"/>
  <c r="AS28"/>
  <c r="AP29"/>
  <c r="AQ29"/>
  <c r="AR29"/>
  <c r="AS29"/>
  <c r="AP30"/>
  <c r="AQ30"/>
  <c r="AR30"/>
  <c r="AS30"/>
  <c r="AP31"/>
  <c r="AQ31"/>
  <c r="AR31"/>
  <c r="AS31"/>
  <c r="AP32"/>
  <c r="AQ32"/>
  <c r="AR32"/>
  <c r="AS32"/>
  <c r="AP33"/>
  <c r="AQ33"/>
  <c r="AR33"/>
  <c r="AS33"/>
  <c r="AP34"/>
  <c r="AQ34"/>
  <c r="AR34"/>
  <c r="AS34"/>
  <c r="AP35"/>
  <c r="AQ35"/>
  <c r="AR35"/>
  <c r="AS35"/>
  <c r="AP36"/>
  <c r="AQ36"/>
  <c r="AR36"/>
  <c r="AS36"/>
  <c r="AP37"/>
  <c r="AQ37"/>
  <c r="AR37"/>
  <c r="AS37"/>
  <c r="AP38"/>
  <c r="AQ38"/>
  <c r="AR38"/>
  <c r="AS38"/>
  <c r="AP39"/>
  <c r="AQ39"/>
  <c r="AR39"/>
  <c r="AS39"/>
  <c r="AP40"/>
  <c r="AQ40"/>
  <c r="AR40"/>
  <c r="AS40"/>
  <c r="AP41"/>
  <c r="AQ41"/>
  <c r="AR41"/>
  <c r="AS41"/>
  <c r="AP42"/>
  <c r="AQ42"/>
  <c r="AR42"/>
  <c r="AS42"/>
  <c r="AP43"/>
  <c r="AQ43"/>
  <c r="AR43"/>
  <c r="AS43"/>
  <c r="AP44"/>
  <c r="AQ44"/>
  <c r="AR44"/>
  <c r="AS44"/>
  <c r="AP45"/>
  <c r="AQ45"/>
  <c r="AR45"/>
  <c r="AS45"/>
  <c r="AP46"/>
  <c r="AQ46"/>
  <c r="AR46"/>
  <c r="AS46"/>
  <c r="AP47"/>
  <c r="AQ47"/>
  <c r="AR47"/>
  <c r="AS47"/>
  <c r="AP48"/>
  <c r="AQ48"/>
  <c r="AR48"/>
  <c r="AS48"/>
  <c r="AP49"/>
  <c r="AQ49"/>
  <c r="AR49"/>
  <c r="AS49"/>
  <c r="AP50"/>
  <c r="AQ50"/>
  <c r="AR50"/>
  <c r="AS50"/>
  <c r="AP51"/>
  <c r="AQ51"/>
  <c r="AR51"/>
  <c r="AS51"/>
  <c r="AP52"/>
  <c r="AQ52"/>
  <c r="AR52"/>
  <c r="AS52"/>
  <c r="AP53"/>
  <c r="AQ53"/>
  <c r="AR53"/>
  <c r="AS53"/>
  <c r="AP54"/>
  <c r="AQ54"/>
  <c r="AR54"/>
  <c r="AS54"/>
  <c r="AP55"/>
  <c r="AQ55"/>
  <c r="AR55"/>
  <c r="AS55"/>
  <c r="AP56"/>
  <c r="AQ56"/>
  <c r="AR56"/>
  <c r="AS56"/>
  <c r="AP57"/>
  <c r="AQ57"/>
  <c r="AR57"/>
  <c r="AS57"/>
  <c r="AP58"/>
  <c r="AQ58"/>
  <c r="AR58"/>
  <c r="AS58"/>
  <c r="AP59"/>
  <c r="AQ59"/>
  <c r="AR59"/>
  <c r="AS59"/>
  <c r="AP60"/>
  <c r="AQ60"/>
  <c r="AR60"/>
  <c r="AS60"/>
  <c r="AP61"/>
  <c r="AQ61"/>
  <c r="AR61"/>
  <c r="AS61"/>
  <c r="AP62"/>
  <c r="AQ62"/>
  <c r="AR62"/>
  <c r="AS62"/>
  <c r="AP63"/>
  <c r="AQ63"/>
  <c r="AR63"/>
  <c r="AS63"/>
  <c r="AP64"/>
  <c r="AQ64"/>
  <c r="AR64"/>
  <c r="AS64"/>
  <c r="AP65"/>
  <c r="AQ65"/>
  <c r="AR65"/>
  <c r="AS65"/>
  <c r="AP66"/>
  <c r="AQ66"/>
  <c r="AR66"/>
  <c r="AS66"/>
  <c r="AP67"/>
  <c r="AQ67"/>
  <c r="AR67"/>
  <c r="AS67"/>
  <c r="AP68"/>
  <c r="AQ68"/>
  <c r="AR68"/>
  <c r="AS68"/>
  <c r="AP69"/>
  <c r="AQ69"/>
  <c r="AR69"/>
  <c r="AS69"/>
  <c r="AP70"/>
  <c r="AQ70"/>
  <c r="AR70"/>
  <c r="AS70"/>
  <c r="AP71"/>
  <c r="AQ71"/>
  <c r="AR71"/>
  <c r="AS71"/>
  <c r="AP72"/>
  <c r="AQ72"/>
  <c r="AR72"/>
  <c r="AS72"/>
  <c r="AP73"/>
  <c r="AQ73"/>
  <c r="AR73"/>
  <c r="AS73"/>
  <c r="AP74"/>
  <c r="AQ74"/>
  <c r="AR74"/>
  <c r="AS74"/>
  <c r="AP75"/>
  <c r="AQ75"/>
  <c r="AR75"/>
  <c r="AS75"/>
  <c r="AP76"/>
  <c r="AQ76"/>
  <c r="AR76"/>
  <c r="AS76"/>
  <c r="AP77"/>
  <c r="AQ77"/>
  <c r="AR77"/>
  <c r="AS77"/>
  <c r="AP78"/>
  <c r="AQ78"/>
  <c r="AR78"/>
  <c r="AS78"/>
  <c r="AP79"/>
  <c r="AQ79"/>
  <c r="AR79"/>
  <c r="AS79"/>
  <c r="AP80"/>
  <c r="AQ80"/>
  <c r="AR80"/>
  <c r="AS80"/>
  <c r="AP81"/>
  <c r="AQ81"/>
  <c r="AR81"/>
  <c r="AS81"/>
  <c r="AP82"/>
  <c r="AQ82"/>
  <c r="AR82"/>
  <c r="AS82"/>
  <c r="AP83"/>
  <c r="AQ83"/>
  <c r="AR83"/>
  <c r="AS83"/>
  <c r="AP84"/>
  <c r="AQ84"/>
  <c r="AR84"/>
  <c r="AS84"/>
  <c r="AP85"/>
  <c r="AQ85"/>
  <c r="AR85"/>
  <c r="AS85"/>
  <c r="AP86"/>
  <c r="AQ86"/>
  <c r="AR86"/>
  <c r="AS86"/>
  <c r="AP87"/>
  <c r="AQ87"/>
  <c r="AR87"/>
  <c r="AS87"/>
  <c r="AP88"/>
  <c r="AQ88"/>
  <c r="AR88"/>
  <c r="AS88"/>
  <c r="AP89"/>
  <c r="AQ89"/>
  <c r="AR89"/>
  <c r="AS89"/>
  <c r="AP90"/>
  <c r="AQ90"/>
  <c r="AR90"/>
  <c r="AS90"/>
  <c r="AP91"/>
  <c r="AQ91"/>
  <c r="AR91"/>
  <c r="AS91"/>
  <c r="AP92"/>
  <c r="AQ92"/>
  <c r="AR92"/>
  <c r="AS92"/>
  <c r="AP93"/>
  <c r="AQ93"/>
  <c r="AR93"/>
  <c r="AS93"/>
  <c r="AP94"/>
  <c r="AQ94"/>
  <c r="AR94"/>
  <c r="AS94"/>
  <c r="AP95"/>
  <c r="AQ95"/>
  <c r="AR95"/>
  <c r="AS95"/>
  <c r="AP96"/>
  <c r="AQ96"/>
  <c r="AR96"/>
  <c r="AS96"/>
  <c r="AP97"/>
  <c r="AQ97"/>
  <c r="AR97"/>
  <c r="AS97"/>
  <c r="AP98"/>
  <c r="AQ98"/>
  <c r="AR98"/>
  <c r="AS98"/>
  <c r="AP99"/>
  <c r="AQ99"/>
  <c r="AR99"/>
  <c r="AS99"/>
  <c r="AP100"/>
  <c r="AQ100"/>
  <c r="AR100"/>
  <c r="AS100"/>
  <c r="AP101"/>
  <c r="AQ101"/>
  <c r="AR101"/>
  <c r="AS101"/>
  <c r="AP102"/>
  <c r="AQ102"/>
  <c r="AR102"/>
  <c r="AS102"/>
  <c r="AP103"/>
  <c r="AQ103"/>
  <c r="AR103"/>
  <c r="AS103"/>
  <c r="AP104"/>
  <c r="AQ104"/>
  <c r="AR104"/>
  <c r="AS104"/>
  <c r="AP105"/>
  <c r="AQ105"/>
  <c r="AR105"/>
  <c r="AS105"/>
  <c r="AP106"/>
  <c r="AQ106"/>
  <c r="AR106"/>
  <c r="AS106"/>
  <c r="AP107"/>
  <c r="AQ107"/>
  <c r="AR107"/>
  <c r="AS107"/>
  <c r="AP108"/>
  <c r="AQ108"/>
  <c r="AR108"/>
  <c r="AS108"/>
  <c r="AP109"/>
  <c r="AQ109"/>
  <c r="AR109"/>
  <c r="AS109"/>
  <c r="AP110"/>
  <c r="AQ110"/>
  <c r="AR110"/>
  <c r="AS110"/>
  <c r="AP111"/>
  <c r="AQ111"/>
  <c r="AR111"/>
  <c r="AS111"/>
  <c r="AP112"/>
  <c r="AQ112"/>
  <c r="AR112"/>
  <c r="AS112"/>
  <c r="AP113"/>
  <c r="AQ113"/>
  <c r="AR113"/>
  <c r="AS113"/>
  <c r="AP114"/>
  <c r="AQ114"/>
  <c r="AR114"/>
  <c r="AS114"/>
  <c r="AP115"/>
  <c r="AQ115"/>
  <c r="AR115"/>
  <c r="AS115"/>
  <c r="AP116"/>
  <c r="AQ116"/>
  <c r="AR116"/>
  <c r="AS116"/>
  <c r="AP117"/>
  <c r="AQ117"/>
  <c r="AR117"/>
  <c r="AS117"/>
  <c r="AP118"/>
  <c r="AQ118"/>
  <c r="AR118"/>
  <c r="AS118"/>
  <c r="AP119"/>
  <c r="AQ119"/>
  <c r="AR119"/>
  <c r="AS119"/>
  <c r="AP120"/>
  <c r="AQ120"/>
  <c r="AR120"/>
  <c r="AS120"/>
  <c r="AP121"/>
  <c r="AQ121"/>
  <c r="AR121"/>
  <c r="AS121"/>
  <c r="AP122"/>
  <c r="AR122"/>
  <c r="AP123"/>
  <c r="AR123"/>
  <c r="AP124"/>
  <c r="AR124"/>
  <c r="AP125"/>
  <c r="AR125"/>
  <c r="AP126"/>
  <c r="AR126"/>
  <c r="AP127"/>
  <c r="AR127"/>
  <c r="AP128"/>
  <c r="AR128"/>
  <c r="AP129"/>
  <c r="AR129"/>
  <c r="AP130"/>
  <c r="AR130"/>
  <c r="AP131"/>
  <c r="AR131"/>
  <c r="AP132"/>
  <c r="AR132"/>
  <c r="AP133"/>
  <c r="AR133"/>
  <c r="AP134"/>
  <c r="AR134"/>
  <c r="AP135"/>
  <c r="AR135"/>
  <c r="AP136"/>
  <c r="AR136"/>
  <c r="AP137"/>
  <c r="AR137"/>
  <c r="AP138"/>
  <c r="AR138"/>
  <c r="AP139"/>
  <c r="AR139"/>
  <c r="AP140"/>
  <c r="AR140"/>
  <c r="AP141"/>
  <c r="AR141"/>
  <c r="AP142"/>
  <c r="AR142"/>
  <c r="AP143"/>
  <c r="AR143"/>
  <c r="AP144"/>
  <c r="AR144"/>
  <c r="AP145"/>
  <c r="AR145"/>
  <c r="AP146"/>
  <c r="AR146"/>
  <c r="AP147"/>
  <c r="AR147"/>
  <c r="AP148"/>
  <c r="AR148"/>
  <c r="AP149"/>
  <c r="AR149"/>
  <c r="AP150"/>
  <c r="AR150"/>
  <c r="AP151"/>
  <c r="AR151"/>
  <c r="AP152"/>
  <c r="AR152"/>
  <c r="AP153"/>
  <c r="AR153"/>
  <c r="AP154"/>
  <c r="AR154"/>
  <c r="AP155"/>
  <c r="AQ155"/>
  <c r="AR155"/>
  <c r="AS155"/>
  <c r="AP156"/>
  <c r="AQ156"/>
  <c r="AR156"/>
  <c r="AS156"/>
  <c r="AP157"/>
  <c r="AQ157"/>
  <c r="AR157"/>
  <c r="AS157"/>
  <c r="AP158"/>
  <c r="AQ158"/>
  <c r="AR158"/>
  <c r="AS158"/>
  <c r="AP159"/>
  <c r="AQ159"/>
  <c r="AR159"/>
  <c r="AS159"/>
  <c r="AP160"/>
  <c r="AQ160"/>
  <c r="AR160"/>
  <c r="AS160"/>
  <c r="AP161"/>
  <c r="AQ161"/>
  <c r="AR161"/>
  <c r="AS161"/>
  <c r="AP162"/>
  <c r="AQ162"/>
  <c r="AR162"/>
  <c r="AS162"/>
  <c r="AP163"/>
  <c r="AQ163"/>
  <c r="AR163"/>
  <c r="AS163"/>
  <c r="AP164"/>
  <c r="AQ164"/>
  <c r="AR164"/>
  <c r="AS164"/>
  <c r="AP165"/>
  <c r="AQ165"/>
  <c r="AR165"/>
  <c r="AS165"/>
  <c r="AP166"/>
  <c r="AQ166"/>
  <c r="AR166"/>
  <c r="AS166"/>
  <c r="AP167"/>
  <c r="AQ167"/>
  <c r="AR167"/>
  <c r="AS167"/>
  <c r="AP168"/>
  <c r="AQ168"/>
  <c r="AR168"/>
  <c r="AS168"/>
  <c r="AP169"/>
  <c r="AQ169"/>
  <c r="AR169"/>
  <c r="AS169"/>
  <c r="AP170"/>
  <c r="AQ170"/>
  <c r="AR170"/>
  <c r="AS170"/>
  <c r="AP171"/>
  <c r="AQ171"/>
  <c r="AR171"/>
  <c r="AS171"/>
  <c r="AP172"/>
  <c r="AQ172"/>
  <c r="AR172"/>
  <c r="AS172"/>
  <c r="AP173"/>
  <c r="AQ173"/>
  <c r="AR173"/>
  <c r="AS173"/>
  <c r="AP174"/>
  <c r="AQ174"/>
  <c r="AR174"/>
  <c r="AS174"/>
  <c r="AP175"/>
  <c r="AQ175"/>
  <c r="AR175"/>
  <c r="AS175"/>
  <c r="AP176"/>
  <c r="AQ176"/>
  <c r="AR176"/>
  <c r="AS176"/>
  <c r="AP177"/>
  <c r="AQ177"/>
  <c r="AR177"/>
  <c r="AS177"/>
  <c r="AP178"/>
  <c r="AQ178"/>
  <c r="AR178"/>
  <c r="AS178"/>
  <c r="AP179"/>
  <c r="AQ179"/>
  <c r="AR179"/>
  <c r="AS179"/>
  <c r="AP180"/>
  <c r="AQ180"/>
  <c r="AR180"/>
  <c r="AS180"/>
  <c r="AP181"/>
  <c r="AQ181"/>
  <c r="AR181"/>
  <c r="AS181"/>
  <c r="AP182"/>
  <c r="AQ182"/>
  <c r="AR182"/>
  <c r="AS182"/>
  <c r="AP183"/>
  <c r="AQ183"/>
  <c r="AR183"/>
  <c r="AS183"/>
  <c r="AP184"/>
  <c r="AQ184"/>
  <c r="AR184"/>
  <c r="AS184"/>
  <c r="AP185"/>
  <c r="AQ185"/>
  <c r="AP186"/>
  <c r="AQ186"/>
  <c r="AR186"/>
  <c r="AS186"/>
  <c r="AP187"/>
  <c r="AQ187"/>
  <c r="AR187"/>
  <c r="AS187"/>
  <c r="AP188"/>
  <c r="AQ188"/>
  <c r="AP189"/>
  <c r="AQ189"/>
  <c r="AP190"/>
  <c r="AQ190"/>
  <c r="AP191"/>
  <c r="AQ191"/>
  <c r="AP192"/>
  <c r="AQ192"/>
  <c r="AP193"/>
  <c r="AQ193"/>
  <c r="AP194"/>
  <c r="AQ194"/>
  <c r="AP195"/>
  <c r="AQ195"/>
  <c r="AP196"/>
  <c r="AQ196"/>
  <c r="AP197"/>
  <c r="AQ197"/>
  <c r="AP198"/>
  <c r="AQ198"/>
  <c r="AP199"/>
  <c r="AQ199"/>
  <c r="AP200"/>
  <c r="AQ200"/>
  <c r="AP201"/>
  <c r="AQ201"/>
  <c r="AR201"/>
  <c r="AP202"/>
  <c r="AQ202"/>
  <c r="AR202"/>
  <c r="AP203"/>
  <c r="AQ203"/>
  <c r="AP204"/>
  <c r="AQ204"/>
  <c r="AP205"/>
  <c r="AQ205"/>
  <c r="AR205"/>
  <c r="AS205"/>
  <c r="AP206"/>
  <c r="AQ206"/>
  <c r="AR206"/>
  <c r="AS206"/>
  <c r="AP207"/>
  <c r="AQ207"/>
  <c r="AR207"/>
  <c r="AS207"/>
  <c r="AP208"/>
  <c r="AQ208"/>
  <c r="AR208"/>
  <c r="AS208"/>
  <c r="AP209"/>
  <c r="AQ209"/>
  <c r="AR209"/>
  <c r="AS209"/>
  <c r="AP210"/>
  <c r="AQ210"/>
  <c r="AR210"/>
  <c r="AS210"/>
  <c r="AP211"/>
  <c r="AQ211"/>
  <c r="AR211"/>
  <c r="AS211"/>
  <c r="AP212"/>
  <c r="AQ212"/>
  <c r="AR212"/>
  <c r="AS212"/>
  <c r="AP213"/>
  <c r="AQ213"/>
  <c r="AR213"/>
  <c r="AS213"/>
  <c r="AP214"/>
  <c r="AQ214"/>
  <c r="AR214"/>
  <c r="AS214"/>
  <c r="AP215"/>
  <c r="AQ215"/>
  <c r="AR215"/>
  <c r="AS215"/>
  <c r="AP216"/>
  <c r="AQ216"/>
  <c r="AR216"/>
  <c r="AS216"/>
  <c r="AP217"/>
  <c r="AQ217"/>
  <c r="AR217"/>
  <c r="AS217"/>
  <c r="AP218"/>
  <c r="AQ218"/>
  <c r="AR218"/>
  <c r="AS218"/>
  <c r="AP219"/>
  <c r="AQ219"/>
  <c r="AR219"/>
  <c r="AS219"/>
  <c r="AP220"/>
  <c r="AQ220"/>
  <c r="AR220"/>
  <c r="AS220"/>
  <c r="AP221"/>
  <c r="AQ221"/>
  <c r="AR221"/>
  <c r="AS221"/>
  <c r="AP222"/>
  <c r="AQ222"/>
  <c r="AR222"/>
  <c r="AS222"/>
  <c r="AP223"/>
  <c r="AQ223"/>
  <c r="AR223"/>
  <c r="AS223"/>
  <c r="AP224"/>
  <c r="AQ224"/>
  <c r="AR224"/>
  <c r="AS224"/>
  <c r="AP225"/>
  <c r="AQ225"/>
  <c r="AR225"/>
  <c r="AS225"/>
  <c r="AP226"/>
  <c r="AQ226"/>
  <c r="AR226"/>
  <c r="AS226"/>
  <c r="AP227"/>
  <c r="AQ227"/>
  <c r="AR227"/>
  <c r="AS227"/>
  <c r="AP228"/>
  <c r="AQ228"/>
  <c r="AR228"/>
  <c r="AS228"/>
  <c r="AP229"/>
  <c r="AQ229"/>
  <c r="AR229"/>
  <c r="AS229"/>
  <c r="AP230"/>
  <c r="AQ230"/>
  <c r="AR230"/>
  <c r="AS230"/>
  <c r="AP231"/>
  <c r="AQ231"/>
  <c r="AR231"/>
  <c r="AS231"/>
  <c r="AP232"/>
  <c r="AQ232"/>
  <c r="AR232"/>
  <c r="AS232"/>
  <c r="AP233"/>
  <c r="AQ233"/>
  <c r="AR233"/>
  <c r="AS233"/>
  <c r="AP234"/>
  <c r="AQ234"/>
  <c r="AR234"/>
  <c r="AS234"/>
  <c r="AP235"/>
  <c r="AQ235"/>
  <c r="AR235"/>
  <c r="AS235"/>
  <c r="AP236"/>
  <c r="AQ236"/>
  <c r="AR236"/>
  <c r="AS236"/>
  <c r="AP237"/>
  <c r="AQ237"/>
  <c r="AR237"/>
  <c r="AS237"/>
  <c r="AP238"/>
  <c r="AQ238"/>
  <c r="AR238"/>
  <c r="AS238"/>
  <c r="AP239"/>
  <c r="AQ239"/>
  <c r="AR239"/>
  <c r="AS239"/>
  <c r="AP240"/>
  <c r="AQ240"/>
  <c r="AR240"/>
  <c r="AS240"/>
  <c r="AP241"/>
  <c r="AQ241"/>
  <c r="AR241"/>
  <c r="AS241"/>
  <c r="AP242"/>
  <c r="AQ242"/>
  <c r="AR242"/>
  <c r="AS242"/>
  <c r="AP243"/>
  <c r="AQ243"/>
  <c r="AR243"/>
  <c r="AS243"/>
  <c r="AP244"/>
  <c r="AQ244"/>
  <c r="AR244"/>
  <c r="AS244"/>
  <c r="AP245"/>
  <c r="AQ245"/>
  <c r="AR245"/>
  <c r="AS245"/>
  <c r="AP246"/>
  <c r="AQ246"/>
  <c r="AR246"/>
  <c r="AS246"/>
  <c r="AP247"/>
  <c r="AQ247"/>
  <c r="AR247"/>
  <c r="AS247"/>
  <c r="AP248"/>
  <c r="AQ248"/>
  <c r="AR248"/>
  <c r="AS248"/>
  <c r="AP249"/>
  <c r="AQ249"/>
  <c r="AR249"/>
  <c r="AS249"/>
  <c r="AP250"/>
  <c r="AQ250"/>
  <c r="AR250"/>
  <c r="AS250"/>
  <c r="AP251"/>
  <c r="AQ251"/>
  <c r="AR251"/>
  <c r="AS251"/>
  <c r="AP252"/>
  <c r="AQ252"/>
  <c r="AR252"/>
  <c r="AS252"/>
  <c r="AP253"/>
  <c r="AQ253"/>
  <c r="AR253"/>
  <c r="AS253"/>
  <c r="AP254"/>
  <c r="AQ254"/>
  <c r="AR254"/>
  <c r="AS254"/>
  <c r="AP255"/>
  <c r="AQ255"/>
  <c r="AR255"/>
  <c r="AS255"/>
  <c r="AP256"/>
  <c r="AQ256"/>
  <c r="AR256"/>
  <c r="AS256"/>
  <c r="AP257"/>
  <c r="AQ257"/>
  <c r="AR257"/>
  <c r="AS257"/>
  <c r="AP258"/>
  <c r="AQ258"/>
  <c r="AR258"/>
  <c r="AS258"/>
  <c r="AP259"/>
  <c r="AQ259"/>
  <c r="AR259"/>
  <c r="AS259"/>
  <c r="AP260"/>
  <c r="AQ260"/>
  <c r="AR260"/>
  <c r="AS260"/>
  <c r="AP261"/>
  <c r="AQ261"/>
  <c r="AR261"/>
  <c r="AS261"/>
  <c r="AP262"/>
  <c r="AQ262"/>
  <c r="AR262"/>
  <c r="AS262"/>
  <c r="AP263"/>
  <c r="AQ263"/>
  <c r="AR263"/>
  <c r="AS263"/>
  <c r="AP264"/>
  <c r="AQ264"/>
  <c r="AR264"/>
  <c r="AS264"/>
  <c r="AP265"/>
  <c r="AQ265"/>
  <c r="AR265"/>
  <c r="AS265"/>
  <c r="AP266"/>
  <c r="AQ266"/>
  <c r="AR266"/>
  <c r="AS266"/>
  <c r="AP267"/>
  <c r="AQ267"/>
  <c r="AR267"/>
  <c r="AS267"/>
  <c r="AP268"/>
  <c r="AQ268"/>
  <c r="AR268"/>
  <c r="AS268"/>
  <c r="AP269"/>
  <c r="AQ269"/>
  <c r="AR269"/>
  <c r="AS269"/>
  <c r="AP270"/>
  <c r="AQ270"/>
  <c r="AR270"/>
  <c r="AS270"/>
  <c r="AP271"/>
  <c r="AQ271"/>
  <c r="AR271"/>
  <c r="AS271"/>
  <c r="AP272"/>
  <c r="AQ272"/>
  <c r="AR272"/>
  <c r="AS272"/>
  <c r="AP273"/>
  <c r="AQ273"/>
  <c r="AR273"/>
  <c r="AS273"/>
  <c r="AP274"/>
  <c r="AQ274"/>
  <c r="AR274"/>
  <c r="AS274"/>
  <c r="AP275"/>
  <c r="AQ275"/>
  <c r="AR275"/>
  <c r="AS275"/>
  <c r="AP276"/>
  <c r="AQ276"/>
  <c r="AR276"/>
  <c r="AS276"/>
  <c r="AP277"/>
  <c r="AQ277"/>
  <c r="AR277"/>
  <c r="AS277"/>
  <c r="AP278"/>
  <c r="AQ278"/>
  <c r="AR278"/>
  <c r="AS278"/>
  <c r="AP279"/>
  <c r="AQ279"/>
  <c r="AR279"/>
  <c r="AS279"/>
  <c r="AP280"/>
  <c r="AQ280"/>
  <c r="AR280"/>
  <c r="AS280"/>
  <c r="AP281"/>
  <c r="AQ281"/>
  <c r="AR281"/>
  <c r="AS281"/>
  <c r="AP282"/>
  <c r="AQ282"/>
  <c r="AR282"/>
  <c r="AS282"/>
  <c r="AP283"/>
  <c r="AQ283"/>
  <c r="AR283"/>
  <c r="AS283"/>
  <c r="AP284"/>
  <c r="AQ284"/>
  <c r="AR284"/>
  <c r="AS284"/>
  <c r="AP285"/>
  <c r="AQ285"/>
  <c r="AR285"/>
  <c r="AS285"/>
  <c r="AP286"/>
  <c r="AQ286"/>
  <c r="AR286"/>
  <c r="AS286"/>
  <c r="AP287"/>
  <c r="AQ287"/>
  <c r="AR287"/>
  <c r="AS287"/>
  <c r="AP288"/>
  <c r="AQ288"/>
  <c r="AR288"/>
  <c r="AS288"/>
  <c r="AP289"/>
  <c r="AQ289"/>
  <c r="AR289"/>
  <c r="AS289"/>
  <c r="AP290"/>
  <c r="AQ290"/>
  <c r="AR290"/>
  <c r="AS290"/>
  <c r="AP291"/>
  <c r="AQ291"/>
  <c r="AR291"/>
  <c r="AS291"/>
  <c r="AP292"/>
  <c r="AQ292"/>
  <c r="AR292"/>
  <c r="AS292"/>
  <c r="AP293"/>
  <c r="AQ293"/>
  <c r="AR293"/>
  <c r="AS293"/>
  <c r="AP294"/>
  <c r="AQ294"/>
  <c r="AR294"/>
  <c r="AS294"/>
  <c r="AP295"/>
  <c r="AQ295"/>
  <c r="AR295"/>
  <c r="AS295"/>
  <c r="AP296"/>
  <c r="AQ296"/>
  <c r="AR296"/>
  <c r="AS296"/>
  <c r="AP297"/>
  <c r="AQ297"/>
  <c r="AR297"/>
  <c r="AS297"/>
  <c r="AP298"/>
  <c r="AQ298"/>
  <c r="AR298"/>
  <c r="AS298"/>
  <c r="AP299"/>
  <c r="AQ299"/>
  <c r="AR299"/>
  <c r="AS299"/>
  <c r="AP300"/>
  <c r="AQ300"/>
  <c r="AR300"/>
  <c r="AS300"/>
  <c r="AP301"/>
  <c r="AQ301"/>
  <c r="AR301"/>
  <c r="AS301"/>
  <c r="AP302"/>
  <c r="AQ302"/>
  <c r="AR302"/>
  <c r="AS302"/>
  <c r="AP303"/>
  <c r="AQ303"/>
  <c r="AR303"/>
  <c r="AS303"/>
  <c r="AP304"/>
  <c r="AQ304"/>
  <c r="AR304"/>
  <c r="AS304"/>
  <c r="AP305"/>
  <c r="AQ305"/>
  <c r="AR305"/>
  <c r="AS305"/>
  <c r="AP306"/>
  <c r="AQ306"/>
  <c r="AR306"/>
  <c r="AS306"/>
  <c r="AP307"/>
  <c r="AQ307"/>
  <c r="AR307"/>
  <c r="AS307"/>
  <c r="AP308"/>
  <c r="AQ308"/>
  <c r="AR308"/>
  <c r="AS308"/>
  <c r="AP309"/>
  <c r="AQ309"/>
  <c r="AR309"/>
  <c r="AS309"/>
  <c r="AP310"/>
  <c r="AQ310"/>
  <c r="AR310"/>
  <c r="AS310"/>
  <c r="AP311"/>
  <c r="AQ311"/>
  <c r="AR311"/>
  <c r="AS311"/>
  <c r="AP312"/>
  <c r="AQ312"/>
  <c r="AR312"/>
  <c r="AS312"/>
  <c r="AP313"/>
  <c r="AQ313"/>
  <c r="AR313"/>
  <c r="AS313"/>
  <c r="AP314"/>
  <c r="AQ314"/>
  <c r="AR314"/>
  <c r="AS314"/>
  <c r="AP315"/>
  <c r="AQ315"/>
  <c r="AR315"/>
  <c r="AS315"/>
  <c r="AP316"/>
  <c r="AQ316"/>
  <c r="AR316"/>
  <c r="AS316"/>
  <c r="AP317"/>
  <c r="AQ317"/>
  <c r="AR317"/>
  <c r="AS317"/>
  <c r="AP318"/>
  <c r="AQ318"/>
  <c r="AR318"/>
  <c r="AS318"/>
  <c r="AP319"/>
  <c r="AQ319"/>
  <c r="AR319"/>
  <c r="AS319"/>
  <c r="AP320"/>
  <c r="AQ320"/>
  <c r="AR320"/>
  <c r="AS320"/>
  <c r="AP321"/>
  <c r="AQ321"/>
  <c r="AR321"/>
  <c r="AS321"/>
  <c r="AP322"/>
  <c r="AQ322"/>
  <c r="AR322"/>
  <c r="AS322"/>
  <c r="AP323"/>
  <c r="AQ323"/>
  <c r="AR323"/>
  <c r="AS323"/>
  <c r="AP324"/>
  <c r="AQ324"/>
  <c r="AR324"/>
  <c r="AS324"/>
  <c r="AP325"/>
  <c r="AQ325"/>
  <c r="AR325"/>
  <c r="AS325"/>
  <c r="AP326"/>
  <c r="AQ326"/>
  <c r="AR326"/>
  <c r="AS326"/>
  <c r="AP327"/>
  <c r="AQ327"/>
  <c r="AR327"/>
  <c r="AS327"/>
  <c r="AP328"/>
  <c r="AQ328"/>
  <c r="AR328"/>
  <c r="AS328"/>
  <c r="AP329"/>
  <c r="AQ329"/>
  <c r="AR329"/>
  <c r="AS329"/>
  <c r="AP330"/>
  <c r="AQ330"/>
  <c r="AR330"/>
  <c r="AS330"/>
  <c r="AP331"/>
  <c r="AQ331"/>
  <c r="AR331"/>
  <c r="AS331"/>
  <c r="AP332"/>
  <c r="AQ332"/>
  <c r="AR332"/>
  <c r="AS332"/>
  <c r="AP333"/>
  <c r="AQ333"/>
  <c r="AR333"/>
  <c r="AS333"/>
  <c r="AP334"/>
  <c r="AQ334"/>
  <c r="AR334"/>
  <c r="AS334"/>
  <c r="AP335"/>
  <c r="AQ335"/>
  <c r="AR335"/>
  <c r="AS335"/>
  <c r="AP336"/>
  <c r="AQ336"/>
  <c r="AR336"/>
  <c r="AS336"/>
  <c r="AP337"/>
  <c r="AQ337"/>
  <c r="AR337"/>
  <c r="AS337"/>
  <c r="AP338"/>
  <c r="AQ338"/>
  <c r="AR338"/>
  <c r="AS338"/>
  <c r="AP339"/>
  <c r="AQ339"/>
  <c r="AR339"/>
  <c r="AS339"/>
  <c r="AP340"/>
  <c r="AQ340"/>
  <c r="AR340"/>
  <c r="AS340"/>
  <c r="AP341"/>
  <c r="AQ341"/>
  <c r="AR341"/>
  <c r="AS341"/>
  <c r="AP342"/>
  <c r="AQ342"/>
  <c r="AR342"/>
  <c r="AS342"/>
  <c r="AP343"/>
  <c r="AQ343"/>
  <c r="AR343"/>
  <c r="AS343"/>
  <c r="AP344"/>
  <c r="AQ344"/>
  <c r="AR344"/>
  <c r="AS344"/>
  <c r="AP345"/>
  <c r="AQ345"/>
  <c r="AR345"/>
  <c r="AS345"/>
  <c r="AP346"/>
  <c r="AQ346"/>
  <c r="AR346"/>
  <c r="AS346"/>
  <c r="AP347"/>
  <c r="AQ347"/>
  <c r="AR347"/>
  <c r="AS347"/>
  <c r="AP348"/>
  <c r="AQ348"/>
  <c r="AR348"/>
  <c r="AS348"/>
  <c r="AP349"/>
  <c r="AQ349"/>
  <c r="AR349"/>
  <c r="AS349"/>
  <c r="AP350"/>
  <c r="AQ350"/>
  <c r="AR350"/>
  <c r="AS350"/>
  <c r="AP351"/>
  <c r="AQ351"/>
  <c r="AR351"/>
  <c r="AS351"/>
  <c r="AP352"/>
  <c r="AQ352"/>
  <c r="AR352"/>
  <c r="AS352"/>
  <c r="AP353"/>
  <c r="AQ353"/>
  <c r="AR353"/>
  <c r="AS353"/>
  <c r="AP354"/>
  <c r="AQ354"/>
  <c r="AR354"/>
  <c r="AS354"/>
  <c r="AP355"/>
  <c r="AQ355"/>
  <c r="AR355"/>
  <c r="AS355"/>
  <c r="AP356"/>
  <c r="AQ356"/>
  <c r="AR356"/>
  <c r="AS356"/>
  <c r="AP357"/>
  <c r="AQ357"/>
  <c r="AR357"/>
  <c r="AS357"/>
  <c r="AP358"/>
  <c r="AQ358"/>
  <c r="AR358"/>
  <c r="AS358"/>
  <c r="AP359"/>
  <c r="AQ359"/>
  <c r="AR359"/>
  <c r="AS359"/>
  <c r="AP360"/>
  <c r="AQ360"/>
  <c r="AR360"/>
  <c r="AS360"/>
  <c r="AP361"/>
  <c r="AQ361"/>
  <c r="AR361"/>
  <c r="AS361"/>
  <c r="AP362"/>
  <c r="AQ362"/>
  <c r="AR362"/>
  <c r="AS362"/>
  <c r="AP363"/>
  <c r="AQ363"/>
  <c r="AR363"/>
  <c r="AS363"/>
  <c r="AP364"/>
  <c r="AQ364"/>
  <c r="AR364"/>
  <c r="AP365"/>
  <c r="AQ365"/>
  <c r="AR365"/>
  <c r="AP366"/>
  <c r="AQ366"/>
  <c r="AR366"/>
  <c r="AS366"/>
  <c r="AP367"/>
  <c r="AQ367"/>
  <c r="AR367"/>
  <c r="AS367"/>
  <c r="AP368"/>
  <c r="AQ368"/>
  <c r="AR368"/>
  <c r="AS368"/>
  <c r="AP369"/>
  <c r="AQ369"/>
  <c r="AR369"/>
  <c r="AS369"/>
  <c r="AP370"/>
  <c r="AQ370"/>
  <c r="AR370"/>
  <c r="AS370"/>
  <c r="AP371"/>
  <c r="AQ371"/>
  <c r="AR371"/>
  <c r="AS371"/>
  <c r="AP372"/>
  <c r="AQ372"/>
  <c r="AR372"/>
  <c r="AS372"/>
  <c r="AP373"/>
  <c r="AQ373"/>
  <c r="AR373"/>
  <c r="AS373"/>
  <c r="AP374"/>
  <c r="AQ374"/>
  <c r="AR374"/>
  <c r="AP375"/>
  <c r="AQ375"/>
  <c r="AR375"/>
  <c r="AS375"/>
  <c r="AP376"/>
  <c r="AQ376"/>
  <c r="AR376"/>
  <c r="AS376"/>
  <c r="AP377"/>
  <c r="AQ377"/>
  <c r="AR377"/>
  <c r="AS377"/>
  <c r="AP378"/>
  <c r="AQ378"/>
  <c r="AR378"/>
  <c r="AP379"/>
  <c r="AQ379"/>
  <c r="AR379"/>
  <c r="AS379"/>
  <c r="AP380"/>
  <c r="AQ380"/>
  <c r="AR380"/>
  <c r="AS380"/>
  <c r="AP381"/>
  <c r="AQ381"/>
  <c r="AR381"/>
  <c r="AS381"/>
  <c r="AP382"/>
  <c r="AQ382"/>
  <c r="AR382"/>
  <c r="AS382"/>
  <c r="AP383"/>
  <c r="AQ383"/>
  <c r="AR383"/>
  <c r="AS383"/>
  <c r="AP384"/>
  <c r="AQ384"/>
  <c r="AR384"/>
  <c r="AS384"/>
  <c r="AP385"/>
  <c r="AQ385"/>
  <c r="AR385"/>
  <c r="AS385"/>
  <c r="AP386"/>
  <c r="AQ386"/>
  <c r="AR386"/>
  <c r="AS386"/>
  <c r="AP387"/>
  <c r="AQ387"/>
  <c r="AR387"/>
  <c r="AS387"/>
  <c r="AP388"/>
  <c r="AQ388"/>
  <c r="AR388"/>
  <c r="AS388"/>
  <c r="AP389"/>
  <c r="AQ389"/>
  <c r="AR389"/>
  <c r="AS389"/>
  <c r="AP390"/>
  <c r="AQ390"/>
  <c r="AR390"/>
  <c r="AS390"/>
  <c r="AP391"/>
  <c r="AQ391"/>
  <c r="AR391"/>
  <c r="AS391"/>
  <c r="AP392"/>
  <c r="AQ392"/>
  <c r="AR392"/>
  <c r="AS392"/>
  <c r="AP393"/>
  <c r="AQ393"/>
  <c r="AR393"/>
  <c r="AS393"/>
  <c r="AP394"/>
  <c r="AQ394"/>
  <c r="AR394"/>
  <c r="AS394"/>
  <c r="AP395"/>
  <c r="AQ395"/>
  <c r="AR395"/>
  <c r="AS395"/>
  <c r="AP396"/>
  <c r="AQ396"/>
  <c r="AR396"/>
  <c r="AS396"/>
  <c r="AP397"/>
  <c r="AQ397"/>
  <c r="AR397"/>
  <c r="AS397"/>
  <c r="AP398"/>
  <c r="AQ398"/>
  <c r="AR398"/>
  <c r="AS398"/>
  <c r="AP399"/>
  <c r="AQ399"/>
  <c r="AR399"/>
  <c r="AS399"/>
  <c r="AP400"/>
  <c r="AQ400"/>
  <c r="AR400"/>
  <c r="AS400"/>
  <c r="AP401"/>
  <c r="AQ401"/>
  <c r="AR401"/>
  <c r="AS401"/>
  <c r="AP402"/>
  <c r="AQ402"/>
  <c r="AR402"/>
  <c r="AS402"/>
  <c r="AP403"/>
  <c r="AQ403"/>
  <c r="AR403"/>
  <c r="AS403"/>
  <c r="AP404"/>
  <c r="AQ404"/>
  <c r="AR404"/>
  <c r="AS404"/>
  <c r="AP405"/>
  <c r="AQ405"/>
  <c r="AR405"/>
  <c r="AS405"/>
  <c r="AP406"/>
  <c r="AQ406"/>
  <c r="AR406"/>
  <c r="AS406"/>
  <c r="AP407"/>
  <c r="AQ407"/>
  <c r="AR407"/>
  <c r="AS407"/>
  <c r="AP408"/>
  <c r="AQ408"/>
  <c r="AR408"/>
  <c r="AS408"/>
  <c r="AP409"/>
  <c r="AQ409"/>
  <c r="AR409"/>
  <c r="AS409"/>
  <c r="AP410"/>
  <c r="AQ410"/>
  <c r="AR410"/>
  <c r="AS410"/>
  <c r="AP411"/>
  <c r="AQ411"/>
  <c r="AR411"/>
  <c r="AS411"/>
  <c r="AP412"/>
  <c r="AQ412"/>
  <c r="AR412"/>
  <c r="AS412"/>
  <c r="AP413"/>
  <c r="AQ413"/>
  <c r="AR413"/>
  <c r="AS413"/>
  <c r="AP414"/>
  <c r="AQ414"/>
  <c r="AR414"/>
  <c r="AS414"/>
  <c r="AP415"/>
  <c r="AQ415"/>
  <c r="AR415"/>
  <c r="AS415"/>
  <c r="AP416"/>
  <c r="AQ416"/>
  <c r="AR416"/>
  <c r="AS416"/>
  <c r="AP417"/>
  <c r="AQ417"/>
  <c r="AR417"/>
  <c r="AS417"/>
  <c r="AP418"/>
  <c r="AQ418"/>
  <c r="AR418"/>
  <c r="AS418"/>
  <c r="AP419"/>
  <c r="AQ419"/>
  <c r="AR419"/>
  <c r="AS419"/>
  <c r="AP420"/>
  <c r="AQ420"/>
  <c r="AR420"/>
  <c r="AS420"/>
  <c r="AP421"/>
  <c r="AQ421"/>
  <c r="AR421"/>
  <c r="AS421"/>
  <c r="AP422"/>
  <c r="AQ422"/>
  <c r="AR422"/>
  <c r="AS422"/>
  <c r="AP423"/>
  <c r="AQ423"/>
  <c r="AR423"/>
  <c r="AS423"/>
  <c r="AP424"/>
  <c r="AQ424"/>
  <c r="AR424"/>
  <c r="AS424"/>
  <c r="AP425"/>
  <c r="AQ425"/>
  <c r="AR425"/>
  <c r="AS425"/>
  <c r="AP426"/>
  <c r="AQ426"/>
  <c r="AR426"/>
  <c r="AS426"/>
  <c r="AP427"/>
  <c r="AQ427"/>
  <c r="AR427"/>
  <c r="AS427"/>
  <c r="AP428"/>
  <c r="AQ428"/>
  <c r="AR428"/>
  <c r="AS428"/>
  <c r="AP429"/>
  <c r="AQ429"/>
  <c r="AR429"/>
  <c r="AS429"/>
  <c r="AP430"/>
  <c r="AQ430"/>
  <c r="AR430"/>
  <c r="AS430"/>
  <c r="AP431"/>
  <c r="AQ431"/>
  <c r="AR431"/>
  <c r="AS431"/>
  <c r="AP432"/>
  <c r="AQ432"/>
  <c r="AR432"/>
  <c r="AS432"/>
  <c r="AP433"/>
  <c r="AQ433"/>
  <c r="AR433"/>
  <c r="AS433"/>
  <c r="AP434"/>
  <c r="AQ434"/>
  <c r="AR434"/>
  <c r="AS434"/>
  <c r="AP435"/>
  <c r="AQ435"/>
  <c r="AR435"/>
  <c r="AS435"/>
  <c r="AP436"/>
  <c r="AQ436"/>
  <c r="AR436"/>
  <c r="AS436"/>
  <c r="AP437"/>
  <c r="AQ437"/>
  <c r="AR437"/>
  <c r="AS437"/>
  <c r="AP438"/>
  <c r="AQ438"/>
  <c r="AR438"/>
  <c r="AS438"/>
  <c r="AP439"/>
  <c r="AQ439"/>
  <c r="AR439"/>
  <c r="AS439"/>
  <c r="AP440"/>
  <c r="AQ440"/>
  <c r="AR440"/>
  <c r="AS440"/>
  <c r="AP441"/>
  <c r="AQ441"/>
  <c r="AR441"/>
  <c r="AS441"/>
  <c r="AP442"/>
  <c r="AQ442"/>
  <c r="AR442"/>
  <c r="AS442"/>
  <c r="AP443"/>
  <c r="AQ443"/>
  <c r="AR443"/>
  <c r="AS443"/>
  <c r="AP444"/>
  <c r="AQ444"/>
  <c r="AR444"/>
  <c r="AS444"/>
  <c r="AP445"/>
  <c r="AQ445"/>
  <c r="AR445"/>
  <c r="AS445"/>
  <c r="AP446"/>
  <c r="AQ446"/>
  <c r="AR446"/>
  <c r="AS446"/>
  <c r="AP447"/>
  <c r="AQ447"/>
  <c r="AR447"/>
  <c r="AS447"/>
  <c r="AP448"/>
  <c r="AQ448"/>
  <c r="AR448"/>
  <c r="AS448"/>
  <c r="AP449"/>
  <c r="AQ449"/>
  <c r="AR449"/>
  <c r="AS449"/>
  <c r="AP450"/>
  <c r="AQ450"/>
  <c r="AR450"/>
  <c r="AS450"/>
  <c r="AP451"/>
  <c r="AQ451"/>
  <c r="AR451"/>
  <c r="AS451"/>
  <c r="AP452"/>
  <c r="AQ452"/>
  <c r="AR452"/>
  <c r="AS452"/>
  <c r="AP453"/>
  <c r="AQ453"/>
  <c r="AR453"/>
  <c r="AS453"/>
  <c r="AP454"/>
  <c r="AQ454"/>
  <c r="AR454"/>
  <c r="AS454"/>
  <c r="AP455"/>
  <c r="AQ455"/>
  <c r="AR455"/>
  <c r="AS455"/>
  <c r="AP456"/>
  <c r="AQ456"/>
  <c r="AR456"/>
  <c r="AS456"/>
  <c r="AP457"/>
  <c r="AQ457"/>
  <c r="AR457"/>
  <c r="AS457"/>
  <c r="AP458"/>
  <c r="AQ458"/>
  <c r="AR458"/>
  <c r="AS458"/>
  <c r="AP459"/>
  <c r="AQ459"/>
  <c r="AR459"/>
  <c r="AS459"/>
  <c r="AP460"/>
  <c r="AQ460"/>
  <c r="AR460"/>
  <c r="AS460"/>
  <c r="AP461"/>
  <c r="AQ461"/>
  <c r="AR461"/>
  <c r="AS461"/>
  <c r="AP462"/>
  <c r="AQ462"/>
  <c r="AR462"/>
  <c r="AS462"/>
  <c r="AP463"/>
  <c r="AQ463"/>
  <c r="AR463"/>
  <c r="AS463"/>
  <c r="AP464"/>
  <c r="AQ464"/>
  <c r="AR464"/>
  <c r="AS464"/>
  <c r="AP465"/>
  <c r="AQ465"/>
  <c r="AR465"/>
  <c r="AS465"/>
  <c r="AP466"/>
  <c r="AQ466"/>
  <c r="AR466"/>
  <c r="AS466"/>
  <c r="AP467"/>
  <c r="AQ467"/>
  <c r="AP468"/>
  <c r="AQ468"/>
  <c r="AR468"/>
  <c r="AS468"/>
  <c r="AP469"/>
  <c r="AQ469"/>
  <c r="AR469"/>
  <c r="AS469"/>
  <c r="AP470"/>
  <c r="AQ470"/>
  <c r="AR470"/>
  <c r="AS470"/>
  <c r="AP471"/>
  <c r="AQ471"/>
  <c r="AR471"/>
  <c r="AS471"/>
  <c r="AP472"/>
  <c r="AQ472"/>
  <c r="AR472"/>
  <c r="AS472"/>
  <c r="AP473"/>
  <c r="AQ473"/>
  <c r="AR473"/>
  <c r="AS473"/>
  <c r="AP474"/>
  <c r="AQ474"/>
  <c r="AP475"/>
  <c r="AQ475"/>
  <c r="AR475"/>
  <c r="AS475"/>
  <c r="AP476"/>
  <c r="AQ476"/>
  <c r="AR476"/>
  <c r="AS476"/>
  <c r="AP477"/>
  <c r="AQ477"/>
  <c r="AR477"/>
  <c r="AS477"/>
  <c r="AP478"/>
  <c r="AQ478"/>
  <c r="AR478"/>
  <c r="AS478"/>
  <c r="AP479"/>
  <c r="AQ479"/>
  <c r="AR479"/>
  <c r="AS479"/>
  <c r="AP480"/>
  <c r="AQ480"/>
  <c r="AR480"/>
  <c r="AS480"/>
  <c r="AP481"/>
  <c r="AQ481"/>
  <c r="AR481"/>
  <c r="AS481"/>
  <c r="AP482"/>
  <c r="AQ482"/>
  <c r="AR482"/>
  <c r="AS482"/>
  <c r="AP483"/>
  <c r="AQ483"/>
  <c r="AR483"/>
  <c r="AS483"/>
  <c r="AP484"/>
  <c r="AQ484"/>
  <c r="AR484"/>
  <c r="AS484"/>
  <c r="AP485"/>
  <c r="AQ485"/>
  <c r="AR485"/>
  <c r="AS485"/>
  <c r="AP486"/>
  <c r="AQ486"/>
  <c r="AR486"/>
  <c r="AS486"/>
  <c r="AP487"/>
  <c r="AQ487"/>
  <c r="AR487"/>
  <c r="AS487"/>
  <c r="AP488"/>
  <c r="AQ488"/>
  <c r="AR488"/>
  <c r="AS488"/>
  <c r="AP489"/>
  <c r="AQ489"/>
  <c r="AR489"/>
  <c r="AS489"/>
  <c r="AP490"/>
  <c r="AQ490"/>
  <c r="AR490"/>
  <c r="AS490"/>
  <c r="AP491"/>
  <c r="AQ491"/>
  <c r="AR491"/>
  <c r="AS491"/>
  <c r="AP492"/>
  <c r="AQ492"/>
  <c r="AR492"/>
  <c r="AS492"/>
  <c r="AP493"/>
  <c r="AQ493"/>
  <c r="AR493"/>
  <c r="AS493"/>
  <c r="AP494"/>
  <c r="AQ494"/>
  <c r="AR494"/>
  <c r="AS494"/>
  <c r="AP495"/>
  <c r="AQ495"/>
  <c r="AR495"/>
  <c r="AS495"/>
  <c r="AP496"/>
  <c r="AQ496"/>
  <c r="AR496"/>
  <c r="AS496"/>
  <c r="AP497"/>
  <c r="AQ497"/>
  <c r="AR497"/>
  <c r="AS497"/>
  <c r="AP498"/>
  <c r="AQ498"/>
  <c r="AR498"/>
  <c r="AS498"/>
  <c r="AP499"/>
  <c r="AQ499"/>
  <c r="AR499"/>
  <c r="AS499"/>
  <c r="AP500"/>
  <c r="AQ500"/>
  <c r="AR500"/>
  <c r="AS500"/>
  <c r="AP501"/>
  <c r="AQ501"/>
  <c r="AR501"/>
  <c r="AS501"/>
  <c r="AP502"/>
  <c r="AQ502"/>
  <c r="AR502"/>
  <c r="AS502"/>
  <c r="AP503"/>
  <c r="AQ503"/>
  <c r="AR503"/>
  <c r="AS503"/>
  <c r="AP504"/>
  <c r="AQ504"/>
  <c r="AR504"/>
  <c r="AS504"/>
  <c r="AP505"/>
  <c r="AQ505"/>
  <c r="AR505"/>
  <c r="AS505"/>
  <c r="AP506"/>
  <c r="AQ506"/>
  <c r="AR506"/>
  <c r="AS506"/>
  <c r="AP507"/>
  <c r="AQ507"/>
  <c r="AR507"/>
  <c r="AS507"/>
  <c r="AP508"/>
  <c r="AQ508"/>
  <c r="AR508"/>
  <c r="AS508"/>
  <c r="AP509"/>
  <c r="AQ509"/>
  <c r="AR509"/>
  <c r="AS509"/>
  <c r="AP510"/>
  <c r="AQ510"/>
  <c r="AR510"/>
  <c r="AS510"/>
  <c r="AP511"/>
  <c r="AQ511"/>
  <c r="AR511"/>
  <c r="AS511"/>
  <c r="AP512"/>
  <c r="AQ512"/>
  <c r="AR512"/>
  <c r="AS512"/>
  <c r="AP513"/>
  <c r="AQ513"/>
  <c r="AR513"/>
  <c r="AS513"/>
  <c r="AP514"/>
  <c r="AQ514"/>
  <c r="AR514"/>
  <c r="AS514"/>
  <c r="AP515"/>
  <c r="AQ515"/>
  <c r="AR515"/>
  <c r="AS515"/>
  <c r="AP516"/>
  <c r="AQ516"/>
  <c r="AR516"/>
  <c r="AS516"/>
  <c r="AP517"/>
  <c r="AQ517"/>
  <c r="AR517"/>
  <c r="AS517"/>
  <c r="AP518"/>
  <c r="AQ518"/>
  <c r="AR518"/>
  <c r="AS518"/>
  <c r="AP519"/>
  <c r="AQ519"/>
  <c r="AR519"/>
  <c r="AS519"/>
  <c r="AP520"/>
  <c r="AQ520"/>
  <c r="AR520"/>
  <c r="AS520"/>
  <c r="AP521"/>
  <c r="AQ521"/>
  <c r="AR521"/>
  <c r="AS521"/>
  <c r="AP522"/>
  <c r="AQ522"/>
  <c r="AR522"/>
  <c r="AS522"/>
  <c r="AP523"/>
  <c r="AQ523"/>
  <c r="AR523"/>
  <c r="AS523"/>
  <c r="AP524"/>
  <c r="AQ524"/>
  <c r="AR524"/>
  <c r="AS524"/>
  <c r="AP525"/>
  <c r="AQ525"/>
  <c r="AR525"/>
  <c r="AS525"/>
  <c r="AP526"/>
  <c r="AQ526"/>
  <c r="AR526"/>
  <c r="AS526"/>
  <c r="AP527"/>
  <c r="AQ527"/>
  <c r="AR527"/>
  <c r="AS527"/>
  <c r="AP528"/>
  <c r="AQ528"/>
  <c r="AR528"/>
  <c r="AS528"/>
  <c r="AP529"/>
  <c r="AQ529"/>
  <c r="AR529"/>
  <c r="AS529"/>
  <c r="AP530"/>
  <c r="AQ530"/>
  <c r="AR530"/>
  <c r="AS530"/>
  <c r="AP531"/>
  <c r="AQ531"/>
  <c r="AR531"/>
  <c r="AS531"/>
  <c r="AP532"/>
  <c r="AQ532"/>
  <c r="AR532"/>
  <c r="AS532"/>
  <c r="AP533"/>
  <c r="AQ533"/>
  <c r="AR533"/>
  <c r="AS533"/>
  <c r="AP534"/>
  <c r="AQ534"/>
  <c r="AR534"/>
  <c r="AS534"/>
  <c r="AP535"/>
  <c r="AQ535"/>
  <c r="AR535"/>
  <c r="AS535"/>
  <c r="AP536"/>
  <c r="AQ536"/>
  <c r="AR536"/>
  <c r="AS536"/>
  <c r="AP537"/>
  <c r="AQ537"/>
  <c r="AR537"/>
  <c r="AS537"/>
  <c r="AP538"/>
  <c r="AQ538"/>
  <c r="AR538"/>
  <c r="AS538"/>
  <c r="AP539"/>
  <c r="AQ539"/>
  <c r="AR539"/>
  <c r="AS539"/>
  <c r="AP540"/>
  <c r="AQ540"/>
  <c r="AR540"/>
  <c r="AS540"/>
  <c r="AP541"/>
  <c r="AQ541"/>
  <c r="AR541"/>
  <c r="AS541"/>
  <c r="AP542"/>
  <c r="AQ542"/>
  <c r="AR542"/>
  <c r="AS542"/>
  <c r="AP543"/>
  <c r="AQ543"/>
  <c r="AR543"/>
  <c r="AS543"/>
  <c r="AP544"/>
  <c r="AQ544"/>
  <c r="AR544"/>
  <c r="AS544"/>
  <c r="AP545"/>
  <c r="AQ545"/>
  <c r="AR545"/>
  <c r="AS545"/>
  <c r="AP546"/>
  <c r="AQ546"/>
  <c r="AR546"/>
  <c r="AS546"/>
  <c r="AP547"/>
  <c r="AQ547"/>
  <c r="AR547"/>
  <c r="AS547"/>
  <c r="AP548"/>
  <c r="AQ548"/>
  <c r="AR548"/>
  <c r="AS548"/>
  <c r="AP549"/>
  <c r="AQ549"/>
  <c r="AR549"/>
  <c r="AS549"/>
  <c r="AP550"/>
  <c r="AQ550"/>
  <c r="AR550"/>
  <c r="AS550"/>
  <c r="AP551"/>
  <c r="AQ551"/>
  <c r="AR551"/>
  <c r="AS551"/>
  <c r="AP552"/>
  <c r="AQ552"/>
  <c r="AR552"/>
  <c r="AS552"/>
  <c r="AP553"/>
  <c r="AQ553"/>
  <c r="AR553"/>
  <c r="AS553"/>
  <c r="AP554"/>
  <c r="AQ554"/>
  <c r="AR554"/>
  <c r="AS554"/>
  <c r="AP555"/>
  <c r="AQ555"/>
  <c r="AR555"/>
  <c r="AS555"/>
  <c r="AP556"/>
  <c r="AQ556"/>
  <c r="AR556"/>
  <c r="AS556"/>
  <c r="AP557"/>
  <c r="AQ557"/>
  <c r="AR557"/>
  <c r="AS557"/>
  <c r="AP558"/>
  <c r="AQ558"/>
  <c r="AR558"/>
  <c r="AS558"/>
  <c r="AP559"/>
  <c r="AQ559"/>
  <c r="AR559"/>
  <c r="AS559"/>
  <c r="AP560"/>
  <c r="AQ560"/>
  <c r="AR560"/>
  <c r="AS560"/>
  <c r="AP561"/>
  <c r="AQ561"/>
  <c r="AR561"/>
  <c r="AS561"/>
  <c r="AP562"/>
  <c r="AQ562"/>
  <c r="AR562"/>
  <c r="AS562"/>
  <c r="AP563"/>
  <c r="AQ563"/>
  <c r="AR563"/>
  <c r="AS563"/>
  <c r="AP564"/>
  <c r="AQ564"/>
  <c r="AR564"/>
  <c r="AS564"/>
  <c r="AP565"/>
  <c r="AQ565"/>
  <c r="AR565"/>
  <c r="AS565"/>
  <c r="AP566"/>
  <c r="AQ566"/>
  <c r="AR566"/>
  <c r="AS566"/>
  <c r="AP567"/>
  <c r="AQ567"/>
  <c r="AR567"/>
  <c r="AS567"/>
  <c r="AP568"/>
  <c r="AQ568"/>
  <c r="AR568"/>
  <c r="AS568"/>
  <c r="AP569"/>
  <c r="AQ569"/>
  <c r="AR569"/>
  <c r="AS569"/>
  <c r="AP570"/>
  <c r="AQ570"/>
  <c r="AR570"/>
  <c r="AS570"/>
  <c r="AP571"/>
  <c r="AQ571"/>
  <c r="AR571"/>
  <c r="AS571"/>
  <c r="AP572"/>
  <c r="AQ572"/>
  <c r="AR572"/>
  <c r="AS572"/>
  <c r="AP573"/>
  <c r="AQ573"/>
  <c r="AR573"/>
  <c r="AS573"/>
  <c r="AP574"/>
  <c r="AQ574"/>
  <c r="AR574"/>
  <c r="AS574"/>
  <c r="AP575"/>
  <c r="AQ575"/>
  <c r="AR575"/>
  <c r="AS575"/>
  <c r="AP576"/>
  <c r="AQ576"/>
  <c r="AR576"/>
  <c r="AS576"/>
  <c r="AP577"/>
  <c r="AQ577"/>
  <c r="AR577"/>
  <c r="AS577"/>
  <c r="AP578"/>
  <c r="AQ578"/>
  <c r="AR578"/>
  <c r="AS578"/>
  <c r="AP579"/>
  <c r="AQ579"/>
  <c r="AR579"/>
  <c r="AS579"/>
  <c r="AP580"/>
  <c r="AQ580"/>
  <c r="AR580"/>
  <c r="AS580"/>
  <c r="AP581"/>
  <c r="AQ581"/>
  <c r="AR581"/>
  <c r="AS581"/>
  <c r="AP582"/>
  <c r="AQ582"/>
  <c r="AR582"/>
  <c r="AS582"/>
  <c r="AP583"/>
  <c r="AQ583"/>
  <c r="AR583"/>
  <c r="AS583"/>
  <c r="AP584"/>
  <c r="AQ584"/>
  <c r="AR584"/>
  <c r="AS584"/>
  <c r="AP585"/>
  <c r="AQ585"/>
  <c r="AR585"/>
  <c r="AS585"/>
  <c r="AP586"/>
  <c r="AQ586"/>
  <c r="AR586"/>
  <c r="AS586"/>
  <c r="AP587"/>
  <c r="AQ587"/>
  <c r="AR587"/>
  <c r="AS587"/>
  <c r="AP588"/>
  <c r="AQ588"/>
  <c r="AR588"/>
  <c r="AS588"/>
  <c r="AP589"/>
  <c r="AQ589"/>
  <c r="AR589"/>
  <c r="AS589"/>
  <c r="AP590"/>
  <c r="AQ590"/>
  <c r="AR590"/>
  <c r="AS590"/>
  <c r="AP591"/>
  <c r="AQ591"/>
  <c r="AR591"/>
  <c r="AS591"/>
  <c r="AP592"/>
  <c r="AQ592"/>
  <c r="AR592"/>
  <c r="AS592"/>
  <c r="AP593"/>
  <c r="AQ593"/>
  <c r="AR593"/>
  <c r="AS593"/>
  <c r="AP594"/>
  <c r="AQ594"/>
  <c r="AR594"/>
  <c r="AS594"/>
  <c r="AP595"/>
  <c r="AQ595"/>
  <c r="AR595"/>
  <c r="AS595"/>
  <c r="AP596"/>
  <c r="AQ596"/>
  <c r="AR596"/>
  <c r="AS596"/>
  <c r="AP597"/>
  <c r="AQ597"/>
  <c r="AR597"/>
  <c r="AS597"/>
  <c r="AP598"/>
  <c r="AQ598"/>
  <c r="AR598"/>
  <c r="AS598"/>
  <c r="AP599"/>
  <c r="AQ599"/>
  <c r="AR599"/>
  <c r="AS599"/>
  <c r="AP600"/>
  <c r="AQ600"/>
  <c r="AR600"/>
  <c r="AS600"/>
  <c r="AP601"/>
  <c r="AQ601"/>
  <c r="AR601"/>
  <c r="AS601"/>
  <c r="AP602"/>
  <c r="AQ602"/>
  <c r="AR602"/>
  <c r="AS602"/>
  <c r="AP603"/>
  <c r="AQ603"/>
  <c r="AR603"/>
  <c r="AS603"/>
  <c r="AP604"/>
  <c r="AQ604"/>
  <c r="AR604"/>
  <c r="AS604"/>
  <c r="AP605"/>
  <c r="AQ605"/>
  <c r="AR605"/>
  <c r="AS605"/>
  <c r="AP606"/>
  <c r="AQ606"/>
  <c r="AR606"/>
  <c r="AS606"/>
  <c r="AP607"/>
  <c r="AQ607"/>
  <c r="AR607"/>
  <c r="AS607"/>
  <c r="AP608"/>
  <c r="AQ608"/>
  <c r="AR608"/>
  <c r="AS608"/>
  <c r="AP609"/>
  <c r="AQ609"/>
  <c r="AR609"/>
  <c r="AS609"/>
  <c r="AP610"/>
  <c r="AQ610"/>
  <c r="AR610"/>
  <c r="AS610"/>
  <c r="AP611"/>
  <c r="AQ611"/>
  <c r="AR611"/>
  <c r="AS611"/>
  <c r="AP612"/>
  <c r="AQ612"/>
  <c r="AR612"/>
  <c r="AS612"/>
  <c r="AP613"/>
  <c r="AQ613"/>
  <c r="AR613"/>
  <c r="AS613"/>
  <c r="AP614"/>
  <c r="AQ614"/>
  <c r="AR614"/>
  <c r="AS614"/>
  <c r="AP615"/>
  <c r="AQ615"/>
  <c r="AR615"/>
  <c r="AS615"/>
  <c r="AP616"/>
  <c r="AQ616"/>
  <c r="AR616"/>
  <c r="AS616"/>
  <c r="AP617"/>
  <c r="AQ617"/>
  <c r="AR617"/>
  <c r="AS617"/>
  <c r="AP618"/>
  <c r="AQ618"/>
  <c r="AR618"/>
  <c r="AS618"/>
  <c r="AP619"/>
  <c r="AQ619"/>
  <c r="AR619"/>
  <c r="AS619"/>
  <c r="AP620"/>
  <c r="AQ620"/>
  <c r="AR620"/>
  <c r="AS620"/>
  <c r="AP621"/>
  <c r="AQ621"/>
  <c r="AR621"/>
  <c r="AS621"/>
  <c r="AP622"/>
  <c r="AQ622"/>
  <c r="AR622"/>
  <c r="AS622"/>
  <c r="AP623"/>
  <c r="AQ623"/>
  <c r="AR623"/>
  <c r="AS623"/>
  <c r="AP624"/>
  <c r="AQ624"/>
  <c r="AR624"/>
  <c r="AS624"/>
  <c r="AP625"/>
  <c r="AQ625"/>
  <c r="AR625"/>
  <c r="AS625"/>
  <c r="AP626"/>
  <c r="AQ626"/>
  <c r="AR626"/>
  <c r="AS626"/>
  <c r="AP627"/>
  <c r="AQ627"/>
  <c r="AR627"/>
  <c r="AS627"/>
  <c r="AP628"/>
  <c r="AQ628"/>
  <c r="AR628"/>
  <c r="AS628"/>
  <c r="AP629"/>
  <c r="AQ629"/>
  <c r="AR629"/>
  <c r="AS629"/>
  <c r="AP630"/>
  <c r="AQ630"/>
  <c r="AR630"/>
  <c r="AS630"/>
  <c r="AP631"/>
  <c r="AQ631"/>
  <c r="AR631"/>
  <c r="AS631"/>
  <c r="AP632"/>
  <c r="AQ632"/>
  <c r="AR632"/>
  <c r="AS632"/>
  <c r="AP633"/>
  <c r="AQ633"/>
  <c r="AR633"/>
  <c r="AS633"/>
  <c r="AP634"/>
  <c r="AQ634"/>
  <c r="AR634"/>
  <c r="AS634"/>
  <c r="AP635"/>
  <c r="AQ635"/>
  <c r="AR635"/>
  <c r="AS635"/>
  <c r="AP636"/>
  <c r="AQ636"/>
  <c r="AR636"/>
  <c r="AS636"/>
  <c r="AP637"/>
  <c r="AQ637"/>
  <c r="AR637"/>
  <c r="AS637"/>
  <c r="AP638"/>
  <c r="AQ638"/>
  <c r="AR638"/>
  <c r="AS638"/>
  <c r="AP639"/>
  <c r="AQ639"/>
  <c r="AR639"/>
  <c r="AS639"/>
  <c r="AP640"/>
  <c r="AQ640"/>
  <c r="AR640"/>
  <c r="AS640"/>
  <c r="AP641"/>
  <c r="AQ641"/>
  <c r="AR641"/>
  <c r="AS641"/>
  <c r="AP642"/>
  <c r="AQ642"/>
  <c r="AR642"/>
  <c r="AS642"/>
  <c r="AP643"/>
  <c r="AQ643"/>
  <c r="AR643"/>
  <c r="AS643"/>
  <c r="AP644"/>
  <c r="AQ644"/>
  <c r="AR644"/>
  <c r="AS644"/>
  <c r="AP645"/>
  <c r="AQ645"/>
  <c r="AR645"/>
  <c r="AS645"/>
  <c r="AP646"/>
  <c r="AQ646"/>
  <c r="AR646"/>
  <c r="AS646"/>
  <c r="AP647"/>
  <c r="AQ647"/>
  <c r="AR647"/>
  <c r="AS647"/>
  <c r="AP648"/>
  <c r="AQ648"/>
  <c r="AR648"/>
  <c r="AS648"/>
  <c r="AP649"/>
  <c r="AQ649"/>
  <c r="AR649"/>
  <c r="AS649"/>
  <c r="AP650"/>
  <c r="AQ650"/>
  <c r="AR650"/>
  <c r="AS650"/>
  <c r="AP651"/>
  <c r="AQ651"/>
  <c r="AR651"/>
  <c r="AS651"/>
  <c r="AP652"/>
  <c r="AQ652"/>
  <c r="AR652"/>
  <c r="AS652"/>
  <c r="AP653"/>
  <c r="AQ653"/>
  <c r="AR653"/>
  <c r="AS653"/>
  <c r="AP654"/>
  <c r="AQ654"/>
  <c r="AR654"/>
  <c r="AS654"/>
  <c r="AP655"/>
  <c r="AQ655"/>
  <c r="AR655"/>
  <c r="AS655"/>
  <c r="AP656"/>
  <c r="AQ656"/>
  <c r="AR656"/>
  <c r="AS656"/>
  <c r="AP657"/>
  <c r="AQ657"/>
  <c r="AR657"/>
  <c r="AS657"/>
  <c r="AP658"/>
  <c r="AQ658"/>
  <c r="AR658"/>
  <c r="AS658"/>
  <c r="AP659"/>
  <c r="AQ659"/>
  <c r="AR659"/>
  <c r="AS659"/>
  <c r="AP660"/>
  <c r="AQ660"/>
  <c r="AR660"/>
  <c r="AS660"/>
  <c r="AP661"/>
  <c r="AQ661"/>
  <c r="AR661"/>
  <c r="AS661"/>
  <c r="AP662"/>
  <c r="AQ662"/>
  <c r="AR662"/>
  <c r="AS662"/>
  <c r="AP663"/>
  <c r="AQ663"/>
  <c r="AR663"/>
  <c r="AS663"/>
  <c r="AP664"/>
  <c r="AQ664"/>
  <c r="AR664"/>
  <c r="AS664"/>
  <c r="AP665"/>
  <c r="AQ665"/>
  <c r="AR665"/>
  <c r="AS665"/>
  <c r="AP666"/>
  <c r="AQ666"/>
  <c r="AR666"/>
  <c r="AS666"/>
  <c r="AP667"/>
  <c r="AQ667"/>
  <c r="AR667"/>
  <c r="AS667"/>
  <c r="AP668"/>
  <c r="AQ668"/>
  <c r="AR668"/>
  <c r="AS668"/>
  <c r="AP669"/>
  <c r="AQ669"/>
  <c r="AR669"/>
  <c r="AS669"/>
  <c r="AP670"/>
  <c r="AQ670"/>
  <c r="AR670"/>
  <c r="AS670"/>
  <c r="AP671"/>
  <c r="AQ671"/>
  <c r="AR671"/>
  <c r="AS671"/>
  <c r="AP672"/>
  <c r="AQ672"/>
  <c r="AR672"/>
  <c r="AS672"/>
  <c r="AP673"/>
  <c r="AQ673"/>
  <c r="AR673"/>
  <c r="AS673"/>
  <c r="AP674"/>
  <c r="AQ674"/>
  <c r="AR674"/>
  <c r="AS674"/>
  <c r="AP675"/>
  <c r="AQ675"/>
  <c r="AR675"/>
  <c r="AS675"/>
  <c r="AP676"/>
  <c r="AQ676"/>
  <c r="AR676"/>
  <c r="AS676"/>
  <c r="AP677"/>
  <c r="AQ677"/>
  <c r="AR677"/>
  <c r="AS677"/>
  <c r="AP678"/>
  <c r="AQ678"/>
  <c r="AR678"/>
  <c r="AS678"/>
  <c r="AP679"/>
  <c r="AQ679"/>
  <c r="AR679"/>
  <c r="AS679"/>
  <c r="AP680"/>
  <c r="AQ680"/>
  <c r="AR680"/>
  <c r="AS680"/>
  <c r="AP681"/>
  <c r="AQ681"/>
  <c r="AR681"/>
  <c r="AS681"/>
  <c r="AW486" l="1"/>
  <c r="CG486" s="1"/>
  <c r="I474"/>
  <c r="AS474" s="1"/>
  <c r="H474"/>
  <c r="AR474" s="1"/>
  <c r="AW467"/>
  <c r="CG467" s="1"/>
  <c r="AV467"/>
  <c r="CF467" s="1"/>
  <c r="I467"/>
  <c r="AS467" s="1"/>
  <c r="H467"/>
  <c r="AR467" s="1"/>
  <c r="CC387" l="1"/>
  <c r="BU387"/>
  <c r="BQ387"/>
  <c r="BM387"/>
  <c r="BI387"/>
  <c r="BA387"/>
  <c r="AW387"/>
  <c r="CC386"/>
  <c r="BU386"/>
  <c r="BQ386"/>
  <c r="BM386"/>
  <c r="BI386"/>
  <c r="BA386"/>
  <c r="AW386"/>
  <c r="CC385"/>
  <c r="BU385"/>
  <c r="BQ385"/>
  <c r="BM385"/>
  <c r="BI385"/>
  <c r="BA385"/>
  <c r="AW385"/>
  <c r="CC384"/>
  <c r="BU384"/>
  <c r="BQ384"/>
  <c r="BM384"/>
  <c r="BI384"/>
  <c r="BA384"/>
  <c r="AW384"/>
  <c r="BU383"/>
  <c r="BQ383"/>
  <c r="BM383"/>
  <c r="BI383"/>
  <c r="BA383"/>
  <c r="AW383"/>
  <c r="CC381"/>
  <c r="BU381"/>
  <c r="BQ381"/>
  <c r="BM381"/>
  <c r="BI381"/>
  <c r="BA381"/>
  <c r="AW381"/>
  <c r="CC380"/>
  <c r="BU380"/>
  <c r="BQ380"/>
  <c r="BM380"/>
  <c r="BI380"/>
  <c r="BA380"/>
  <c r="AW380"/>
  <c r="CC379"/>
  <c r="BU379"/>
  <c r="BQ379"/>
  <c r="BM379"/>
  <c r="BI379"/>
  <c r="BA379"/>
  <c r="AW379"/>
  <c r="BU378"/>
  <c r="BQ378"/>
  <c r="BM378"/>
  <c r="BI378"/>
  <c r="BA378"/>
  <c r="AW378"/>
  <c r="AG378"/>
  <c r="AC378"/>
  <c r="CC377"/>
  <c r="BU377"/>
  <c r="BQ377"/>
  <c r="BM377"/>
  <c r="BI377"/>
  <c r="BA377"/>
  <c r="AW377"/>
  <c r="CC376"/>
  <c r="BU376"/>
  <c r="BQ376"/>
  <c r="BI376"/>
  <c r="BA376"/>
  <c r="AW376"/>
  <c r="BU374"/>
  <c r="BQ374"/>
  <c r="BM374"/>
  <c r="BI374"/>
  <c r="BA374"/>
  <c r="AW374"/>
  <c r="AG374"/>
  <c r="AC374"/>
  <c r="CC373"/>
  <c r="BU373"/>
  <c r="BQ373"/>
  <c r="BM373"/>
  <c r="BI373"/>
  <c r="BA373"/>
  <c r="AW373"/>
  <c r="CC372"/>
  <c r="BU372"/>
  <c r="BQ372"/>
  <c r="BM372"/>
  <c r="BI372"/>
  <c r="BA372"/>
  <c r="AW372"/>
  <c r="CC371"/>
  <c r="BU371"/>
  <c r="BQ371"/>
  <c r="BM371"/>
  <c r="BI371"/>
  <c r="BA371"/>
  <c r="AW371"/>
  <c r="CC370"/>
  <c r="BU370"/>
  <c r="BQ370"/>
  <c r="BM370"/>
  <c r="BI370"/>
  <c r="BA370"/>
  <c r="AW370"/>
  <c r="CC369"/>
  <c r="BU369"/>
  <c r="BQ369"/>
  <c r="BM369"/>
  <c r="BI369"/>
  <c r="BA369"/>
  <c r="AW369"/>
  <c r="CC368"/>
  <c r="BU368"/>
  <c r="BQ368"/>
  <c r="BM368"/>
  <c r="BI368"/>
  <c r="BA368"/>
  <c r="AW368"/>
  <c r="CC367"/>
  <c r="BU367"/>
  <c r="BQ367"/>
  <c r="BM367"/>
  <c r="BI367"/>
  <c r="BA367"/>
  <c r="AW367"/>
  <c r="CC366"/>
  <c r="BU366"/>
  <c r="BQ366"/>
  <c r="BM366"/>
  <c r="BI366"/>
  <c r="BA366"/>
  <c r="AW366"/>
  <c r="CC365"/>
  <c r="BU365"/>
  <c r="BQ365"/>
  <c r="BM365"/>
  <c r="BI365"/>
  <c r="BA365"/>
  <c r="AW365"/>
  <c r="I365"/>
  <c r="AS365" s="1"/>
  <c r="I364"/>
  <c r="AS364" s="1"/>
  <c r="CC363"/>
  <c r="BU363"/>
  <c r="BQ363"/>
  <c r="BM363"/>
  <c r="BI363"/>
  <c r="BA363"/>
  <c r="AW363"/>
  <c r="CC362"/>
  <c r="BU362"/>
  <c r="BQ362"/>
  <c r="BM362"/>
  <c r="BI362"/>
  <c r="BA362"/>
  <c r="AW362"/>
  <c r="BU361"/>
  <c r="BQ361"/>
  <c r="BM361"/>
  <c r="BI361"/>
  <c r="BA361"/>
  <c r="AW361"/>
  <c r="AS378" l="1"/>
  <c r="AS374"/>
  <c r="CG362"/>
  <c r="CG365"/>
  <c r="CG367"/>
  <c r="CG369"/>
  <c r="CG371"/>
  <c r="CG373"/>
  <c r="CG374"/>
  <c r="CG376"/>
  <c r="CG379"/>
  <c r="CG381"/>
  <c r="CG383"/>
  <c r="CG385"/>
  <c r="CG387"/>
  <c r="CG361"/>
  <c r="CG363"/>
  <c r="CG366"/>
  <c r="CG368"/>
  <c r="CG370"/>
  <c r="CG372"/>
  <c r="CG377"/>
  <c r="CG378"/>
  <c r="CG380"/>
  <c r="CG384"/>
  <c r="CG386"/>
  <c r="CB283"/>
  <c r="CF283" s="1"/>
  <c r="AW204" l="1"/>
  <c r="CG204" s="1"/>
  <c r="AV204"/>
  <c r="CF204" s="1"/>
  <c r="I204"/>
  <c r="AS204" s="1"/>
  <c r="H204"/>
  <c r="AR204" s="1"/>
  <c r="AW203"/>
  <c r="CG203" s="1"/>
  <c r="I203"/>
  <c r="AS203" s="1"/>
  <c r="H203"/>
  <c r="AR203" s="1"/>
  <c r="AW202"/>
  <c r="CG202" s="1"/>
  <c r="I202"/>
  <c r="AS202" s="1"/>
  <c r="I201"/>
  <c r="AS201" s="1"/>
  <c r="AW200"/>
  <c r="CG200" s="1"/>
  <c r="AV200"/>
  <c r="CF200" s="1"/>
  <c r="I200"/>
  <c r="AS200" s="1"/>
  <c r="H200"/>
  <c r="AR200" s="1"/>
  <c r="AW199"/>
  <c r="CG199" s="1"/>
  <c r="AV199"/>
  <c r="CF199" s="1"/>
  <c r="I199"/>
  <c r="AS199" s="1"/>
  <c r="H199"/>
  <c r="AR199" s="1"/>
  <c r="AW198"/>
  <c r="CG198" s="1"/>
  <c r="I198"/>
  <c r="AS198" s="1"/>
  <c r="H198"/>
  <c r="AR198" s="1"/>
  <c r="AW197"/>
  <c r="CG197" s="1"/>
  <c r="AV197"/>
  <c r="CF197" s="1"/>
  <c r="I197"/>
  <c r="AS197" s="1"/>
  <c r="H197"/>
  <c r="AR197" s="1"/>
  <c r="AW196"/>
  <c r="CG196" s="1"/>
  <c r="I196"/>
  <c r="AS196" s="1"/>
  <c r="H196"/>
  <c r="AR196" s="1"/>
  <c r="AW195"/>
  <c r="CG195" s="1"/>
  <c r="I195"/>
  <c r="AS195" s="1"/>
  <c r="H195"/>
  <c r="AR195" s="1"/>
  <c r="AW194"/>
  <c r="CG194" s="1"/>
  <c r="I194"/>
  <c r="AS194" s="1"/>
  <c r="H194"/>
  <c r="AR194" s="1"/>
  <c r="AW193"/>
  <c r="CG193" s="1"/>
  <c r="I193"/>
  <c r="AS193" s="1"/>
  <c r="H193"/>
  <c r="AR193" s="1"/>
  <c r="AW192"/>
  <c r="CG192" s="1"/>
  <c r="I192"/>
  <c r="AS192" s="1"/>
  <c r="H192"/>
  <c r="AR192" s="1"/>
  <c r="AW191"/>
  <c r="CG191" s="1"/>
  <c r="I191"/>
  <c r="AS191" s="1"/>
  <c r="H191"/>
  <c r="AR191" s="1"/>
  <c r="AW190"/>
  <c r="CG190" s="1"/>
  <c r="AV190"/>
  <c r="CF190" s="1"/>
  <c r="I190"/>
  <c r="AS190" s="1"/>
  <c r="H190"/>
  <c r="AR190" s="1"/>
  <c r="AW189"/>
  <c r="CG189" s="1"/>
  <c r="I189"/>
  <c r="AS189" s="1"/>
  <c r="H189"/>
  <c r="AR189" s="1"/>
  <c r="AW188"/>
  <c r="CG188" s="1"/>
  <c r="I188"/>
  <c r="AS188" s="1"/>
  <c r="H188"/>
  <c r="AR188" s="1"/>
  <c r="AW185"/>
  <c r="CG185" s="1"/>
  <c r="AV185"/>
  <c r="CF185" s="1"/>
  <c r="I185"/>
  <c r="AS185" s="1"/>
  <c r="H185"/>
  <c r="AR185" s="1"/>
  <c r="BU154" l="1"/>
  <c r="BS154"/>
  <c r="BM154"/>
  <c r="BK154"/>
  <c r="AG154"/>
  <c r="AE154"/>
  <c r="Y154"/>
  <c r="W154"/>
  <c r="BU153"/>
  <c r="BS153"/>
  <c r="BM153"/>
  <c r="BK153"/>
  <c r="AG153"/>
  <c r="AE153"/>
  <c r="Y153"/>
  <c r="W153"/>
  <c r="BU152"/>
  <c r="BM152"/>
  <c r="AG152"/>
  <c r="AE152"/>
  <c r="Y152"/>
  <c r="W152"/>
  <c r="BU151"/>
  <c r="BS151"/>
  <c r="BM151"/>
  <c r="BK151"/>
  <c r="AG151"/>
  <c r="AE151"/>
  <c r="Y151"/>
  <c r="W151"/>
  <c r="BU150"/>
  <c r="BS150"/>
  <c r="BM150"/>
  <c r="BK150"/>
  <c r="AG150"/>
  <c r="AE150"/>
  <c r="Y150"/>
  <c r="W150"/>
  <c r="BU149"/>
  <c r="BS149"/>
  <c r="BM149"/>
  <c r="BK149"/>
  <c r="AG149"/>
  <c r="AE149"/>
  <c r="Y149"/>
  <c r="W149"/>
  <c r="BU148"/>
  <c r="BS148"/>
  <c r="BM148"/>
  <c r="BK148"/>
  <c r="AG148"/>
  <c r="AE148"/>
  <c r="Y148"/>
  <c r="W148"/>
  <c r="BU147"/>
  <c r="BS147"/>
  <c r="BM147"/>
  <c r="BK147"/>
  <c r="AG147"/>
  <c r="AE147"/>
  <c r="Y147"/>
  <c r="W147"/>
  <c r="BU146"/>
  <c r="BS146"/>
  <c r="BM146"/>
  <c r="BK146"/>
  <c r="AG146"/>
  <c r="AE146"/>
  <c r="Y146"/>
  <c r="W146"/>
  <c r="BU145"/>
  <c r="BS145"/>
  <c r="BM145"/>
  <c r="BK145"/>
  <c r="AG145"/>
  <c r="AE145"/>
  <c r="Y145"/>
  <c r="W145"/>
  <c r="BU144"/>
  <c r="BS144"/>
  <c r="BM144"/>
  <c r="BK144"/>
  <c r="AG144"/>
  <c r="AE144"/>
  <c r="Y144"/>
  <c r="W144"/>
  <c r="BU143"/>
  <c r="BS143"/>
  <c r="BM143"/>
  <c r="BK143"/>
  <c r="AG143"/>
  <c r="AE143"/>
  <c r="Y143"/>
  <c r="W143"/>
  <c r="BU142"/>
  <c r="BS142"/>
  <c r="BM142"/>
  <c r="BK142"/>
  <c r="AG142"/>
  <c r="AE142"/>
  <c r="Y142"/>
  <c r="W142"/>
  <c r="BU141"/>
  <c r="BS141"/>
  <c r="BM141"/>
  <c r="BK141"/>
  <c r="AG141"/>
  <c r="AE141"/>
  <c r="Y141"/>
  <c r="W141"/>
  <c r="BU140"/>
  <c r="BS140"/>
  <c r="BM140"/>
  <c r="BK140"/>
  <c r="AG140"/>
  <c r="AE140"/>
  <c r="Y140"/>
  <c r="W140"/>
  <c r="BU139"/>
  <c r="BS139"/>
  <c r="BM139"/>
  <c r="BK139"/>
  <c r="AG139"/>
  <c r="AE139"/>
  <c r="Y139"/>
  <c r="W139"/>
  <c r="BU138"/>
  <c r="BS138"/>
  <c r="BM138"/>
  <c r="BK138"/>
  <c r="AG138"/>
  <c r="AE138"/>
  <c r="Y138"/>
  <c r="W138"/>
  <c r="BU137"/>
  <c r="BS137"/>
  <c r="BM137"/>
  <c r="BK137"/>
  <c r="AG137"/>
  <c r="AE137"/>
  <c r="Y137"/>
  <c r="W137"/>
  <c r="BU136"/>
  <c r="BS136"/>
  <c r="BM136"/>
  <c r="BK136"/>
  <c r="AG136"/>
  <c r="AE136"/>
  <c r="Y136"/>
  <c r="W136"/>
  <c r="BU135"/>
  <c r="BS135"/>
  <c r="BM135"/>
  <c r="BK135"/>
  <c r="AG135"/>
  <c r="AE135"/>
  <c r="Y135"/>
  <c r="W135"/>
  <c r="BU134"/>
  <c r="BS134"/>
  <c r="BM134"/>
  <c r="BK134"/>
  <c r="AG134"/>
  <c r="AE134"/>
  <c r="Y134"/>
  <c r="W134"/>
  <c r="BU133"/>
  <c r="BS133"/>
  <c r="BM133"/>
  <c r="BK133"/>
  <c r="AG133"/>
  <c r="AE133"/>
  <c r="Y133"/>
  <c r="W133"/>
  <c r="BU132"/>
  <c r="BS132"/>
  <c r="BM132"/>
  <c r="BK132"/>
  <c r="AG132"/>
  <c r="AE132"/>
  <c r="Y132"/>
  <c r="W132"/>
  <c r="BU131"/>
  <c r="BS131"/>
  <c r="BM131"/>
  <c r="BK131"/>
  <c r="AG131"/>
  <c r="AE131"/>
  <c r="Y131"/>
  <c r="W131"/>
  <c r="BU130"/>
  <c r="BS130"/>
  <c r="BM130"/>
  <c r="BK130"/>
  <c r="AG130"/>
  <c r="AE130"/>
  <c r="Y130"/>
  <c r="W130"/>
  <c r="BU129"/>
  <c r="BS129"/>
  <c r="BM129"/>
  <c r="BK129"/>
  <c r="AG129"/>
  <c r="AE129"/>
  <c r="Y129"/>
  <c r="W129"/>
  <c r="BU128"/>
  <c r="BS128"/>
  <c r="BM128"/>
  <c r="BK128"/>
  <c r="AG128"/>
  <c r="AE128"/>
  <c r="Y128"/>
  <c r="W128"/>
  <c r="BU127"/>
  <c r="BS127"/>
  <c r="BM127"/>
  <c r="BK127"/>
  <c r="AG127"/>
  <c r="AE127"/>
  <c r="Y127"/>
  <c r="W127"/>
  <c r="BU126"/>
  <c r="BS126"/>
  <c r="BM126"/>
  <c r="BK126"/>
  <c r="AG126"/>
  <c r="AE126"/>
  <c r="Y126"/>
  <c r="W126"/>
  <c r="BU125"/>
  <c r="BS125"/>
  <c r="BM125"/>
  <c r="BK125"/>
  <c r="AG125"/>
  <c r="AE125"/>
  <c r="Y125"/>
  <c r="W125"/>
  <c r="BU124"/>
  <c r="BS124"/>
  <c r="BM124"/>
  <c r="BK124"/>
  <c r="AG124"/>
  <c r="AE124"/>
  <c r="Y124"/>
  <c r="W124"/>
  <c r="BU123"/>
  <c r="BS123"/>
  <c r="BM123"/>
  <c r="BK123"/>
  <c r="AG123"/>
  <c r="AE123"/>
  <c r="Y123"/>
  <c r="W123"/>
  <c r="BU122"/>
  <c r="BS122"/>
  <c r="BM122"/>
  <c r="BK122"/>
  <c r="AG122"/>
  <c r="AE122"/>
  <c r="Y122"/>
  <c r="W122"/>
  <c r="CE122" l="1"/>
  <c r="CE123"/>
  <c r="AQ122"/>
  <c r="AS122"/>
  <c r="CG122"/>
  <c r="AS123"/>
  <c r="CG123"/>
  <c r="AS124"/>
  <c r="CG124"/>
  <c r="AS125"/>
  <c r="CG125"/>
  <c r="AS126"/>
  <c r="CG126"/>
  <c r="AS127"/>
  <c r="CG127"/>
  <c r="AS128"/>
  <c r="CG128"/>
  <c r="AS129"/>
  <c r="CG129"/>
  <c r="AS130"/>
  <c r="CG130"/>
  <c r="AS131"/>
  <c r="CG131"/>
  <c r="AS132"/>
  <c r="CG132"/>
  <c r="AS133"/>
  <c r="CG133"/>
  <c r="AS134"/>
  <c r="CG134"/>
  <c r="AS135"/>
  <c r="CG135"/>
  <c r="AS136"/>
  <c r="CG136"/>
  <c r="AS137"/>
  <c r="CG137"/>
  <c r="AS138"/>
  <c r="CG138"/>
  <c r="AS139"/>
  <c r="CG139"/>
  <c r="AS140"/>
  <c r="CG140"/>
  <c r="AS141"/>
  <c r="CG141"/>
  <c r="AS142"/>
  <c r="CG142"/>
  <c r="AS143"/>
  <c r="CG143"/>
  <c r="AS144"/>
  <c r="CG144"/>
  <c r="AS145"/>
  <c r="CG145"/>
  <c r="AS146"/>
  <c r="CG146"/>
  <c r="AS147"/>
  <c r="CG147"/>
  <c r="AS148"/>
  <c r="CG148"/>
  <c r="AS149"/>
  <c r="CG149"/>
  <c r="AS150"/>
  <c r="CG150"/>
  <c r="AS151"/>
  <c r="CG151"/>
  <c r="AS152"/>
  <c r="CG152"/>
  <c r="AS153"/>
  <c r="CG153"/>
  <c r="AS154"/>
  <c r="CG154"/>
  <c r="CD177"/>
  <c r="AQ123"/>
  <c r="AQ124"/>
  <c r="CE124"/>
  <c r="AQ125"/>
  <c r="CE125"/>
  <c r="AQ126"/>
  <c r="CE126"/>
  <c r="AQ127"/>
  <c r="CE127"/>
  <c r="AQ128"/>
  <c r="CE128"/>
  <c r="AQ129"/>
  <c r="CE129"/>
  <c r="AQ130"/>
  <c r="CE130"/>
  <c r="AQ131"/>
  <c r="CE131"/>
  <c r="AQ132"/>
  <c r="CE132"/>
  <c r="AQ133"/>
  <c r="CE133"/>
  <c r="AQ134"/>
  <c r="CE134"/>
  <c r="AQ135"/>
  <c r="CE135"/>
  <c r="AQ136"/>
  <c r="CE136"/>
  <c r="AQ137"/>
  <c r="CE137"/>
  <c r="AQ138"/>
  <c r="CE138"/>
  <c r="AQ139"/>
  <c r="CE139"/>
  <c r="AQ140"/>
  <c r="CE140"/>
  <c r="AQ141"/>
  <c r="CE141"/>
  <c r="AQ142"/>
  <c r="CE142"/>
  <c r="AQ143"/>
  <c r="CE143"/>
  <c r="AQ144"/>
  <c r="CE144"/>
  <c r="AQ145"/>
  <c r="CE145"/>
  <c r="AQ146"/>
  <c r="CE146"/>
  <c r="AQ147"/>
  <c r="CE147"/>
  <c r="AQ148"/>
  <c r="CE148"/>
  <c r="AQ149"/>
  <c r="CE149"/>
  <c r="AQ150"/>
  <c r="CE150"/>
  <c r="AQ151"/>
  <c r="CE151"/>
  <c r="AQ152"/>
  <c r="AQ153"/>
  <c r="CE153"/>
  <c r="AQ154"/>
  <c r="CE154"/>
  <c r="CD164"/>
  <c r="CE177"/>
  <c r="CE164"/>
  <c r="CG7"/>
  <c r="CF7"/>
  <c r="CE7"/>
  <c r="CD7"/>
  <c r="AS7"/>
  <c r="AR7"/>
  <c r="AQ7"/>
  <c r="AP7"/>
  <c r="G91" i="33"/>
  <c r="E91"/>
  <c r="C91"/>
  <c r="G86"/>
  <c r="E86"/>
  <c r="C86"/>
  <c r="G81"/>
  <c r="E81"/>
  <c r="C81"/>
  <c r="I76"/>
  <c r="G76"/>
  <c r="E76"/>
  <c r="C76"/>
  <c r="K59"/>
  <c r="I59"/>
  <c r="G59"/>
  <c r="E59"/>
  <c r="C59"/>
  <c r="K54"/>
  <c r="I54"/>
  <c r="G54"/>
  <c r="E54"/>
  <c r="C54"/>
  <c r="K49"/>
  <c r="I49"/>
  <c r="G49"/>
  <c r="E49"/>
  <c r="C49"/>
  <c r="M44"/>
  <c r="K44"/>
  <c r="I44"/>
  <c r="G44"/>
  <c r="E44"/>
  <c r="C44"/>
  <c r="M27"/>
  <c r="K27"/>
  <c r="I27"/>
  <c r="G27"/>
  <c r="E27"/>
  <c r="C27"/>
  <c r="M22"/>
  <c r="K22"/>
  <c r="I22"/>
  <c r="G22"/>
  <c r="E22"/>
  <c r="C22"/>
  <c r="M17"/>
  <c r="K17"/>
  <c r="I17"/>
  <c r="G17"/>
  <c r="E17"/>
  <c r="C17"/>
  <c r="O12"/>
  <c r="N12"/>
  <c r="M12"/>
  <c r="K12"/>
  <c r="I12"/>
  <c r="G12"/>
  <c r="E12"/>
  <c r="C12"/>
  <c r="F95"/>
  <c r="F94"/>
  <c r="F93"/>
  <c r="F92"/>
  <c r="F91"/>
  <c r="F90"/>
  <c r="F89"/>
  <c r="F88"/>
  <c r="F87"/>
  <c r="F86"/>
  <c r="F85"/>
  <c r="F84"/>
  <c r="F83"/>
  <c r="F82"/>
  <c r="F81"/>
  <c r="F80"/>
  <c r="F79"/>
  <c r="F78"/>
  <c r="F77"/>
  <c r="B520" i="32"/>
  <c r="F76" i="33" s="1"/>
  <c r="F75"/>
  <c r="D95"/>
  <c r="D94"/>
  <c r="D93"/>
  <c r="D92"/>
  <c r="D91"/>
  <c r="D90"/>
  <c r="D89"/>
  <c r="D88"/>
  <c r="D87"/>
  <c r="D86"/>
  <c r="D85"/>
  <c r="D84"/>
  <c r="D83"/>
  <c r="D82"/>
  <c r="D81"/>
  <c r="D80"/>
  <c r="D79"/>
  <c r="D78"/>
  <c r="D77"/>
  <c r="B488" i="32"/>
  <c r="D76" i="33" s="1"/>
  <c r="D75"/>
  <c r="B95"/>
  <c r="B94"/>
  <c r="B93"/>
  <c r="B92"/>
  <c r="B91"/>
  <c r="B90"/>
  <c r="B89"/>
  <c r="B88"/>
  <c r="B87"/>
  <c r="B86"/>
  <c r="B85"/>
  <c r="B84"/>
  <c r="B83"/>
  <c r="B82"/>
  <c r="B81"/>
  <c r="B80"/>
  <c r="B79"/>
  <c r="B78"/>
  <c r="B77"/>
  <c r="B456" i="32"/>
  <c r="B76" i="33" s="1"/>
  <c r="B75"/>
  <c r="H95"/>
  <c r="H94"/>
  <c r="H93"/>
  <c r="H92"/>
  <c r="H90"/>
  <c r="H89"/>
  <c r="H88"/>
  <c r="H87"/>
  <c r="H85"/>
  <c r="H84"/>
  <c r="H83"/>
  <c r="H82"/>
  <c r="H80"/>
  <c r="H79"/>
  <c r="H78"/>
  <c r="H77"/>
  <c r="B427" i="32"/>
  <c r="H76" i="33" s="1"/>
  <c r="H75"/>
  <c r="J63"/>
  <c r="J62"/>
  <c r="J61"/>
  <c r="J60"/>
  <c r="J59"/>
  <c r="J58"/>
  <c r="J57"/>
  <c r="J56"/>
  <c r="J55"/>
  <c r="J54"/>
  <c r="J53"/>
  <c r="J52"/>
  <c r="J51"/>
  <c r="J50"/>
  <c r="J49"/>
  <c r="J48"/>
  <c r="J47"/>
  <c r="J46"/>
  <c r="J45"/>
  <c r="J44"/>
  <c r="J43"/>
  <c r="H63"/>
  <c r="H62"/>
  <c r="H61"/>
  <c r="H60"/>
  <c r="H59"/>
  <c r="H58"/>
  <c r="H57"/>
  <c r="H56"/>
  <c r="H55"/>
  <c r="H54"/>
  <c r="H53"/>
  <c r="H52"/>
  <c r="H51"/>
  <c r="H50"/>
  <c r="H49"/>
  <c r="H48"/>
  <c r="H47"/>
  <c r="H46"/>
  <c r="H45"/>
  <c r="B363" i="32"/>
  <c r="H44" i="33" s="1"/>
  <c r="H43"/>
  <c r="F63"/>
  <c r="F62"/>
  <c r="F61"/>
  <c r="F60"/>
  <c r="F59"/>
  <c r="F58"/>
  <c r="F57"/>
  <c r="F56"/>
  <c r="F55"/>
  <c r="F54"/>
  <c r="F53"/>
  <c r="F52"/>
  <c r="F51"/>
  <c r="F50"/>
  <c r="F49"/>
  <c r="F48"/>
  <c r="F47"/>
  <c r="F46"/>
  <c r="F45"/>
  <c r="B331" i="32"/>
  <c r="F44" i="33" s="1"/>
  <c r="F43"/>
  <c r="D63"/>
  <c r="D62"/>
  <c r="D61"/>
  <c r="D60"/>
  <c r="D59"/>
  <c r="D58"/>
  <c r="D57"/>
  <c r="D56"/>
  <c r="D55"/>
  <c r="D54"/>
  <c r="D53"/>
  <c r="D52"/>
  <c r="D51"/>
  <c r="D50"/>
  <c r="D49"/>
  <c r="D48"/>
  <c r="D47"/>
  <c r="D46"/>
  <c r="D45"/>
  <c r="B299" i="32"/>
  <c r="D44" i="33" s="1"/>
  <c r="D43"/>
  <c r="B63"/>
  <c r="B62"/>
  <c r="B61"/>
  <c r="B60"/>
  <c r="B59"/>
  <c r="B58"/>
  <c r="B57"/>
  <c r="B56"/>
  <c r="B55"/>
  <c r="B54"/>
  <c r="B53"/>
  <c r="B52"/>
  <c r="B51"/>
  <c r="B50"/>
  <c r="B49"/>
  <c r="B48"/>
  <c r="B47"/>
  <c r="B46"/>
  <c r="B45"/>
  <c r="B268" i="32"/>
  <c r="B44" i="33" s="1"/>
  <c r="B43"/>
  <c r="L63"/>
  <c r="L62"/>
  <c r="L61"/>
  <c r="L60"/>
  <c r="L58"/>
  <c r="L57"/>
  <c r="L56"/>
  <c r="L55"/>
  <c r="L53"/>
  <c r="L52"/>
  <c r="L51"/>
  <c r="L50"/>
  <c r="L48"/>
  <c r="L47"/>
  <c r="L46"/>
  <c r="L45"/>
  <c r="B235" i="32"/>
  <c r="L44" i="33" s="1"/>
  <c r="L43"/>
  <c r="L31"/>
  <c r="L30"/>
  <c r="L29"/>
  <c r="L28"/>
  <c r="L27"/>
  <c r="L26"/>
  <c r="L25"/>
  <c r="L24"/>
  <c r="L23"/>
  <c r="L22"/>
  <c r="L21"/>
  <c r="L20"/>
  <c r="L19"/>
  <c r="L18"/>
  <c r="L17"/>
  <c r="L16"/>
  <c r="L15"/>
  <c r="L14"/>
  <c r="L13"/>
  <c r="B204" i="32"/>
  <c r="L12" i="33" s="1"/>
  <c r="L11"/>
  <c r="J31"/>
  <c r="J30"/>
  <c r="J29"/>
  <c r="J28"/>
  <c r="J27"/>
  <c r="J26"/>
  <c r="J25"/>
  <c r="J24"/>
  <c r="J23"/>
  <c r="J22"/>
  <c r="J21"/>
  <c r="J20"/>
  <c r="J19"/>
  <c r="J18"/>
  <c r="J17"/>
  <c r="J16"/>
  <c r="J15"/>
  <c r="J14"/>
  <c r="J13"/>
  <c r="B172" i="32"/>
  <c r="J12" i="33" s="1"/>
  <c r="J11"/>
  <c r="H31"/>
  <c r="H30"/>
  <c r="H29"/>
  <c r="H28"/>
  <c r="H27"/>
  <c r="H26"/>
  <c r="H25"/>
  <c r="H24"/>
  <c r="H23"/>
  <c r="H22"/>
  <c r="H21"/>
  <c r="H20"/>
  <c r="H19"/>
  <c r="H18"/>
  <c r="H17"/>
  <c r="H16"/>
  <c r="H15"/>
  <c r="H14"/>
  <c r="H13"/>
  <c r="B139" i="32"/>
  <c r="H12" i="33" s="1"/>
  <c r="H11"/>
  <c r="F31"/>
  <c r="F30"/>
  <c r="F29"/>
  <c r="F28"/>
  <c r="F27"/>
  <c r="F26"/>
  <c r="F25"/>
  <c r="F24"/>
  <c r="F23"/>
  <c r="F22"/>
  <c r="F21"/>
  <c r="F20"/>
  <c r="F19"/>
  <c r="F18"/>
  <c r="F17"/>
  <c r="F16"/>
  <c r="F15"/>
  <c r="F14"/>
  <c r="F13"/>
  <c r="B107" i="32"/>
  <c r="F12" i="33" s="1"/>
  <c r="F11"/>
  <c r="D31"/>
  <c r="D30"/>
  <c r="D29"/>
  <c r="D28"/>
  <c r="D27"/>
  <c r="D26"/>
  <c r="D25"/>
  <c r="D24"/>
  <c r="D23"/>
  <c r="D22"/>
  <c r="D21"/>
  <c r="D20"/>
  <c r="D19"/>
  <c r="D18"/>
  <c r="D17"/>
  <c r="D16"/>
  <c r="D15"/>
  <c r="D14"/>
  <c r="D13"/>
  <c r="B75" i="32"/>
  <c r="D12" i="33" s="1"/>
  <c r="D11"/>
  <c r="B31"/>
  <c r="B30"/>
  <c r="B29"/>
  <c r="B28"/>
  <c r="B27"/>
  <c r="B26"/>
  <c r="B25"/>
  <c r="B24"/>
  <c r="B23"/>
  <c r="B22"/>
  <c r="B21"/>
  <c r="B20"/>
  <c r="B19"/>
  <c r="B18"/>
  <c r="B17"/>
  <c r="B16"/>
  <c r="B15"/>
  <c r="B14"/>
  <c r="B13"/>
  <c r="B43" i="32"/>
  <c r="B12" i="33" s="1"/>
  <c r="B11"/>
  <c r="N31"/>
  <c r="N30"/>
  <c r="N29"/>
  <c r="N28"/>
  <c r="N26"/>
  <c r="N25"/>
  <c r="N24"/>
  <c r="N23"/>
  <c r="N21"/>
  <c r="N20"/>
  <c r="N19"/>
  <c r="N18"/>
  <c r="N16"/>
  <c r="N15"/>
  <c r="N14"/>
  <c r="N13"/>
  <c r="N11"/>
  <c r="N539" i="32" l="1"/>
  <c r="O538"/>
  <c r="G94" i="33" s="1"/>
  <c r="N537" i="32"/>
  <c r="O536"/>
  <c r="G92" i="33" s="1"/>
  <c r="O534" i="32"/>
  <c r="G90" i="33" s="1"/>
  <c r="N532" i="32"/>
  <c r="C532"/>
  <c r="O532"/>
  <c r="G88" i="33" s="1"/>
  <c r="N531" i="32"/>
  <c r="N529"/>
  <c r="N533"/>
  <c r="I532" l="1"/>
  <c r="E534"/>
  <c r="L534"/>
  <c r="C536"/>
  <c r="I536"/>
  <c r="N536"/>
  <c r="E538"/>
  <c r="L538"/>
  <c r="E532"/>
  <c r="L532"/>
  <c r="C534"/>
  <c r="I534"/>
  <c r="N534"/>
  <c r="E536"/>
  <c r="L536"/>
  <c r="C538"/>
  <c r="I538"/>
  <c r="N538"/>
  <c r="J529"/>
  <c r="O529"/>
  <c r="G85" i="33" s="1"/>
  <c r="G531" i="32"/>
  <c r="M531"/>
  <c r="D537"/>
  <c r="G537"/>
  <c r="J537"/>
  <c r="M537"/>
  <c r="O537"/>
  <c r="G93" i="33" s="1"/>
  <c r="D539" i="32"/>
  <c r="G539"/>
  <c r="J539"/>
  <c r="M539"/>
  <c r="O539"/>
  <c r="G95" i="33" s="1"/>
  <c r="D529" i="32"/>
  <c r="G529"/>
  <c r="M529"/>
  <c r="D531"/>
  <c r="J531"/>
  <c r="O531"/>
  <c r="G87" i="33" s="1"/>
  <c r="C529" i="32"/>
  <c r="E529"/>
  <c r="I529"/>
  <c r="L529"/>
  <c r="C531"/>
  <c r="E531"/>
  <c r="I531"/>
  <c r="L531"/>
  <c r="D532"/>
  <c r="G532"/>
  <c r="J532"/>
  <c r="M532"/>
  <c r="D534"/>
  <c r="G534"/>
  <c r="J534"/>
  <c r="M534"/>
  <c r="D536"/>
  <c r="G536"/>
  <c r="J536"/>
  <c r="M536"/>
  <c r="C537"/>
  <c r="E537"/>
  <c r="I537"/>
  <c r="L537"/>
  <c r="D538"/>
  <c r="G538"/>
  <c r="J538"/>
  <c r="M538"/>
  <c r="C539"/>
  <c r="E539"/>
  <c r="I539"/>
  <c r="L539"/>
  <c r="N527"/>
  <c r="O526"/>
  <c r="G82" i="33" s="1"/>
  <c r="O524" i="32"/>
  <c r="G80" i="33" s="1"/>
  <c r="N523" i="32"/>
  <c r="G533"/>
  <c r="L528"/>
  <c r="G528"/>
  <c r="C528"/>
  <c r="D533"/>
  <c r="J528"/>
  <c r="N528"/>
  <c r="I528"/>
  <c r="O533"/>
  <c r="L533"/>
  <c r="E528"/>
  <c r="M533"/>
  <c r="I533"/>
  <c r="O528"/>
  <c r="J533"/>
  <c r="E533"/>
  <c r="D528"/>
  <c r="C533"/>
  <c r="M528"/>
  <c r="G89" i="33" l="1"/>
  <c r="G84"/>
  <c r="I524" i="32"/>
  <c r="J523"/>
  <c r="C524"/>
  <c r="N524"/>
  <c r="E526"/>
  <c r="E524"/>
  <c r="L524"/>
  <c r="C526"/>
  <c r="I526"/>
  <c r="N526"/>
  <c r="L526"/>
  <c r="G527"/>
  <c r="J527"/>
  <c r="M527"/>
  <c r="O527"/>
  <c r="G83" i="33" s="1"/>
  <c r="D523" i="32"/>
  <c r="G523"/>
  <c r="M523"/>
  <c r="O523"/>
  <c r="G79" i="33" s="1"/>
  <c r="D527" i="32"/>
  <c r="C523"/>
  <c r="E523"/>
  <c r="I523"/>
  <c r="L523"/>
  <c r="D524"/>
  <c r="G524"/>
  <c r="J524"/>
  <c r="M524"/>
  <c r="D526"/>
  <c r="G526"/>
  <c r="J526"/>
  <c r="M526"/>
  <c r="C527"/>
  <c r="E527"/>
  <c r="I527"/>
  <c r="L527"/>
  <c r="N521"/>
  <c r="C521"/>
  <c r="O521"/>
  <c r="G77" i="33" s="1"/>
  <c r="C522" i="32"/>
  <c r="D522"/>
  <c r="E522"/>
  <c r="G522"/>
  <c r="I522"/>
  <c r="J522"/>
  <c r="L522"/>
  <c r="M522"/>
  <c r="N522"/>
  <c r="O522"/>
  <c r="G78" i="33" s="1"/>
  <c r="I521" i="32" l="1"/>
  <c r="E521"/>
  <c r="L521"/>
  <c r="D521"/>
  <c r="G521"/>
  <c r="J521"/>
  <c r="M521"/>
  <c r="O507"/>
  <c r="E95" i="33" s="1"/>
  <c r="N506" i="32"/>
  <c r="O505"/>
  <c r="E93" i="33" s="1"/>
  <c r="O519" i="32"/>
  <c r="M519"/>
  <c r="N519"/>
  <c r="E519"/>
  <c r="L519"/>
  <c r="C519"/>
  <c r="J519"/>
  <c r="D519"/>
  <c r="I519"/>
  <c r="G519"/>
  <c r="I26" i="34" l="1"/>
  <c r="E26"/>
  <c r="J26"/>
  <c r="H26"/>
  <c r="F26"/>
  <c r="D26"/>
  <c r="B26"/>
  <c r="K26"/>
  <c r="G75" i="33"/>
  <c r="G26" i="34"/>
  <c r="C26"/>
  <c r="I507" i="32"/>
  <c r="C507"/>
  <c r="N507"/>
  <c r="E505"/>
  <c r="L505"/>
  <c r="C505"/>
  <c r="I505"/>
  <c r="N505"/>
  <c r="E507"/>
  <c r="L507"/>
  <c r="D506"/>
  <c r="G506"/>
  <c r="J506"/>
  <c r="M506"/>
  <c r="O506"/>
  <c r="E94" i="33" s="1"/>
  <c r="D505" i="32"/>
  <c r="G505"/>
  <c r="J505"/>
  <c r="M505"/>
  <c r="C506"/>
  <c r="E506"/>
  <c r="I506"/>
  <c r="L506"/>
  <c r="D507"/>
  <c r="G507"/>
  <c r="J507"/>
  <c r="M507"/>
  <c r="O502"/>
  <c r="E90" i="33" s="1"/>
  <c r="J504" i="32"/>
  <c r="G504"/>
  <c r="O504"/>
  <c r="N504"/>
  <c r="D504"/>
  <c r="E504"/>
  <c r="C504"/>
  <c r="M504"/>
  <c r="L504"/>
  <c r="I504"/>
  <c r="E92" i="33" l="1"/>
  <c r="D502" i="32"/>
  <c r="G502"/>
  <c r="J502"/>
  <c r="M502"/>
  <c r="C502"/>
  <c r="E502"/>
  <c r="I502"/>
  <c r="L502"/>
  <c r="N502"/>
  <c r="O500"/>
  <c r="E88" i="33" s="1"/>
  <c r="O499" i="32"/>
  <c r="E87" i="33" s="1"/>
  <c r="O497" i="32"/>
  <c r="E85" i="33" s="1"/>
  <c r="C501" i="32"/>
  <c r="J501"/>
  <c r="I501"/>
  <c r="L501"/>
  <c r="M501"/>
  <c r="D501"/>
  <c r="O501"/>
  <c r="E501"/>
  <c r="N501"/>
  <c r="G501"/>
  <c r="E89" i="33" l="1"/>
  <c r="E500" i="32"/>
  <c r="C500"/>
  <c r="I500"/>
  <c r="N500"/>
  <c r="L500"/>
  <c r="D497"/>
  <c r="G497"/>
  <c r="M497"/>
  <c r="C497"/>
  <c r="E497"/>
  <c r="I497"/>
  <c r="L497"/>
  <c r="N497"/>
  <c r="C499"/>
  <c r="E499"/>
  <c r="I499"/>
  <c r="L499"/>
  <c r="N499"/>
  <c r="D500"/>
  <c r="G500"/>
  <c r="J500"/>
  <c r="M500"/>
  <c r="J497"/>
  <c r="D499"/>
  <c r="G499"/>
  <c r="J499"/>
  <c r="M499"/>
  <c r="C495"/>
  <c r="D495"/>
  <c r="E495"/>
  <c r="G495"/>
  <c r="I495"/>
  <c r="J495"/>
  <c r="L495"/>
  <c r="M495"/>
  <c r="N495"/>
  <c r="O495"/>
  <c r="E83" i="33" s="1"/>
  <c r="N492" i="32"/>
  <c r="O491"/>
  <c r="E79" i="33" s="1"/>
  <c r="J494" i="32"/>
  <c r="G494"/>
  <c r="C494"/>
  <c r="E494"/>
  <c r="G496"/>
  <c r="M496"/>
  <c r="N496"/>
  <c r="E496"/>
  <c r="J496"/>
  <c r="C496"/>
  <c r="I496"/>
  <c r="D496"/>
  <c r="N494"/>
  <c r="D494"/>
  <c r="M494"/>
  <c r="L494"/>
  <c r="L496"/>
  <c r="I494"/>
  <c r="O494"/>
  <c r="O496"/>
  <c r="E82" i="33" l="1"/>
  <c r="E84"/>
  <c r="C491" i="32"/>
  <c r="E491"/>
  <c r="I491"/>
  <c r="L491"/>
  <c r="N491"/>
  <c r="D492"/>
  <c r="G492"/>
  <c r="J492"/>
  <c r="M492"/>
  <c r="O492"/>
  <c r="E80" i="33" s="1"/>
  <c r="D491" i="32"/>
  <c r="G491"/>
  <c r="J491"/>
  <c r="M491"/>
  <c r="C492"/>
  <c r="E492"/>
  <c r="I492"/>
  <c r="L492"/>
  <c r="C490"/>
  <c r="D490"/>
  <c r="E490"/>
  <c r="G490"/>
  <c r="I490"/>
  <c r="J490"/>
  <c r="L490"/>
  <c r="M490"/>
  <c r="N490"/>
  <c r="O490"/>
  <c r="E78" i="33" s="1"/>
  <c r="O475" i="32"/>
  <c r="C95" i="33" s="1"/>
  <c r="O474" i="32"/>
  <c r="C94" i="33" s="1"/>
  <c r="O473" i="32"/>
  <c r="C93" i="33" s="1"/>
  <c r="C472" i="32"/>
  <c r="O472"/>
  <c r="C92" i="33" s="1"/>
  <c r="O470" i="32"/>
  <c r="C90" i="33" s="1"/>
  <c r="E489" i="32"/>
  <c r="C489"/>
  <c r="O489"/>
  <c r="N489"/>
  <c r="G489"/>
  <c r="L489"/>
  <c r="I489"/>
  <c r="J489"/>
  <c r="D489"/>
  <c r="M489"/>
  <c r="E487"/>
  <c r="J487"/>
  <c r="M487"/>
  <c r="I487"/>
  <c r="C487"/>
  <c r="N487"/>
  <c r="L487"/>
  <c r="O487"/>
  <c r="D487"/>
  <c r="G487"/>
  <c r="I25" i="34" l="1"/>
  <c r="G25"/>
  <c r="C25"/>
  <c r="J25"/>
  <c r="H25"/>
  <c r="F25"/>
  <c r="D25"/>
  <c r="B25"/>
  <c r="K25"/>
  <c r="E75" i="33"/>
  <c r="E25" i="34"/>
  <c r="E77" i="33"/>
  <c r="I472" i="32"/>
  <c r="C470"/>
  <c r="I470"/>
  <c r="N470"/>
  <c r="E472"/>
  <c r="L472"/>
  <c r="C474"/>
  <c r="I474"/>
  <c r="N474"/>
  <c r="E470"/>
  <c r="L470"/>
  <c r="N472"/>
  <c r="E474"/>
  <c r="L474"/>
  <c r="D470"/>
  <c r="G470"/>
  <c r="J470"/>
  <c r="M470"/>
  <c r="D472"/>
  <c r="G472"/>
  <c r="J472"/>
  <c r="M472"/>
  <c r="C473"/>
  <c r="E473"/>
  <c r="I473"/>
  <c r="L473"/>
  <c r="N473"/>
  <c r="D474"/>
  <c r="G474"/>
  <c r="J474"/>
  <c r="M474"/>
  <c r="C475"/>
  <c r="E475"/>
  <c r="I475"/>
  <c r="L475"/>
  <c r="N475"/>
  <c r="D473"/>
  <c r="G473"/>
  <c r="J473"/>
  <c r="M473"/>
  <c r="D475"/>
  <c r="G475"/>
  <c r="J475"/>
  <c r="M475"/>
  <c r="O468"/>
  <c r="C88" i="33" s="1"/>
  <c r="O467" i="32"/>
  <c r="C87" i="33" s="1"/>
  <c r="O465" i="32"/>
  <c r="C85" i="33" s="1"/>
  <c r="D469" i="32"/>
  <c r="G469"/>
  <c r="C469"/>
  <c r="N469"/>
  <c r="L469"/>
  <c r="M469"/>
  <c r="E469"/>
  <c r="J469"/>
  <c r="O469"/>
  <c r="I469"/>
  <c r="C89" i="33" l="1"/>
  <c r="C467" i="32"/>
  <c r="N467"/>
  <c r="I467"/>
  <c r="E465"/>
  <c r="C465"/>
  <c r="I465"/>
  <c r="N465"/>
  <c r="E467"/>
  <c r="L467"/>
  <c r="L465"/>
  <c r="D465"/>
  <c r="G465"/>
  <c r="J465"/>
  <c r="M465"/>
  <c r="D467"/>
  <c r="G467"/>
  <c r="J467"/>
  <c r="M467"/>
  <c r="C468"/>
  <c r="E468"/>
  <c r="I468"/>
  <c r="L468"/>
  <c r="N468"/>
  <c r="D468"/>
  <c r="G468"/>
  <c r="J468"/>
  <c r="M468"/>
  <c r="N460"/>
  <c r="O459"/>
  <c r="C79" i="33" s="1"/>
  <c r="E462" i="32"/>
  <c r="I463"/>
  <c r="D464"/>
  <c r="L463"/>
  <c r="L462"/>
  <c r="G463"/>
  <c r="C464"/>
  <c r="J464"/>
  <c r="O464"/>
  <c r="L464"/>
  <c r="M462"/>
  <c r="J462"/>
  <c r="O463"/>
  <c r="D462"/>
  <c r="O462"/>
  <c r="C463"/>
  <c r="E463"/>
  <c r="J463"/>
  <c r="G464"/>
  <c r="N464"/>
  <c r="M463"/>
  <c r="C462"/>
  <c r="I464"/>
  <c r="G462"/>
  <c r="M464"/>
  <c r="N463"/>
  <c r="D463"/>
  <c r="E464"/>
  <c r="N462"/>
  <c r="I462"/>
  <c r="C82" i="33" l="1"/>
  <c r="C83"/>
  <c r="C84"/>
  <c r="C460" i="32"/>
  <c r="I460"/>
  <c r="E460"/>
  <c r="D459"/>
  <c r="G459"/>
  <c r="M459"/>
  <c r="C459"/>
  <c r="E459"/>
  <c r="I459"/>
  <c r="L459"/>
  <c r="N459"/>
  <c r="D460"/>
  <c r="G460"/>
  <c r="J460"/>
  <c r="M460"/>
  <c r="O460"/>
  <c r="C80" i="33" s="1"/>
  <c r="J459" i="32"/>
  <c r="L460"/>
  <c r="C458"/>
  <c r="D458"/>
  <c r="E458"/>
  <c r="G458"/>
  <c r="I458"/>
  <c r="J458"/>
  <c r="L458"/>
  <c r="M458"/>
  <c r="N458"/>
  <c r="O458"/>
  <c r="C78" i="33" s="1"/>
  <c r="N442" i="32"/>
  <c r="O441"/>
  <c r="I93" i="33" s="1"/>
  <c r="G457" i="32"/>
  <c r="J457"/>
  <c r="N457"/>
  <c r="D457"/>
  <c r="M457"/>
  <c r="I457"/>
  <c r="C457"/>
  <c r="L457"/>
  <c r="E457"/>
  <c r="O457"/>
  <c r="D455"/>
  <c r="N455"/>
  <c r="E455"/>
  <c r="I455"/>
  <c r="O455"/>
  <c r="J455"/>
  <c r="L455"/>
  <c r="M455"/>
  <c r="C455"/>
  <c r="G455"/>
  <c r="O443"/>
  <c r="I95" i="33" l="1"/>
  <c r="I24" i="34"/>
  <c r="E24"/>
  <c r="J24"/>
  <c r="H24"/>
  <c r="F24"/>
  <c r="D24"/>
  <c r="B24"/>
  <c r="C77" i="33"/>
  <c r="K24" i="34"/>
  <c r="C75" i="33"/>
  <c r="G24" i="34"/>
  <c r="C24"/>
  <c r="C441" i="32"/>
  <c r="E441"/>
  <c r="I441"/>
  <c r="L441"/>
  <c r="N441"/>
  <c r="D442"/>
  <c r="G442"/>
  <c r="J442"/>
  <c r="M442"/>
  <c r="O442"/>
  <c r="I94" i="33" s="1"/>
  <c r="D441" i="32"/>
  <c r="G441"/>
  <c r="J441"/>
  <c r="M441"/>
  <c r="C442"/>
  <c r="E442"/>
  <c r="I442"/>
  <c r="L442"/>
  <c r="O439"/>
  <c r="I90" i="33" s="1"/>
  <c r="C443" i="32"/>
  <c r="M443"/>
  <c r="G440"/>
  <c r="L440"/>
  <c r="J440"/>
  <c r="D443"/>
  <c r="N443"/>
  <c r="E440"/>
  <c r="M440"/>
  <c r="O440"/>
  <c r="J443"/>
  <c r="I440"/>
  <c r="D440"/>
  <c r="N440"/>
  <c r="E443"/>
  <c r="G443"/>
  <c r="C440"/>
  <c r="L443"/>
  <c r="I443"/>
  <c r="I92" i="33" l="1"/>
  <c r="D439" i="32"/>
  <c r="G439"/>
  <c r="M439"/>
  <c r="C439"/>
  <c r="E439"/>
  <c r="I439"/>
  <c r="L439"/>
  <c r="N439"/>
  <c r="J439"/>
  <c r="O437"/>
  <c r="I88" i="33" s="1"/>
  <c r="N436" i="32"/>
  <c r="C438"/>
  <c r="O438"/>
  <c r="J438"/>
  <c r="E438"/>
  <c r="M438"/>
  <c r="N438"/>
  <c r="L438"/>
  <c r="I438"/>
  <c r="G438"/>
  <c r="D438"/>
  <c r="O435"/>
  <c r="I85" i="33" l="1"/>
  <c r="I89"/>
  <c r="D436" i="32"/>
  <c r="G436"/>
  <c r="J436"/>
  <c r="M436"/>
  <c r="O436"/>
  <c r="I87" i="33" s="1"/>
  <c r="C437" i="32"/>
  <c r="E437"/>
  <c r="I437"/>
  <c r="L437"/>
  <c r="N437"/>
  <c r="C436"/>
  <c r="E436"/>
  <c r="I436"/>
  <c r="L436"/>
  <c r="D437"/>
  <c r="G437"/>
  <c r="J437"/>
  <c r="M437"/>
  <c r="I433"/>
  <c r="I434"/>
  <c r="D434"/>
  <c r="E434"/>
  <c r="G434"/>
  <c r="O433"/>
  <c r="O434"/>
  <c r="C433"/>
  <c r="D435"/>
  <c r="L434"/>
  <c r="N435"/>
  <c r="J434"/>
  <c r="L433"/>
  <c r="I435"/>
  <c r="E435"/>
  <c r="G435"/>
  <c r="M433"/>
  <c r="D433"/>
  <c r="L435"/>
  <c r="C434"/>
  <c r="G433"/>
  <c r="M435"/>
  <c r="N434"/>
  <c r="J435"/>
  <c r="M434"/>
  <c r="E433"/>
  <c r="N433"/>
  <c r="C435"/>
  <c r="J433"/>
  <c r="I83" i="33" l="1"/>
  <c r="I84"/>
  <c r="O431" i="32"/>
  <c r="I80" i="33" s="1"/>
  <c r="O430" i="32"/>
  <c r="I79" i="33" s="1"/>
  <c r="G432" i="32"/>
  <c r="J432"/>
  <c r="N432"/>
  <c r="D432"/>
  <c r="E432"/>
  <c r="M432"/>
  <c r="C432"/>
  <c r="L432"/>
  <c r="O432"/>
  <c r="I432"/>
  <c r="I82" i="33" l="1"/>
  <c r="E430" i="32"/>
  <c r="C430"/>
  <c r="I430"/>
  <c r="N430"/>
  <c r="L430"/>
  <c r="D430"/>
  <c r="G430"/>
  <c r="J430"/>
  <c r="M430"/>
  <c r="C431"/>
  <c r="E431"/>
  <c r="I431"/>
  <c r="L431"/>
  <c r="N431"/>
  <c r="D431"/>
  <c r="G431"/>
  <c r="J431"/>
  <c r="M431"/>
  <c r="C429"/>
  <c r="D429"/>
  <c r="E429"/>
  <c r="G429"/>
  <c r="I429"/>
  <c r="J429"/>
  <c r="L429"/>
  <c r="M429"/>
  <c r="N429"/>
  <c r="O429"/>
  <c r="I78" i="33" s="1"/>
  <c r="K63"/>
  <c r="K61"/>
  <c r="D428" i="32"/>
  <c r="O428"/>
  <c r="L428"/>
  <c r="I428"/>
  <c r="M428"/>
  <c r="G428"/>
  <c r="E428"/>
  <c r="C428"/>
  <c r="N428"/>
  <c r="J428"/>
  <c r="C426"/>
  <c r="E426"/>
  <c r="I426"/>
  <c r="L426"/>
  <c r="J426"/>
  <c r="M426"/>
  <c r="O426"/>
  <c r="N426"/>
  <c r="D426"/>
  <c r="G426"/>
  <c r="K62" i="33" l="1"/>
  <c r="K28" i="34"/>
  <c r="I75" i="33"/>
  <c r="I28" i="34"/>
  <c r="G28"/>
  <c r="E28"/>
  <c r="C28"/>
  <c r="I77" i="33"/>
  <c r="J28" i="34"/>
  <c r="H28"/>
  <c r="F28"/>
  <c r="D28"/>
  <c r="B28"/>
  <c r="K58" i="33"/>
  <c r="K60"/>
  <c r="K57" l="1"/>
  <c r="K55"/>
  <c r="K53"/>
  <c r="K52"/>
  <c r="K51"/>
  <c r="K50"/>
  <c r="K48"/>
  <c r="K47"/>
  <c r="K46"/>
  <c r="K45"/>
  <c r="K56"/>
  <c r="O349" i="32" l="1"/>
  <c r="G62" i="33" s="1"/>
  <c r="C350" i="32"/>
  <c r="D350"/>
  <c r="E350"/>
  <c r="G350"/>
  <c r="I350"/>
  <c r="J350"/>
  <c r="L350"/>
  <c r="M350"/>
  <c r="N350"/>
  <c r="O350"/>
  <c r="G63" i="33" s="1"/>
  <c r="L375" i="32"/>
  <c r="M372"/>
  <c r="J364"/>
  <c r="J377"/>
  <c r="O367"/>
  <c r="J381"/>
  <c r="N379"/>
  <c r="J382"/>
  <c r="M375"/>
  <c r="J369"/>
  <c r="I365"/>
  <c r="M380"/>
  <c r="E376"/>
  <c r="I374"/>
  <c r="J365"/>
  <c r="N380"/>
  <c r="L376"/>
  <c r="J374"/>
  <c r="L377"/>
  <c r="G377"/>
  <c r="L374"/>
  <c r="D374"/>
  <c r="G380"/>
  <c r="G371"/>
  <c r="J372"/>
  <c r="D377"/>
  <c r="N371"/>
  <c r="E366"/>
  <c r="O382"/>
  <c r="L382"/>
  <c r="J379"/>
  <c r="L371"/>
  <c r="M365"/>
  <c r="C377"/>
  <c r="J371"/>
  <c r="M377"/>
  <c r="G365"/>
  <c r="I364"/>
  <c r="C382"/>
  <c r="J375"/>
  <c r="O365"/>
  <c r="E374"/>
  <c r="D364"/>
  <c r="L369"/>
  <c r="G372"/>
  <c r="I366"/>
  <c r="N376"/>
  <c r="D365"/>
  <c r="G370"/>
  <c r="C376"/>
  <c r="M367"/>
  <c r="L372"/>
  <c r="E367"/>
  <c r="G381"/>
  <c r="N366"/>
  <c r="I367"/>
  <c r="M369"/>
  <c r="I381"/>
  <c r="N381"/>
  <c r="M381"/>
  <c r="E364"/>
  <c r="I379"/>
  <c r="I375"/>
  <c r="D382"/>
  <c r="L366"/>
  <c r="O364"/>
  <c r="O376"/>
  <c r="D376"/>
  <c r="E369"/>
  <c r="D380"/>
  <c r="D367"/>
  <c r="N377"/>
  <c r="M374"/>
  <c r="G367"/>
  <c r="N382"/>
  <c r="D370"/>
  <c r="L367"/>
  <c r="J380"/>
  <c r="G374"/>
  <c r="N364"/>
  <c r="I376"/>
  <c r="L364"/>
  <c r="G379"/>
  <c r="J366"/>
  <c r="L365"/>
  <c r="C379"/>
  <c r="L381"/>
  <c r="N367"/>
  <c r="E377"/>
  <c r="L379"/>
  <c r="O380"/>
  <c r="D371"/>
  <c r="O366"/>
  <c r="O372"/>
  <c r="N370"/>
  <c r="G375"/>
  <c r="E365"/>
  <c r="I380"/>
  <c r="M371"/>
  <c r="G369"/>
  <c r="I382"/>
  <c r="E380"/>
  <c r="E371"/>
  <c r="I371"/>
  <c r="N365"/>
  <c r="O370"/>
  <c r="L380"/>
  <c r="E382"/>
  <c r="C370"/>
  <c r="N375"/>
  <c r="E379"/>
  <c r="G366"/>
  <c r="C381"/>
  <c r="C367"/>
  <c r="E370"/>
  <c r="C369"/>
  <c r="G382"/>
  <c r="O379"/>
  <c r="E375"/>
  <c r="G364"/>
  <c r="C366"/>
  <c r="I372"/>
  <c r="D379"/>
  <c r="C365"/>
  <c r="J370"/>
  <c r="I370"/>
  <c r="O375"/>
  <c r="G376"/>
  <c r="C372"/>
  <c r="O371"/>
  <c r="O377"/>
  <c r="I369"/>
  <c r="M370"/>
  <c r="N369"/>
  <c r="D381"/>
  <c r="O381"/>
  <c r="L370"/>
  <c r="O369"/>
  <c r="C364"/>
  <c r="C371"/>
  <c r="D366"/>
  <c r="E372"/>
  <c r="C374"/>
  <c r="J376"/>
  <c r="O374"/>
  <c r="D375"/>
  <c r="M366"/>
  <c r="I377"/>
  <c r="M379"/>
  <c r="E381"/>
  <c r="M364"/>
  <c r="M382"/>
  <c r="D372"/>
  <c r="M376"/>
  <c r="N372"/>
  <c r="N374"/>
  <c r="D369"/>
  <c r="C380"/>
  <c r="C375"/>
  <c r="J367"/>
  <c r="L362"/>
  <c r="C362"/>
  <c r="D362"/>
  <c r="O362"/>
  <c r="N362"/>
  <c r="J362"/>
  <c r="G362"/>
  <c r="I362"/>
  <c r="M362"/>
  <c r="E362"/>
  <c r="I47" i="33" l="1"/>
  <c r="K20" i="34"/>
  <c r="I43" i="33"/>
  <c r="I20" i="34"/>
  <c r="G20"/>
  <c r="E20"/>
  <c r="C20"/>
  <c r="I45" i="33"/>
  <c r="I46"/>
  <c r="I48"/>
  <c r="I50"/>
  <c r="I51"/>
  <c r="I52"/>
  <c r="I53"/>
  <c r="I55"/>
  <c r="I56"/>
  <c r="I57"/>
  <c r="I58"/>
  <c r="I60"/>
  <c r="I61"/>
  <c r="I62"/>
  <c r="I63"/>
  <c r="K43"/>
  <c r="J20" i="34"/>
  <c r="H20"/>
  <c r="F20"/>
  <c r="D20"/>
  <c r="B20"/>
  <c r="C349" i="32"/>
  <c r="E349"/>
  <c r="I349"/>
  <c r="L349"/>
  <c r="N349"/>
  <c r="D349"/>
  <c r="G349"/>
  <c r="J349"/>
  <c r="M349"/>
  <c r="O318"/>
  <c r="E63" i="33" s="1"/>
  <c r="C317" i="32"/>
  <c r="N317"/>
  <c r="D337"/>
  <c r="I337"/>
  <c r="L334"/>
  <c r="O337"/>
  <c r="C332"/>
  <c r="J338"/>
  <c r="J333"/>
  <c r="J348"/>
  <c r="E333"/>
  <c r="M339"/>
  <c r="G333"/>
  <c r="E339"/>
  <c r="O344"/>
  <c r="L343"/>
  <c r="N338"/>
  <c r="O348"/>
  <c r="I334"/>
  <c r="C338"/>
  <c r="I335"/>
  <c r="O335"/>
  <c r="I347"/>
  <c r="M337"/>
  <c r="J347"/>
  <c r="C345"/>
  <c r="I333"/>
  <c r="C348"/>
  <c r="I339"/>
  <c r="I338"/>
  <c r="M333"/>
  <c r="I342"/>
  <c r="M332"/>
  <c r="L333"/>
  <c r="O333"/>
  <c r="J343"/>
  <c r="M348"/>
  <c r="O343"/>
  <c r="M335"/>
  <c r="G332"/>
  <c r="N334"/>
  <c r="C340"/>
  <c r="E337"/>
  <c r="C334"/>
  <c r="D342"/>
  <c r="G347"/>
  <c r="G338"/>
  <c r="N343"/>
  <c r="D343"/>
  <c r="N332"/>
  <c r="L348"/>
  <c r="N339"/>
  <c r="I343"/>
  <c r="D339"/>
  <c r="L332"/>
  <c r="L335"/>
  <c r="M342"/>
  <c r="D344"/>
  <c r="E345"/>
  <c r="N337"/>
  <c r="L344"/>
  <c r="L347"/>
  <c r="E332"/>
  <c r="E334"/>
  <c r="N344"/>
  <c r="C347"/>
  <c r="G345"/>
  <c r="C342"/>
  <c r="O338"/>
  <c r="M345"/>
  <c r="E335"/>
  <c r="L340"/>
  <c r="M334"/>
  <c r="E340"/>
  <c r="O347"/>
  <c r="C339"/>
  <c r="N340"/>
  <c r="D345"/>
  <c r="L339"/>
  <c r="N333"/>
  <c r="D335"/>
  <c r="J337"/>
  <c r="J340"/>
  <c r="G335"/>
  <c r="D334"/>
  <c r="O334"/>
  <c r="M338"/>
  <c r="G334"/>
  <c r="J332"/>
  <c r="I348"/>
  <c r="O339"/>
  <c r="C344"/>
  <c r="E348"/>
  <c r="L337"/>
  <c r="I345"/>
  <c r="E342"/>
  <c r="G340"/>
  <c r="E344"/>
  <c r="M344"/>
  <c r="C335"/>
  <c r="L342"/>
  <c r="C333"/>
  <c r="C337"/>
  <c r="N345"/>
  <c r="N348"/>
  <c r="M340"/>
  <c r="E343"/>
  <c r="D332"/>
  <c r="J339"/>
  <c r="O340"/>
  <c r="I332"/>
  <c r="O345"/>
  <c r="I344"/>
  <c r="E338"/>
  <c r="D338"/>
  <c r="L345"/>
  <c r="J342"/>
  <c r="J344"/>
  <c r="G343"/>
  <c r="O342"/>
  <c r="J334"/>
  <c r="M343"/>
  <c r="I340"/>
  <c r="E347"/>
  <c r="M347"/>
  <c r="D340"/>
  <c r="G339"/>
  <c r="L338"/>
  <c r="J335"/>
  <c r="G344"/>
  <c r="N347"/>
  <c r="G337"/>
  <c r="N342"/>
  <c r="D347"/>
  <c r="N335"/>
  <c r="C343"/>
  <c r="D348"/>
  <c r="J345"/>
  <c r="G348"/>
  <c r="O332"/>
  <c r="G342"/>
  <c r="D333"/>
  <c r="I330"/>
  <c r="C330"/>
  <c r="N330"/>
  <c r="J330"/>
  <c r="O330"/>
  <c r="M330"/>
  <c r="G330"/>
  <c r="L330"/>
  <c r="E330"/>
  <c r="D330"/>
  <c r="G47" i="33" l="1"/>
  <c r="J19" i="34"/>
  <c r="F19"/>
  <c r="D19"/>
  <c r="G43" i="33"/>
  <c r="K19" i="34"/>
  <c r="I19"/>
  <c r="G19"/>
  <c r="E19"/>
  <c r="C19"/>
  <c r="H19"/>
  <c r="B19"/>
  <c r="G45" i="33"/>
  <c r="G46"/>
  <c r="G48"/>
  <c r="G50"/>
  <c r="G51"/>
  <c r="G52"/>
  <c r="G53"/>
  <c r="G55"/>
  <c r="G56"/>
  <c r="G57"/>
  <c r="G58"/>
  <c r="G60"/>
  <c r="G61"/>
  <c r="I317" i="32"/>
  <c r="E317"/>
  <c r="L317"/>
  <c r="D317"/>
  <c r="G317"/>
  <c r="J317"/>
  <c r="M317"/>
  <c r="O317"/>
  <c r="E62" i="33" s="1"/>
  <c r="C318" i="32"/>
  <c r="E318"/>
  <c r="I318"/>
  <c r="L318"/>
  <c r="N318"/>
  <c r="D318"/>
  <c r="G318"/>
  <c r="J318"/>
  <c r="M318"/>
  <c r="C302"/>
  <c r="D302"/>
  <c r="E302"/>
  <c r="G302"/>
  <c r="I302"/>
  <c r="J302"/>
  <c r="L302"/>
  <c r="M302"/>
  <c r="N302"/>
  <c r="O302"/>
  <c r="E47" i="33" s="1"/>
  <c r="C311" i="32"/>
  <c r="J300"/>
  <c r="D311"/>
  <c r="D300"/>
  <c r="D315"/>
  <c r="O303"/>
  <c r="I310"/>
  <c r="J312"/>
  <c r="D307"/>
  <c r="N311"/>
  <c r="M303"/>
  <c r="I308"/>
  <c r="L315"/>
  <c r="O315"/>
  <c r="E315"/>
  <c r="I315"/>
  <c r="D316"/>
  <c r="O305"/>
  <c r="G301"/>
  <c r="O313"/>
  <c r="J303"/>
  <c r="N307"/>
  <c r="J301"/>
  <c r="G316"/>
  <c r="I301"/>
  <c r="I303"/>
  <c r="O311"/>
  <c r="I316"/>
  <c r="C312"/>
  <c r="J308"/>
  <c r="C315"/>
  <c r="C305"/>
  <c r="G315"/>
  <c r="N300"/>
  <c r="I313"/>
  <c r="J307"/>
  <c r="E311"/>
  <c r="J311"/>
  <c r="J313"/>
  <c r="C301"/>
  <c r="M308"/>
  <c r="O312"/>
  <c r="O301"/>
  <c r="M312"/>
  <c r="D310"/>
  <c r="E312"/>
  <c r="J306"/>
  <c r="C300"/>
  <c r="D301"/>
  <c r="L312"/>
  <c r="L306"/>
  <c r="M301"/>
  <c r="O308"/>
  <c r="E308"/>
  <c r="L300"/>
  <c r="G300"/>
  <c r="G313"/>
  <c r="G311"/>
  <c r="L308"/>
  <c r="L316"/>
  <c r="N313"/>
  <c r="N303"/>
  <c r="L303"/>
  <c r="G305"/>
  <c r="M315"/>
  <c r="M305"/>
  <c r="O306"/>
  <c r="G308"/>
  <c r="E303"/>
  <c r="N315"/>
  <c r="N305"/>
  <c r="E310"/>
  <c r="O316"/>
  <c r="M316"/>
  <c r="M306"/>
  <c r="G306"/>
  <c r="M310"/>
  <c r="C316"/>
  <c r="N301"/>
  <c r="G312"/>
  <c r="C307"/>
  <c r="I306"/>
  <c r="D308"/>
  <c r="O307"/>
  <c r="D306"/>
  <c r="E301"/>
  <c r="N306"/>
  <c r="N312"/>
  <c r="E306"/>
  <c r="E313"/>
  <c r="I312"/>
  <c r="D303"/>
  <c r="L311"/>
  <c r="C308"/>
  <c r="C310"/>
  <c r="L305"/>
  <c r="O310"/>
  <c r="M300"/>
  <c r="D312"/>
  <c r="D305"/>
  <c r="J316"/>
  <c r="C306"/>
  <c r="N316"/>
  <c r="N310"/>
  <c r="I305"/>
  <c r="I307"/>
  <c r="L310"/>
  <c r="M307"/>
  <c r="D313"/>
  <c r="C303"/>
  <c r="N308"/>
  <c r="E316"/>
  <c r="G310"/>
  <c r="M311"/>
  <c r="L301"/>
  <c r="I300"/>
  <c r="J315"/>
  <c r="J310"/>
  <c r="O300"/>
  <c r="L307"/>
  <c r="M313"/>
  <c r="E305"/>
  <c r="L313"/>
  <c r="E300"/>
  <c r="J305"/>
  <c r="E307"/>
  <c r="C313"/>
  <c r="G303"/>
  <c r="G307"/>
  <c r="I311"/>
  <c r="N298"/>
  <c r="M298"/>
  <c r="G298"/>
  <c r="I298"/>
  <c r="D298"/>
  <c r="O298"/>
  <c r="E298"/>
  <c r="J298"/>
  <c r="C298"/>
  <c r="L298"/>
  <c r="L287"/>
  <c r="O286"/>
  <c r="E287"/>
  <c r="O287"/>
  <c r="G287"/>
  <c r="D287"/>
  <c r="M287"/>
  <c r="N287"/>
  <c r="I287"/>
  <c r="C287"/>
  <c r="J287"/>
  <c r="C62" i="33" l="1"/>
  <c r="C63"/>
  <c r="H18" i="34"/>
  <c r="F18"/>
  <c r="D18"/>
  <c r="K18"/>
  <c r="E43" i="33"/>
  <c r="I18" i="34"/>
  <c r="G18"/>
  <c r="E18"/>
  <c r="C18"/>
  <c r="E45" i="33"/>
  <c r="E46"/>
  <c r="E48"/>
  <c r="E50"/>
  <c r="E51"/>
  <c r="E52"/>
  <c r="E53"/>
  <c r="E55"/>
  <c r="E56"/>
  <c r="E57"/>
  <c r="E58"/>
  <c r="E60"/>
  <c r="E61"/>
  <c r="J18" i="34"/>
  <c r="B18"/>
  <c r="N286" i="32"/>
  <c r="M285"/>
  <c r="L285"/>
  <c r="O285"/>
  <c r="I286"/>
  <c r="G285"/>
  <c r="C285"/>
  <c r="E286"/>
  <c r="N285"/>
  <c r="D285"/>
  <c r="J286"/>
  <c r="I285"/>
  <c r="G286"/>
  <c r="E285"/>
  <c r="L286"/>
  <c r="O284"/>
  <c r="M286"/>
  <c r="J285"/>
  <c r="C286"/>
  <c r="D286"/>
  <c r="C60" i="33" l="1"/>
  <c r="C61"/>
  <c r="L284" i="32"/>
  <c r="I282"/>
  <c r="L281"/>
  <c r="C282"/>
  <c r="I281"/>
  <c r="D282"/>
  <c r="G282"/>
  <c r="O280"/>
  <c r="O281"/>
  <c r="O282"/>
  <c r="G284"/>
  <c r="L282"/>
  <c r="E284"/>
  <c r="C281"/>
  <c r="E282"/>
  <c r="N284"/>
  <c r="J281"/>
  <c r="I284"/>
  <c r="N282"/>
  <c r="G281"/>
  <c r="J284"/>
  <c r="M281"/>
  <c r="M282"/>
  <c r="D284"/>
  <c r="E281"/>
  <c r="C284"/>
  <c r="M284"/>
  <c r="N281"/>
  <c r="D281"/>
  <c r="J282"/>
  <c r="C56" i="33" l="1"/>
  <c r="C57"/>
  <c r="C58"/>
  <c r="I280" i="32"/>
  <c r="E279"/>
  <c r="C277"/>
  <c r="N277"/>
  <c r="N276"/>
  <c r="C279"/>
  <c r="L277"/>
  <c r="M280"/>
  <c r="M279"/>
  <c r="L276"/>
  <c r="C276"/>
  <c r="I279"/>
  <c r="O275"/>
  <c r="G279"/>
  <c r="D276"/>
  <c r="E280"/>
  <c r="D279"/>
  <c r="O279"/>
  <c r="M277"/>
  <c r="O276"/>
  <c r="C280"/>
  <c r="N279"/>
  <c r="J276"/>
  <c r="D280"/>
  <c r="J277"/>
  <c r="M276"/>
  <c r="G280"/>
  <c r="G277"/>
  <c r="E277"/>
  <c r="L280"/>
  <c r="O277"/>
  <c r="J280"/>
  <c r="L279"/>
  <c r="I277"/>
  <c r="I276"/>
  <c r="J279"/>
  <c r="E276"/>
  <c r="N280"/>
  <c r="G276"/>
  <c r="D277"/>
  <c r="C53" i="33" l="1"/>
  <c r="C55"/>
  <c r="C51"/>
  <c r="C52"/>
  <c r="I275" i="32"/>
  <c r="D274"/>
  <c r="N274"/>
  <c r="J274"/>
  <c r="M274"/>
  <c r="M275"/>
  <c r="E272"/>
  <c r="J275"/>
  <c r="O274"/>
  <c r="L272"/>
  <c r="D275"/>
  <c r="G272"/>
  <c r="N275"/>
  <c r="D272"/>
  <c r="I272"/>
  <c r="E275"/>
  <c r="O271"/>
  <c r="G274"/>
  <c r="C275"/>
  <c r="N272"/>
  <c r="L274"/>
  <c r="G275"/>
  <c r="M272"/>
  <c r="C272"/>
  <c r="J272"/>
  <c r="L275"/>
  <c r="O272"/>
  <c r="I274"/>
  <c r="C274"/>
  <c r="E274"/>
  <c r="C47" i="33" l="1"/>
  <c r="C48"/>
  <c r="C50"/>
  <c r="C220" i="32"/>
  <c r="D220"/>
  <c r="E220"/>
  <c r="G220"/>
  <c r="I220"/>
  <c r="J220"/>
  <c r="L220"/>
  <c r="M220"/>
  <c r="N220"/>
  <c r="O220"/>
  <c r="M28" i="33" s="1"/>
  <c r="C215" i="32"/>
  <c r="D215"/>
  <c r="E215"/>
  <c r="G215"/>
  <c r="I215"/>
  <c r="J215"/>
  <c r="L215"/>
  <c r="M215"/>
  <c r="N215"/>
  <c r="O215"/>
  <c r="M23" i="33" s="1"/>
  <c r="O211" i="32"/>
  <c r="M19" i="33" s="1"/>
  <c r="C212" i="32"/>
  <c r="D212"/>
  <c r="E212"/>
  <c r="G212"/>
  <c r="I212"/>
  <c r="J212"/>
  <c r="L212"/>
  <c r="M212"/>
  <c r="N212"/>
  <c r="O212"/>
  <c r="M20" i="33" s="1"/>
  <c r="L271" i="32"/>
  <c r="E270"/>
  <c r="C269"/>
  <c r="N269"/>
  <c r="C270"/>
  <c r="L269"/>
  <c r="M271"/>
  <c r="J269"/>
  <c r="G271"/>
  <c r="I270"/>
  <c r="E269"/>
  <c r="D269"/>
  <c r="I271"/>
  <c r="D270"/>
  <c r="O270"/>
  <c r="M269"/>
  <c r="E271"/>
  <c r="N270"/>
  <c r="C271"/>
  <c r="M270"/>
  <c r="J270"/>
  <c r="D271"/>
  <c r="N271"/>
  <c r="O269"/>
  <c r="J271"/>
  <c r="L270"/>
  <c r="I269"/>
  <c r="G269"/>
  <c r="G270"/>
  <c r="M267"/>
  <c r="J267"/>
  <c r="D267"/>
  <c r="G267"/>
  <c r="N267"/>
  <c r="I267"/>
  <c r="E267"/>
  <c r="L267"/>
  <c r="O267"/>
  <c r="C267"/>
  <c r="D251"/>
  <c r="G254"/>
  <c r="J244"/>
  <c r="J254"/>
  <c r="M254"/>
  <c r="I251"/>
  <c r="I244"/>
  <c r="N244"/>
  <c r="E236"/>
  <c r="C248"/>
  <c r="O244"/>
  <c r="I242"/>
  <c r="O251"/>
  <c r="G249"/>
  <c r="J246"/>
  <c r="J252"/>
  <c r="E248"/>
  <c r="E244"/>
  <c r="D237"/>
  <c r="C252"/>
  <c r="D243"/>
  <c r="J236"/>
  <c r="G246"/>
  <c r="C243"/>
  <c r="N236"/>
  <c r="C239"/>
  <c r="G247"/>
  <c r="M251"/>
  <c r="G243"/>
  <c r="D252"/>
  <c r="D241"/>
  <c r="I252"/>
  <c r="M241"/>
  <c r="I253"/>
  <c r="E238"/>
  <c r="N251"/>
  <c r="I238"/>
  <c r="E241"/>
  <c r="E253"/>
  <c r="C253"/>
  <c r="M238"/>
  <c r="J242"/>
  <c r="L238"/>
  <c r="O238"/>
  <c r="C244"/>
  <c r="O237"/>
  <c r="I243"/>
  <c r="D244"/>
  <c r="L243"/>
  <c r="J239"/>
  <c r="M236"/>
  <c r="N253"/>
  <c r="M248"/>
  <c r="G238"/>
  <c r="I254"/>
  <c r="E239"/>
  <c r="N239"/>
  <c r="G237"/>
  <c r="E242"/>
  <c r="N243"/>
  <c r="E237"/>
  <c r="E254"/>
  <c r="O249"/>
  <c r="E246"/>
  <c r="O248"/>
  <c r="O254"/>
  <c r="J243"/>
  <c r="N249"/>
  <c r="N252"/>
  <c r="N246"/>
  <c r="D249"/>
  <c r="E243"/>
  <c r="M242"/>
  <c r="G248"/>
  <c r="O247"/>
  <c r="L248"/>
  <c r="J237"/>
  <c r="D253"/>
  <c r="E252"/>
  <c r="E251"/>
  <c r="G241"/>
  <c r="I237"/>
  <c r="C236"/>
  <c r="G252"/>
  <c r="L244"/>
  <c r="N237"/>
  <c r="C241"/>
  <c r="I247"/>
  <c r="L242"/>
  <c r="L252"/>
  <c r="I246"/>
  <c r="D247"/>
  <c r="M237"/>
  <c r="C242"/>
  <c r="L237"/>
  <c r="G244"/>
  <c r="L251"/>
  <c r="G242"/>
  <c r="M246"/>
  <c r="J249"/>
  <c r="M247"/>
  <c r="J251"/>
  <c r="O236"/>
  <c r="J238"/>
  <c r="J253"/>
  <c r="G239"/>
  <c r="C246"/>
  <c r="O253"/>
  <c r="O242"/>
  <c r="N247"/>
  <c r="E249"/>
  <c r="D236"/>
  <c r="G236"/>
  <c r="N242"/>
  <c r="L253"/>
  <c r="N238"/>
  <c r="O239"/>
  <c r="O243"/>
  <c r="G253"/>
  <c r="C249"/>
  <c r="C254"/>
  <c r="N241"/>
  <c r="M249"/>
  <c r="E247"/>
  <c r="D238"/>
  <c r="L241"/>
  <c r="D248"/>
  <c r="I239"/>
  <c r="I249"/>
  <c r="J248"/>
  <c r="O241"/>
  <c r="J241"/>
  <c r="C247"/>
  <c r="D246"/>
  <c r="I248"/>
  <c r="N248"/>
  <c r="M243"/>
  <c r="M253"/>
  <c r="L239"/>
  <c r="L249"/>
  <c r="M239"/>
  <c r="C238"/>
  <c r="O252"/>
  <c r="D254"/>
  <c r="I236"/>
  <c r="O246"/>
  <c r="C251"/>
  <c r="M244"/>
  <c r="I241"/>
  <c r="D242"/>
  <c r="M252"/>
  <c r="G251"/>
  <c r="C237"/>
  <c r="D239"/>
  <c r="L236"/>
  <c r="L247"/>
  <c r="J247"/>
  <c r="N254"/>
  <c r="L246"/>
  <c r="L254"/>
  <c r="L234"/>
  <c r="M234"/>
  <c r="E234"/>
  <c r="O234"/>
  <c r="C234"/>
  <c r="J234"/>
  <c r="N234"/>
  <c r="G234"/>
  <c r="I234"/>
  <c r="D234"/>
  <c r="O216"/>
  <c r="J213"/>
  <c r="O218"/>
  <c r="C222"/>
  <c r="L221"/>
  <c r="G218"/>
  <c r="I216"/>
  <c r="I213"/>
  <c r="E213"/>
  <c r="E223"/>
  <c r="G223"/>
  <c r="N221"/>
  <c r="G216"/>
  <c r="L223"/>
  <c r="G213"/>
  <c r="I218"/>
  <c r="L217"/>
  <c r="N218"/>
  <c r="I223"/>
  <c r="C213"/>
  <c r="C216"/>
  <c r="M217"/>
  <c r="E218"/>
  <c r="E217"/>
  <c r="L213"/>
  <c r="O217"/>
  <c r="E221"/>
  <c r="N222"/>
  <c r="D217"/>
  <c r="M221"/>
  <c r="J216"/>
  <c r="N223"/>
  <c r="G221"/>
  <c r="O223"/>
  <c r="I217"/>
  <c r="M216"/>
  <c r="J217"/>
  <c r="L218"/>
  <c r="J218"/>
  <c r="D221"/>
  <c r="J223"/>
  <c r="E216"/>
  <c r="I221"/>
  <c r="G217"/>
  <c r="O222"/>
  <c r="C218"/>
  <c r="O213"/>
  <c r="C223"/>
  <c r="C221"/>
  <c r="N217"/>
  <c r="N213"/>
  <c r="O221"/>
  <c r="E222"/>
  <c r="M223"/>
  <c r="D213"/>
  <c r="N216"/>
  <c r="C217"/>
  <c r="J221"/>
  <c r="D222"/>
  <c r="D223"/>
  <c r="J222"/>
  <c r="M218"/>
  <c r="D216"/>
  <c r="G222"/>
  <c r="D218"/>
  <c r="I222"/>
  <c r="L216"/>
  <c r="M213"/>
  <c r="L222"/>
  <c r="M222"/>
  <c r="C45" i="33" l="1"/>
  <c r="C46"/>
  <c r="M47"/>
  <c r="M21"/>
  <c r="M24"/>
  <c r="M25"/>
  <c r="M26"/>
  <c r="M29"/>
  <c r="M30"/>
  <c r="M31"/>
  <c r="K22" i="34"/>
  <c r="M43" i="33"/>
  <c r="I22" i="34"/>
  <c r="G22"/>
  <c r="E22"/>
  <c r="C22"/>
  <c r="M45" i="33"/>
  <c r="M46"/>
  <c r="M48"/>
  <c r="M50"/>
  <c r="M51"/>
  <c r="M52"/>
  <c r="M53"/>
  <c r="M55"/>
  <c r="M56"/>
  <c r="M57"/>
  <c r="M58"/>
  <c r="M60"/>
  <c r="M61"/>
  <c r="M62"/>
  <c r="M63"/>
  <c r="C43"/>
  <c r="K17" i="34"/>
  <c r="I17"/>
  <c r="G17"/>
  <c r="E17"/>
  <c r="C17"/>
  <c r="J22"/>
  <c r="H22"/>
  <c r="F22"/>
  <c r="D22"/>
  <c r="B22"/>
  <c r="J17"/>
  <c r="H17"/>
  <c r="F17"/>
  <c r="D17"/>
  <c r="B17"/>
  <c r="G211" i="32"/>
  <c r="J211"/>
  <c r="M211"/>
  <c r="C211"/>
  <c r="E211"/>
  <c r="I211"/>
  <c r="L211"/>
  <c r="N211"/>
  <c r="D211"/>
  <c r="N207"/>
  <c r="C210"/>
  <c r="J210"/>
  <c r="I210"/>
  <c r="D208"/>
  <c r="I208"/>
  <c r="N210"/>
  <c r="M208"/>
  <c r="E210"/>
  <c r="D210"/>
  <c r="J208"/>
  <c r="G210"/>
  <c r="O210"/>
  <c r="M210"/>
  <c r="O208"/>
  <c r="C208"/>
  <c r="L208"/>
  <c r="N208"/>
  <c r="E208"/>
  <c r="L210"/>
  <c r="G208"/>
  <c r="M16" i="33" l="1"/>
  <c r="M18"/>
  <c r="D207" i="32"/>
  <c r="G207"/>
  <c r="J207"/>
  <c r="M207"/>
  <c r="O207"/>
  <c r="M15" i="33" s="1"/>
  <c r="C207" i="32"/>
  <c r="E207"/>
  <c r="I207"/>
  <c r="L207"/>
  <c r="C181"/>
  <c r="D181"/>
  <c r="E181"/>
  <c r="G181"/>
  <c r="I181"/>
  <c r="J181"/>
  <c r="L181"/>
  <c r="M181"/>
  <c r="N181"/>
  <c r="O181"/>
  <c r="K21" i="33" s="1"/>
  <c r="C180" i="32"/>
  <c r="D180"/>
  <c r="E180"/>
  <c r="G180"/>
  <c r="I180"/>
  <c r="J180"/>
  <c r="L180"/>
  <c r="M180"/>
  <c r="N180"/>
  <c r="O180"/>
  <c r="K20" i="33" s="1"/>
  <c r="O176" i="32"/>
  <c r="K16" i="33" s="1"/>
  <c r="O175" i="32"/>
  <c r="K15" i="33" s="1"/>
  <c r="N179" i="32"/>
  <c r="J179"/>
  <c r="O179"/>
  <c r="E179"/>
  <c r="G179"/>
  <c r="D179"/>
  <c r="C179"/>
  <c r="L179"/>
  <c r="I179"/>
  <c r="M179"/>
  <c r="E206"/>
  <c r="N206"/>
  <c r="D205"/>
  <c r="O205"/>
  <c r="C206"/>
  <c r="L205"/>
  <c r="E205"/>
  <c r="M205"/>
  <c r="D206"/>
  <c r="N205"/>
  <c r="M206"/>
  <c r="J206"/>
  <c r="C205"/>
  <c r="J205"/>
  <c r="I206"/>
  <c r="G205"/>
  <c r="G206"/>
  <c r="L206"/>
  <c r="O206"/>
  <c r="I205"/>
  <c r="D203"/>
  <c r="O203"/>
  <c r="C203"/>
  <c r="M203"/>
  <c r="I203"/>
  <c r="E203"/>
  <c r="N203"/>
  <c r="J203"/>
  <c r="G203"/>
  <c r="L203"/>
  <c r="N191"/>
  <c r="D191"/>
  <c r="G184"/>
  <c r="E183"/>
  <c r="C191"/>
  <c r="E178"/>
  <c r="M186"/>
  <c r="I178"/>
  <c r="N184"/>
  <c r="N190"/>
  <c r="D188"/>
  <c r="M183"/>
  <c r="J186"/>
  <c r="M189"/>
  <c r="D184"/>
  <c r="M178"/>
  <c r="M191"/>
  <c r="G189"/>
  <c r="D190"/>
  <c r="O188"/>
  <c r="E191"/>
  <c r="N188"/>
  <c r="O191"/>
  <c r="O190"/>
  <c r="I188"/>
  <c r="I191"/>
  <c r="N185"/>
  <c r="M188"/>
  <c r="N186"/>
  <c r="I183"/>
  <c r="I186"/>
  <c r="J190"/>
  <c r="E185"/>
  <c r="E189"/>
  <c r="O186"/>
  <c r="I190"/>
  <c r="G178"/>
  <c r="M190"/>
  <c r="E190"/>
  <c r="O189"/>
  <c r="C188"/>
  <c r="L185"/>
  <c r="J184"/>
  <c r="G183"/>
  <c r="E188"/>
  <c r="O178"/>
  <c r="C184"/>
  <c r="C190"/>
  <c r="G191"/>
  <c r="J178"/>
  <c r="M184"/>
  <c r="L191"/>
  <c r="L178"/>
  <c r="N189"/>
  <c r="E186"/>
  <c r="D186"/>
  <c r="M185"/>
  <c r="O185"/>
  <c r="G185"/>
  <c r="L188"/>
  <c r="G188"/>
  <c r="O183"/>
  <c r="J191"/>
  <c r="O184"/>
  <c r="J183"/>
  <c r="N178"/>
  <c r="I185"/>
  <c r="N183"/>
  <c r="D183"/>
  <c r="L184"/>
  <c r="C189"/>
  <c r="D185"/>
  <c r="E184"/>
  <c r="D178"/>
  <c r="I184"/>
  <c r="C178"/>
  <c r="L189"/>
  <c r="C185"/>
  <c r="L190"/>
  <c r="C186"/>
  <c r="J189"/>
  <c r="G190"/>
  <c r="J185"/>
  <c r="G186"/>
  <c r="I189"/>
  <c r="C183"/>
  <c r="L183"/>
  <c r="L186"/>
  <c r="D189"/>
  <c r="J188"/>
  <c r="K18" i="33" l="1"/>
  <c r="K19"/>
  <c r="K23"/>
  <c r="K24"/>
  <c r="K25"/>
  <c r="K26"/>
  <c r="K28"/>
  <c r="K29"/>
  <c r="K30"/>
  <c r="K31"/>
  <c r="K13" i="34"/>
  <c r="M11" i="33"/>
  <c r="I13" i="34"/>
  <c r="G13"/>
  <c r="E13"/>
  <c r="C13"/>
  <c r="M13" i="33"/>
  <c r="M14"/>
  <c r="J13" i="34"/>
  <c r="H13"/>
  <c r="F13"/>
  <c r="D13"/>
  <c r="B13"/>
  <c r="C176" i="32"/>
  <c r="I176"/>
  <c r="N176"/>
  <c r="E176"/>
  <c r="L176"/>
  <c r="D175"/>
  <c r="G175"/>
  <c r="J175"/>
  <c r="M175"/>
  <c r="C175"/>
  <c r="E175"/>
  <c r="I175"/>
  <c r="L175"/>
  <c r="N175"/>
  <c r="D176"/>
  <c r="G176"/>
  <c r="J176"/>
  <c r="M176"/>
  <c r="O158"/>
  <c r="I31" i="33" s="1"/>
  <c r="J174" i="32"/>
  <c r="M174"/>
  <c r="E174"/>
  <c r="M173"/>
  <c r="O174"/>
  <c r="C173"/>
  <c r="L173"/>
  <c r="L174"/>
  <c r="E173"/>
  <c r="C174"/>
  <c r="N174"/>
  <c r="G173"/>
  <c r="J173"/>
  <c r="G174"/>
  <c r="N173"/>
  <c r="I173"/>
  <c r="I174"/>
  <c r="O173"/>
  <c r="D173"/>
  <c r="D174"/>
  <c r="J171"/>
  <c r="M171"/>
  <c r="E171"/>
  <c r="O171"/>
  <c r="C171"/>
  <c r="G171"/>
  <c r="D171"/>
  <c r="L171"/>
  <c r="I171"/>
  <c r="N171"/>
  <c r="J12" i="34" l="1"/>
  <c r="D12"/>
  <c r="K13" i="33"/>
  <c r="K14"/>
  <c r="H12" i="34"/>
  <c r="F12"/>
  <c r="B12"/>
  <c r="K12"/>
  <c r="K11" i="33"/>
  <c r="I12" i="34"/>
  <c r="G12"/>
  <c r="E12"/>
  <c r="C12"/>
  <c r="C158" i="32"/>
  <c r="E158"/>
  <c r="I158"/>
  <c r="L158"/>
  <c r="N158"/>
  <c r="D158"/>
  <c r="G158"/>
  <c r="J158"/>
  <c r="M158"/>
  <c r="C152"/>
  <c r="D152"/>
  <c r="E152"/>
  <c r="G152"/>
  <c r="I152"/>
  <c r="J152"/>
  <c r="L152"/>
  <c r="M152"/>
  <c r="N152"/>
  <c r="O152"/>
  <c r="I25" i="33" s="1"/>
  <c r="M144" i="32"/>
  <c r="C118"/>
  <c r="D118"/>
  <c r="E118"/>
  <c r="G118"/>
  <c r="I118"/>
  <c r="J118"/>
  <c r="L118"/>
  <c r="M118"/>
  <c r="N118"/>
  <c r="O118"/>
  <c r="G23" i="33" s="1"/>
  <c r="O110" i="32"/>
  <c r="G15" i="33" s="1"/>
  <c r="J155" i="32"/>
  <c r="C155"/>
  <c r="G155"/>
  <c r="O155"/>
  <c r="D155"/>
  <c r="L155"/>
  <c r="M155"/>
  <c r="E155"/>
  <c r="N155"/>
  <c r="I155"/>
  <c r="C146"/>
  <c r="I150"/>
  <c r="G143"/>
  <c r="O153"/>
  <c r="D146"/>
  <c r="L141"/>
  <c r="L156"/>
  <c r="G145"/>
  <c r="L150"/>
  <c r="D141"/>
  <c r="N143"/>
  <c r="C142"/>
  <c r="E153"/>
  <c r="I140"/>
  <c r="I141"/>
  <c r="L145"/>
  <c r="C151"/>
  <c r="C141"/>
  <c r="M153"/>
  <c r="N147"/>
  <c r="D142"/>
  <c r="E142"/>
  <c r="G150"/>
  <c r="O150"/>
  <c r="D150"/>
  <c r="N153"/>
  <c r="C153"/>
  <c r="J150"/>
  <c r="I147"/>
  <c r="G153"/>
  <c r="I156"/>
  <c r="L146"/>
  <c r="L157"/>
  <c r="I151"/>
  <c r="E145"/>
  <c r="O140"/>
  <c r="M147"/>
  <c r="N145"/>
  <c r="E141"/>
  <c r="J153"/>
  <c r="M146"/>
  <c r="D143"/>
  <c r="C145"/>
  <c r="C143"/>
  <c r="C147"/>
  <c r="M143"/>
  <c r="M150"/>
  <c r="E148"/>
  <c r="N140"/>
  <c r="M148"/>
  <c r="G148"/>
  <c r="J142"/>
  <c r="E143"/>
  <c r="E156"/>
  <c r="L143"/>
  <c r="N146"/>
  <c r="G142"/>
  <c r="I157"/>
  <c r="E146"/>
  <c r="J148"/>
  <c r="E140"/>
  <c r="L151"/>
  <c r="C140"/>
  <c r="N142"/>
  <c r="N151"/>
  <c r="M157"/>
  <c r="L147"/>
  <c r="J140"/>
  <c r="J157"/>
  <c r="I153"/>
  <c r="O151"/>
  <c r="C156"/>
  <c r="O156"/>
  <c r="L153"/>
  <c r="I145"/>
  <c r="I143"/>
  <c r="G156"/>
  <c r="E151"/>
  <c r="G141"/>
  <c r="G151"/>
  <c r="C148"/>
  <c r="O141"/>
  <c r="L140"/>
  <c r="D140"/>
  <c r="J145"/>
  <c r="D157"/>
  <c r="M140"/>
  <c r="J146"/>
  <c r="N148"/>
  <c r="E150"/>
  <c r="E157"/>
  <c r="O145"/>
  <c r="G140"/>
  <c r="N157"/>
  <c r="E147"/>
  <c r="I142"/>
  <c r="J151"/>
  <c r="N156"/>
  <c r="L148"/>
  <c r="J147"/>
  <c r="L142"/>
  <c r="N141"/>
  <c r="D151"/>
  <c r="O146"/>
  <c r="O142"/>
  <c r="I146"/>
  <c r="M151"/>
  <c r="G146"/>
  <c r="G157"/>
  <c r="M142"/>
  <c r="M156"/>
  <c r="D145"/>
  <c r="O143"/>
  <c r="M145"/>
  <c r="I148"/>
  <c r="D153"/>
  <c r="G147"/>
  <c r="C150"/>
  <c r="D147"/>
  <c r="O157"/>
  <c r="J156"/>
  <c r="D156"/>
  <c r="D148"/>
  <c r="O147"/>
  <c r="J141"/>
  <c r="M141"/>
  <c r="C157"/>
  <c r="O148"/>
  <c r="J143"/>
  <c r="N150"/>
  <c r="C138"/>
  <c r="N138"/>
  <c r="E138"/>
  <c r="O138"/>
  <c r="J138"/>
  <c r="M138"/>
  <c r="D138"/>
  <c r="G138"/>
  <c r="I138"/>
  <c r="L138"/>
  <c r="I125"/>
  <c r="N116"/>
  <c r="I113"/>
  <c r="O124"/>
  <c r="O116"/>
  <c r="I116"/>
  <c r="I126"/>
  <c r="M119"/>
  <c r="D115"/>
  <c r="O115"/>
  <c r="O113"/>
  <c r="L116"/>
  <c r="D111"/>
  <c r="L114"/>
  <c r="M114"/>
  <c r="I119"/>
  <c r="M116"/>
  <c r="N119"/>
  <c r="I114"/>
  <c r="G125"/>
  <c r="G120"/>
  <c r="N124"/>
  <c r="E111"/>
  <c r="J119"/>
  <c r="M120"/>
  <c r="L126"/>
  <c r="C124"/>
  <c r="E114"/>
  <c r="J126"/>
  <c r="J120"/>
  <c r="C121"/>
  <c r="G113"/>
  <c r="J113"/>
  <c r="L120"/>
  <c r="J111"/>
  <c r="G126"/>
  <c r="E119"/>
  <c r="L125"/>
  <c r="M111"/>
  <c r="J124"/>
  <c r="D113"/>
  <c r="O119"/>
  <c r="M123"/>
  <c r="C126"/>
  <c r="E113"/>
  <c r="I123"/>
  <c r="N125"/>
  <c r="G114"/>
  <c r="E124"/>
  <c r="L123"/>
  <c r="C111"/>
  <c r="G123"/>
  <c r="J116"/>
  <c r="I121"/>
  <c r="N120"/>
  <c r="E125"/>
  <c r="D121"/>
  <c r="N115"/>
  <c r="G111"/>
  <c r="O121"/>
  <c r="G124"/>
  <c r="J123"/>
  <c r="D119"/>
  <c r="C115"/>
  <c r="E121"/>
  <c r="O111"/>
  <c r="D116"/>
  <c r="J115"/>
  <c r="N111"/>
  <c r="D124"/>
  <c r="G116"/>
  <c r="I120"/>
  <c r="G121"/>
  <c r="L119"/>
  <c r="D120"/>
  <c r="E126"/>
  <c r="C114"/>
  <c r="C125"/>
  <c r="M121"/>
  <c r="E123"/>
  <c r="C123"/>
  <c r="E116"/>
  <c r="C120"/>
  <c r="L124"/>
  <c r="M124"/>
  <c r="N113"/>
  <c r="I115"/>
  <c r="N121"/>
  <c r="O125"/>
  <c r="D125"/>
  <c r="E115"/>
  <c r="J125"/>
  <c r="I124"/>
  <c r="C113"/>
  <c r="J121"/>
  <c r="N126"/>
  <c r="C119"/>
  <c r="D123"/>
  <c r="E120"/>
  <c r="L115"/>
  <c r="L113"/>
  <c r="O123"/>
  <c r="O126"/>
  <c r="D126"/>
  <c r="G115"/>
  <c r="L111"/>
  <c r="M126"/>
  <c r="G119"/>
  <c r="D114"/>
  <c r="M115"/>
  <c r="O120"/>
  <c r="M125"/>
  <c r="J114"/>
  <c r="I111"/>
  <c r="O114"/>
  <c r="M113"/>
  <c r="N114"/>
  <c r="L121"/>
  <c r="N123"/>
  <c r="C116"/>
  <c r="I15" i="33" l="1"/>
  <c r="G16"/>
  <c r="G18"/>
  <c r="G19"/>
  <c r="G20"/>
  <c r="G21"/>
  <c r="G24"/>
  <c r="G25"/>
  <c r="G26"/>
  <c r="G28"/>
  <c r="G29"/>
  <c r="G30"/>
  <c r="G31"/>
  <c r="K11" i="34"/>
  <c r="I11" i="33"/>
  <c r="I11" i="34"/>
  <c r="G11"/>
  <c r="E11"/>
  <c r="C11"/>
  <c r="I13" i="33"/>
  <c r="I14"/>
  <c r="I16"/>
  <c r="J11" i="34"/>
  <c r="H11"/>
  <c r="F11"/>
  <c r="D11"/>
  <c r="B11"/>
  <c r="I18" i="33"/>
  <c r="I19"/>
  <c r="I20"/>
  <c r="I21"/>
  <c r="I23"/>
  <c r="I24"/>
  <c r="I26"/>
  <c r="I28"/>
  <c r="I29"/>
  <c r="I30"/>
  <c r="D110" i="32"/>
  <c r="J110"/>
  <c r="C110"/>
  <c r="E110"/>
  <c r="I110"/>
  <c r="L110"/>
  <c r="N110"/>
  <c r="G110"/>
  <c r="M110"/>
  <c r="O94"/>
  <c r="E31" i="33" s="1"/>
  <c r="G109" i="32"/>
  <c r="J108"/>
  <c r="L109"/>
  <c r="M109"/>
  <c r="C108"/>
  <c r="E109"/>
  <c r="M108"/>
  <c r="I109"/>
  <c r="D108"/>
  <c r="O108"/>
  <c r="O109"/>
  <c r="G108"/>
  <c r="I108"/>
  <c r="J109"/>
  <c r="D109"/>
  <c r="N109"/>
  <c r="N108"/>
  <c r="E108"/>
  <c r="C109"/>
  <c r="L108"/>
  <c r="E106"/>
  <c r="I106"/>
  <c r="O106"/>
  <c r="M106"/>
  <c r="D106"/>
  <c r="L106"/>
  <c r="J106"/>
  <c r="N106"/>
  <c r="G106"/>
  <c r="C106"/>
  <c r="K10" i="34" l="1"/>
  <c r="G11" i="33"/>
  <c r="G10" i="34"/>
  <c r="J10"/>
  <c r="H10"/>
  <c r="F10"/>
  <c r="D10"/>
  <c r="B10"/>
  <c r="G13" i="33"/>
  <c r="G14"/>
  <c r="I10" i="34"/>
  <c r="E10"/>
  <c r="C10"/>
  <c r="D94" i="32"/>
  <c r="J94"/>
  <c r="M94"/>
  <c r="C94"/>
  <c r="E94"/>
  <c r="I94"/>
  <c r="L94"/>
  <c r="N94"/>
  <c r="G94"/>
  <c r="C91"/>
  <c r="D91"/>
  <c r="E91"/>
  <c r="G91"/>
  <c r="I91"/>
  <c r="J91"/>
  <c r="L91"/>
  <c r="M91"/>
  <c r="N91"/>
  <c r="O91"/>
  <c r="E28" i="33" s="1"/>
  <c r="O88" i="32"/>
  <c r="E25" i="33" s="1"/>
  <c r="C89" i="32"/>
  <c r="D89"/>
  <c r="E89"/>
  <c r="G89"/>
  <c r="I89"/>
  <c r="J89"/>
  <c r="L89"/>
  <c r="M89"/>
  <c r="N89"/>
  <c r="O89"/>
  <c r="E26" i="33" s="1"/>
  <c r="C93" i="32"/>
  <c r="J92"/>
  <c r="G93"/>
  <c r="I92"/>
  <c r="O92"/>
  <c r="M93"/>
  <c r="O93"/>
  <c r="C92"/>
  <c r="E92"/>
  <c r="E93"/>
  <c r="J93"/>
  <c r="D93"/>
  <c r="N93"/>
  <c r="L92"/>
  <c r="G92"/>
  <c r="M92"/>
  <c r="N92"/>
  <c r="I93"/>
  <c r="L93"/>
  <c r="D92"/>
  <c r="E29" i="33" l="1"/>
  <c r="E30"/>
  <c r="C88" i="32"/>
  <c r="E88"/>
  <c r="I88"/>
  <c r="L88"/>
  <c r="N88"/>
  <c r="D88"/>
  <c r="G88"/>
  <c r="J88"/>
  <c r="M88"/>
  <c r="C82"/>
  <c r="D82"/>
  <c r="E82"/>
  <c r="G82"/>
  <c r="I82"/>
  <c r="J82"/>
  <c r="L82"/>
  <c r="M82"/>
  <c r="N82"/>
  <c r="O82"/>
  <c r="E19" i="33" s="1"/>
  <c r="O78" i="32"/>
  <c r="E15" i="33" s="1"/>
  <c r="C77" i="32"/>
  <c r="N77"/>
  <c r="O84"/>
  <c r="L79"/>
  <c r="C84"/>
  <c r="C79"/>
  <c r="G86"/>
  <c r="J87"/>
  <c r="M81"/>
  <c r="J81"/>
  <c r="C81"/>
  <c r="D84"/>
  <c r="E87"/>
  <c r="D83"/>
  <c r="L83"/>
  <c r="I84"/>
  <c r="E79"/>
  <c r="D87"/>
  <c r="I79"/>
  <c r="E86"/>
  <c r="C87"/>
  <c r="L81"/>
  <c r="E81"/>
  <c r="N83"/>
  <c r="G81"/>
  <c r="J86"/>
  <c r="G87"/>
  <c r="O79"/>
  <c r="L84"/>
  <c r="M79"/>
  <c r="M83"/>
  <c r="N87"/>
  <c r="N79"/>
  <c r="E84"/>
  <c r="D81"/>
  <c r="D79"/>
  <c r="C86"/>
  <c r="N81"/>
  <c r="O86"/>
  <c r="M86"/>
  <c r="O87"/>
  <c r="C83"/>
  <c r="J83"/>
  <c r="I83"/>
  <c r="J79"/>
  <c r="N84"/>
  <c r="I86"/>
  <c r="L87"/>
  <c r="G84"/>
  <c r="J84"/>
  <c r="O83"/>
  <c r="G83"/>
  <c r="I87"/>
  <c r="L86"/>
  <c r="M84"/>
  <c r="D86"/>
  <c r="M87"/>
  <c r="E83"/>
  <c r="O81"/>
  <c r="I81"/>
  <c r="N86"/>
  <c r="G79"/>
  <c r="E16" i="33" l="1"/>
  <c r="E18"/>
  <c r="E20"/>
  <c r="E21"/>
  <c r="E23"/>
  <c r="E24"/>
  <c r="I77" i="32"/>
  <c r="E77"/>
  <c r="L77"/>
  <c r="D77"/>
  <c r="G77"/>
  <c r="J77"/>
  <c r="M77"/>
  <c r="O77"/>
  <c r="E14" i="33" s="1"/>
  <c r="C78" i="32"/>
  <c r="E78"/>
  <c r="I78"/>
  <c r="L78"/>
  <c r="N78"/>
  <c r="D78"/>
  <c r="G78"/>
  <c r="J78"/>
  <c r="M78"/>
  <c r="D76"/>
  <c r="L76"/>
  <c r="E76"/>
  <c r="J76"/>
  <c r="N76"/>
  <c r="C76"/>
  <c r="O76"/>
  <c r="M76"/>
  <c r="I76"/>
  <c r="G76"/>
  <c r="N74"/>
  <c r="E74"/>
  <c r="C74"/>
  <c r="D74"/>
  <c r="M74"/>
  <c r="G74"/>
  <c r="O74"/>
  <c r="L74"/>
  <c r="J74"/>
  <c r="I74"/>
  <c r="J44"/>
  <c r="I61"/>
  <c r="M45"/>
  <c r="J61"/>
  <c r="D50"/>
  <c r="D61"/>
  <c r="J46"/>
  <c r="N56"/>
  <c r="L46"/>
  <c r="J59"/>
  <c r="E50"/>
  <c r="G47"/>
  <c r="E61"/>
  <c r="J47"/>
  <c r="J54"/>
  <c r="G51"/>
  <c r="M55"/>
  <c r="C52"/>
  <c r="D45"/>
  <c r="E51"/>
  <c r="N46"/>
  <c r="C44"/>
  <c r="N62"/>
  <c r="G44"/>
  <c r="D57"/>
  <c r="N52"/>
  <c r="M44"/>
  <c r="M56"/>
  <c r="L62"/>
  <c r="L57"/>
  <c r="I54"/>
  <c r="O55"/>
  <c r="G52"/>
  <c r="M57"/>
  <c r="J56"/>
  <c r="I47"/>
  <c r="I52"/>
  <c r="I49"/>
  <c r="I46"/>
  <c r="C57"/>
  <c r="O49"/>
  <c r="J45"/>
  <c r="D56"/>
  <c r="O47"/>
  <c r="I59"/>
  <c r="J50"/>
  <c r="I57"/>
  <c r="G46"/>
  <c r="M46"/>
  <c r="D44"/>
  <c r="C54"/>
  <c r="I60"/>
  <c r="C51"/>
  <c r="M52"/>
  <c r="L52"/>
  <c r="C50"/>
  <c r="N55"/>
  <c r="J52"/>
  <c r="N54"/>
  <c r="E59"/>
  <c r="E54"/>
  <c r="O60"/>
  <c r="I55"/>
  <c r="D46"/>
  <c r="N60"/>
  <c r="D52"/>
  <c r="N44"/>
  <c r="N47"/>
  <c r="I45"/>
  <c r="O45"/>
  <c r="D51"/>
  <c r="N61"/>
  <c r="N51"/>
  <c r="E56"/>
  <c r="D59"/>
  <c r="C60"/>
  <c r="G54"/>
  <c r="O54"/>
  <c r="O51"/>
  <c r="C47"/>
  <c r="D54"/>
  <c r="N49"/>
  <c r="O56"/>
  <c r="J49"/>
  <c r="O44"/>
  <c r="E62"/>
  <c r="O59"/>
  <c r="O46"/>
  <c r="C62"/>
  <c r="L60"/>
  <c r="E44"/>
  <c r="G56"/>
  <c r="L51"/>
  <c r="C55"/>
  <c r="M54"/>
  <c r="O57"/>
  <c r="E46"/>
  <c r="O52"/>
  <c r="E52"/>
  <c r="J60"/>
  <c r="M49"/>
  <c r="O61"/>
  <c r="M60"/>
  <c r="L47"/>
  <c r="L61"/>
  <c r="M51"/>
  <c r="M50"/>
  <c r="I51"/>
  <c r="N59"/>
  <c r="C59"/>
  <c r="D47"/>
  <c r="L56"/>
  <c r="I50"/>
  <c r="D49"/>
  <c r="E47"/>
  <c r="N50"/>
  <c r="C61"/>
  <c r="J62"/>
  <c r="E45"/>
  <c r="N45"/>
  <c r="G61"/>
  <c r="L50"/>
  <c r="G45"/>
  <c r="G57"/>
  <c r="D62"/>
  <c r="M62"/>
  <c r="E57"/>
  <c r="I56"/>
  <c r="L54"/>
  <c r="J51"/>
  <c r="M61"/>
  <c r="O50"/>
  <c r="M47"/>
  <c r="D60"/>
  <c r="C46"/>
  <c r="G49"/>
  <c r="E49"/>
  <c r="C56"/>
  <c r="L59"/>
  <c r="L55"/>
  <c r="M59"/>
  <c r="L44"/>
  <c r="I62"/>
  <c r="G50"/>
  <c r="O62"/>
  <c r="L45"/>
  <c r="J55"/>
  <c r="G59"/>
  <c r="G62"/>
  <c r="L49"/>
  <c r="G55"/>
  <c r="E55"/>
  <c r="D55"/>
  <c r="C45"/>
  <c r="I44"/>
  <c r="G60"/>
  <c r="N57"/>
  <c r="C49"/>
  <c r="J57"/>
  <c r="E60"/>
  <c r="O42"/>
  <c r="I42"/>
  <c r="M42"/>
  <c r="L42"/>
  <c r="C42"/>
  <c r="G42"/>
  <c r="E42"/>
  <c r="D42"/>
  <c r="J42"/>
  <c r="N42"/>
  <c r="C24"/>
  <c r="O13"/>
  <c r="I16"/>
  <c r="M21"/>
  <c r="L14"/>
  <c r="O23"/>
  <c r="C23"/>
  <c r="N22"/>
  <c r="E17"/>
  <c r="E13"/>
  <c r="M22"/>
  <c r="O18"/>
  <c r="I14"/>
  <c r="D17"/>
  <c r="N29"/>
  <c r="C27"/>
  <c r="C17"/>
  <c r="J16"/>
  <c r="D24"/>
  <c r="I12"/>
  <c r="C21"/>
  <c r="C26"/>
  <c r="O27"/>
  <c r="M29"/>
  <c r="G27"/>
  <c r="E18"/>
  <c r="G11"/>
  <c r="C28"/>
  <c r="I19"/>
  <c r="J28"/>
  <c r="N26"/>
  <c r="J22"/>
  <c r="D16"/>
  <c r="O26"/>
  <c r="J13"/>
  <c r="J12"/>
  <c r="I18"/>
  <c r="L28"/>
  <c r="D29"/>
  <c r="G24"/>
  <c r="M18"/>
  <c r="I26"/>
  <c r="M24"/>
  <c r="L13"/>
  <c r="I24"/>
  <c r="G26"/>
  <c r="E14"/>
  <c r="M17"/>
  <c r="D12"/>
  <c r="O14"/>
  <c r="M19"/>
  <c r="O21"/>
  <c r="M14"/>
  <c r="J27"/>
  <c r="L18"/>
  <c r="D28"/>
  <c r="C13"/>
  <c r="M23"/>
  <c r="L27"/>
  <c r="N12"/>
  <c r="G13"/>
  <c r="C29"/>
  <c r="M16"/>
  <c r="C16"/>
  <c r="C12"/>
  <c r="E21"/>
  <c r="G22"/>
  <c r="I29"/>
  <c r="L21"/>
  <c r="J23"/>
  <c r="O11"/>
  <c r="C22"/>
  <c r="J17"/>
  <c r="L16"/>
  <c r="L26"/>
  <c r="G17"/>
  <c r="L23"/>
  <c r="C18"/>
  <c r="G18"/>
  <c r="E11"/>
  <c r="L24"/>
  <c r="D21"/>
  <c r="I11"/>
  <c r="N19"/>
  <c r="O29"/>
  <c r="D13"/>
  <c r="I23"/>
  <c r="J14"/>
  <c r="E22"/>
  <c r="E24"/>
  <c r="N23"/>
  <c r="C19"/>
  <c r="M26"/>
  <c r="D14"/>
  <c r="E26"/>
  <c r="G14"/>
  <c r="M28"/>
  <c r="I22"/>
  <c r="J18"/>
  <c r="D27"/>
  <c r="J21"/>
  <c r="M13"/>
  <c r="E16"/>
  <c r="M11"/>
  <c r="I13"/>
  <c r="O19"/>
  <c r="E19"/>
  <c r="E29"/>
  <c r="G21"/>
  <c r="N24"/>
  <c r="O17"/>
  <c r="J24"/>
  <c r="E28"/>
  <c r="E23"/>
  <c r="L19"/>
  <c r="G23"/>
  <c r="G19"/>
  <c r="N14"/>
  <c r="E27"/>
  <c r="N13"/>
  <c r="D23"/>
  <c r="N16"/>
  <c r="O22"/>
  <c r="M12"/>
  <c r="J19"/>
  <c r="L12"/>
  <c r="O12"/>
  <c r="I27"/>
  <c r="O24"/>
  <c r="C14"/>
  <c r="J11"/>
  <c r="M27"/>
  <c r="D26"/>
  <c r="O28"/>
  <c r="N27"/>
  <c r="N17"/>
  <c r="G29"/>
  <c r="L29"/>
  <c r="L11"/>
  <c r="E12"/>
  <c r="L17"/>
  <c r="J29"/>
  <c r="N11"/>
  <c r="G12"/>
  <c r="G16"/>
  <c r="J26"/>
  <c r="L22"/>
  <c r="O16"/>
  <c r="I17"/>
  <c r="D22"/>
  <c r="D11"/>
  <c r="C11"/>
  <c r="N18"/>
  <c r="I21"/>
  <c r="D19"/>
  <c r="D18"/>
  <c r="G28"/>
  <c r="N28"/>
  <c r="N21"/>
  <c r="I28"/>
  <c r="O15" i="33" l="1"/>
  <c r="C15"/>
  <c r="O13"/>
  <c r="O14"/>
  <c r="O16"/>
  <c r="O18"/>
  <c r="O19"/>
  <c r="O20"/>
  <c r="O21"/>
  <c r="O23"/>
  <c r="O24"/>
  <c r="O25"/>
  <c r="O26"/>
  <c r="O28"/>
  <c r="O29"/>
  <c r="O30"/>
  <c r="O31"/>
  <c r="K8" i="34"/>
  <c r="C11" i="33"/>
  <c r="I8" i="34"/>
  <c r="G8"/>
  <c r="E8"/>
  <c r="C8"/>
  <c r="C13" i="33"/>
  <c r="C14"/>
  <c r="C16"/>
  <c r="C18"/>
  <c r="C19"/>
  <c r="C20"/>
  <c r="C21"/>
  <c r="C23"/>
  <c r="C24"/>
  <c r="C25"/>
  <c r="C26"/>
  <c r="C28"/>
  <c r="C29"/>
  <c r="C30"/>
  <c r="C31"/>
  <c r="K9" i="34"/>
  <c r="E11" i="33"/>
  <c r="I9" i="34"/>
  <c r="G9"/>
  <c r="E9"/>
  <c r="C9"/>
  <c r="E13" i="33"/>
  <c r="J8" i="34"/>
  <c r="H8"/>
  <c r="F8"/>
  <c r="D8"/>
  <c r="B8"/>
  <c r="J9"/>
  <c r="H9"/>
  <c r="F9"/>
  <c r="D9"/>
  <c r="B9"/>
  <c r="B523" i="23"/>
  <c r="B491"/>
  <c r="B459"/>
  <c r="Q427"/>
  <c r="B427"/>
  <c r="B411"/>
  <c r="B406"/>
  <c r="B401"/>
  <c r="B396"/>
  <c r="B363"/>
  <c r="B331"/>
  <c r="B299"/>
  <c r="B268"/>
  <c r="Q235"/>
  <c r="B235"/>
  <c r="B204"/>
  <c r="B172"/>
  <c r="B139"/>
  <c r="B107"/>
  <c r="B75"/>
  <c r="B43"/>
  <c r="O9" i="32"/>
  <c r="G9"/>
  <c r="C9"/>
  <c r="N9"/>
  <c r="M9"/>
  <c r="E9"/>
  <c r="D9"/>
  <c r="J9"/>
  <c r="I9"/>
  <c r="L9"/>
  <c r="D15" i="34" l="1"/>
  <c r="J15"/>
  <c r="H15"/>
  <c r="F15"/>
  <c r="B15"/>
  <c r="K15"/>
  <c r="O11" i="33"/>
  <c r="I15" i="34"/>
  <c r="G15"/>
  <c r="E15"/>
  <c r="C15"/>
  <c r="O440" i="23"/>
  <c r="S427" l="1"/>
  <c r="D14" i="21"/>
  <c r="O110" i="23"/>
  <c r="G15" i="21" s="1"/>
  <c r="O317" i="23"/>
  <c r="E62" i="21" s="1"/>
  <c r="O475" i="23"/>
  <c r="C92" i="21" s="1"/>
  <c r="D25"/>
  <c r="E78" i="23"/>
  <c r="H31" i="21"/>
  <c r="J52"/>
  <c r="D477" i="23"/>
  <c r="O509"/>
  <c r="E94" i="21" s="1"/>
  <c r="O445" i="23"/>
  <c r="I94" i="21" s="1"/>
  <c r="S444" i="23"/>
  <c r="O349"/>
  <c r="G62" i="21" s="1"/>
  <c r="M542" i="23"/>
  <c r="S439"/>
  <c r="S430"/>
  <c r="S436"/>
  <c r="S441"/>
  <c r="S446"/>
  <c r="S431"/>
  <c r="E527"/>
  <c r="C271"/>
  <c r="S429"/>
  <c r="S438"/>
  <c r="S445"/>
  <c r="F48" i="21"/>
  <c r="F53"/>
  <c r="F58"/>
  <c r="F63"/>
  <c r="H46"/>
  <c r="H52"/>
  <c r="H57"/>
  <c r="H62"/>
  <c r="L56"/>
  <c r="N16"/>
  <c r="N19"/>
  <c r="N21"/>
  <c r="N24"/>
  <c r="H77"/>
  <c r="H83"/>
  <c r="H88"/>
  <c r="C439" i="23"/>
  <c r="E439"/>
  <c r="I439"/>
  <c r="L439"/>
  <c r="N439"/>
  <c r="O439"/>
  <c r="D439"/>
  <c r="G439"/>
  <c r="J439"/>
  <c r="M439"/>
  <c r="H93" i="21"/>
  <c r="C444" i="23"/>
  <c r="E444"/>
  <c r="I444"/>
  <c r="L444"/>
  <c r="N444"/>
  <c r="O444"/>
  <c r="I93" i="21" s="1"/>
  <c r="D444" i="23"/>
  <c r="G444"/>
  <c r="J444"/>
  <c r="M444"/>
  <c r="N14" i="21"/>
  <c r="N18"/>
  <c r="N23"/>
  <c r="L31"/>
  <c r="L29"/>
  <c r="L26"/>
  <c r="L24"/>
  <c r="L21"/>
  <c r="L19"/>
  <c r="D211" i="23"/>
  <c r="G211"/>
  <c r="J211"/>
  <c r="M211"/>
  <c r="O211"/>
  <c r="M19" i="21" s="1"/>
  <c r="C211" i="23"/>
  <c r="E211"/>
  <c r="I211"/>
  <c r="L211"/>
  <c r="N211"/>
  <c r="L16" i="21"/>
  <c r="L14"/>
  <c r="L11"/>
  <c r="F46"/>
  <c r="F57"/>
  <c r="H45"/>
  <c r="H56"/>
  <c r="J47"/>
  <c r="K47"/>
  <c r="L52"/>
  <c r="B16"/>
  <c r="B26"/>
  <c r="O495" i="23"/>
  <c r="E80" i="21" s="1"/>
  <c r="D495" i="23"/>
  <c r="G495"/>
  <c r="J495"/>
  <c r="M495"/>
  <c r="D80" i="21"/>
  <c r="C495" i="23"/>
  <c r="E495"/>
  <c r="I495"/>
  <c r="L495"/>
  <c r="N495"/>
  <c r="O438"/>
  <c r="I87" i="21" s="1"/>
  <c r="D438" i="23"/>
  <c r="G438"/>
  <c r="J438"/>
  <c r="M438"/>
  <c r="H87" i="21"/>
  <c r="C438" i="23"/>
  <c r="E438"/>
  <c r="I438"/>
  <c r="L438"/>
  <c r="N438"/>
  <c r="H75" i="21"/>
  <c r="H78"/>
  <c r="H89"/>
  <c r="N20"/>
  <c r="L23"/>
  <c r="L18"/>
  <c r="L13"/>
  <c r="O540" i="23"/>
  <c r="G93" i="21" s="1"/>
  <c r="C540" i="23"/>
  <c r="N540"/>
  <c r="O535"/>
  <c r="G88" i="21" s="1"/>
  <c r="F88"/>
  <c r="M535" i="23"/>
  <c r="C535"/>
  <c r="E535"/>
  <c r="I535"/>
  <c r="L535"/>
  <c r="N535"/>
  <c r="D535"/>
  <c r="G535"/>
  <c r="J535"/>
  <c r="E530"/>
  <c r="O530"/>
  <c r="G83" i="21" s="1"/>
  <c r="J530" i="23"/>
  <c r="F77" i="21"/>
  <c r="D524" i="23"/>
  <c r="G524"/>
  <c r="J524"/>
  <c r="M524"/>
  <c r="O524"/>
  <c r="G77" i="21" s="1"/>
  <c r="C524" i="23"/>
  <c r="E524"/>
  <c r="I524"/>
  <c r="L524"/>
  <c r="N524"/>
  <c r="D92" i="21"/>
  <c r="D87"/>
  <c r="C502" i="23"/>
  <c r="E502"/>
  <c r="I502"/>
  <c r="L502"/>
  <c r="N502"/>
  <c r="O502"/>
  <c r="E87" i="21" s="1"/>
  <c r="D502" i="23"/>
  <c r="G502"/>
  <c r="J502"/>
  <c r="M502"/>
  <c r="D82" i="21"/>
  <c r="O478" i="23"/>
  <c r="C95" i="21" s="1"/>
  <c r="C478" i="23"/>
  <c r="E478"/>
  <c r="I478"/>
  <c r="L478"/>
  <c r="N478"/>
  <c r="B95" i="21"/>
  <c r="D478" i="23"/>
  <c r="G478"/>
  <c r="J478"/>
  <c r="M478"/>
  <c r="E476"/>
  <c r="B93" i="21"/>
  <c r="M476" i="23"/>
  <c r="O473"/>
  <c r="C90" i="21" s="1"/>
  <c r="C473" i="23"/>
  <c r="E473"/>
  <c r="I473"/>
  <c r="L473"/>
  <c r="N473"/>
  <c r="B90" i="21"/>
  <c r="D473" i="23"/>
  <c r="G473"/>
  <c r="J473"/>
  <c r="M473"/>
  <c r="G471"/>
  <c r="C471"/>
  <c r="N471"/>
  <c r="O468"/>
  <c r="C85" i="21" s="1"/>
  <c r="D468" i="23"/>
  <c r="G468"/>
  <c r="J468"/>
  <c r="M468"/>
  <c r="B85" i="21"/>
  <c r="C468" i="23"/>
  <c r="E468"/>
  <c r="I468"/>
  <c r="L468"/>
  <c r="N468"/>
  <c r="O462"/>
  <c r="C79" i="21" s="1"/>
  <c r="D462" i="23"/>
  <c r="G462"/>
  <c r="J462"/>
  <c r="M462"/>
  <c r="B79" i="21"/>
  <c r="C462" i="23"/>
  <c r="E462"/>
  <c r="I462"/>
  <c r="L462"/>
  <c r="N462"/>
  <c r="B77" i="21"/>
  <c r="J63"/>
  <c r="J58"/>
  <c r="K58"/>
  <c r="J53"/>
  <c r="K53"/>
  <c r="K48"/>
  <c r="J48"/>
  <c r="H16"/>
  <c r="B46"/>
  <c r="B48"/>
  <c r="B50"/>
  <c r="O275" i="23"/>
  <c r="C51" i="21" s="1"/>
  <c r="J275" i="23"/>
  <c r="E275"/>
  <c r="B52" i="21"/>
  <c r="B55"/>
  <c r="C280" i="23"/>
  <c r="N280"/>
  <c r="G280"/>
  <c r="B57" i="21"/>
  <c r="B60"/>
  <c r="D284" i="23"/>
  <c r="G284"/>
  <c r="J284"/>
  <c r="M284"/>
  <c r="O284"/>
  <c r="C60" i="21" s="1"/>
  <c r="C284" i="23"/>
  <c r="E284"/>
  <c r="I284"/>
  <c r="L284"/>
  <c r="N284"/>
  <c r="B62" i="21"/>
  <c r="D286" i="23"/>
  <c r="G286"/>
  <c r="J286"/>
  <c r="M286"/>
  <c r="O286"/>
  <c r="C62" i="21" s="1"/>
  <c r="C286" i="23"/>
  <c r="E286"/>
  <c r="I286"/>
  <c r="L286"/>
  <c r="N286"/>
  <c r="F13" i="21"/>
  <c r="J14"/>
  <c r="C175" i="23"/>
  <c r="N175"/>
  <c r="G175"/>
  <c r="J16" i="21"/>
  <c r="D176" i="23"/>
  <c r="G176"/>
  <c r="J176"/>
  <c r="M176"/>
  <c r="O176"/>
  <c r="K16" i="21" s="1"/>
  <c r="C176" i="23"/>
  <c r="E176"/>
  <c r="I176"/>
  <c r="L176"/>
  <c r="N176"/>
  <c r="J18" i="21"/>
  <c r="H19"/>
  <c r="F20"/>
  <c r="J20"/>
  <c r="H21"/>
  <c r="F23"/>
  <c r="H24"/>
  <c r="J25"/>
  <c r="F28"/>
  <c r="H29"/>
  <c r="J30"/>
  <c r="D158" i="23"/>
  <c r="J158"/>
  <c r="O158"/>
  <c r="I31" i="21" s="1"/>
  <c r="C158" i="23"/>
  <c r="I158"/>
  <c r="N158"/>
  <c r="D13" i="21"/>
  <c r="O78" i="23"/>
  <c r="E15" i="21" s="1"/>
  <c r="C78" i="23"/>
  <c r="I78"/>
  <c r="N78"/>
  <c r="D78"/>
  <c r="J78"/>
  <c r="D18" i="21"/>
  <c r="D23"/>
  <c r="C88" i="23"/>
  <c r="I88"/>
  <c r="N88"/>
  <c r="G88"/>
  <c r="M88"/>
  <c r="D28" i="21"/>
  <c r="D30"/>
  <c r="O526" i="23"/>
  <c r="G79" i="21" s="1"/>
  <c r="D526" i="23"/>
  <c r="G526"/>
  <c r="J526"/>
  <c r="M526"/>
  <c r="F79" i="21"/>
  <c r="C526" i="23"/>
  <c r="E526"/>
  <c r="I526"/>
  <c r="L526"/>
  <c r="N526"/>
  <c r="D78" i="21"/>
  <c r="J60"/>
  <c r="J55"/>
  <c r="K55"/>
  <c r="K50"/>
  <c r="K45"/>
  <c r="J45"/>
  <c r="D43"/>
  <c r="F11"/>
  <c r="D45"/>
  <c r="D48"/>
  <c r="D51"/>
  <c r="D53"/>
  <c r="D56"/>
  <c r="D58"/>
  <c r="D61"/>
  <c r="G317" i="23"/>
  <c r="M317"/>
  <c r="C317"/>
  <c r="I317"/>
  <c r="N317"/>
  <c r="D63" i="21"/>
  <c r="C318" i="23"/>
  <c r="E318"/>
  <c r="I318"/>
  <c r="L318"/>
  <c r="N318"/>
  <c r="O318"/>
  <c r="E63" i="21" s="1"/>
  <c r="D318" i="23"/>
  <c r="G318"/>
  <c r="J318"/>
  <c r="M318"/>
  <c r="F14" i="21"/>
  <c r="G110" i="23"/>
  <c r="M110"/>
  <c r="C110"/>
  <c r="I110"/>
  <c r="N110"/>
  <c r="F16" i="21"/>
  <c r="F18"/>
  <c r="F19"/>
  <c r="J19"/>
  <c r="H20"/>
  <c r="F21"/>
  <c r="J21"/>
  <c r="F24"/>
  <c r="H25"/>
  <c r="F26"/>
  <c r="J26"/>
  <c r="H28"/>
  <c r="F29"/>
  <c r="J29"/>
  <c r="H30"/>
  <c r="F31"/>
  <c r="J31"/>
  <c r="D77" i="23"/>
  <c r="J77"/>
  <c r="O77"/>
  <c r="E14" i="21" s="1"/>
  <c r="C77" i="23"/>
  <c r="I77"/>
  <c r="N77"/>
  <c r="D16" i="21"/>
  <c r="D19"/>
  <c r="D21"/>
  <c r="D26"/>
  <c r="D29"/>
  <c r="D31"/>
  <c r="C94" i="23"/>
  <c r="E94"/>
  <c r="I94"/>
  <c r="L94"/>
  <c r="N94"/>
  <c r="O94"/>
  <c r="E31" i="21" s="1"/>
  <c r="D94" i="23"/>
  <c r="G94"/>
  <c r="J94"/>
  <c r="M94"/>
  <c r="L48" i="21"/>
  <c r="L53"/>
  <c r="L58"/>
  <c r="L63"/>
  <c r="B13"/>
  <c r="B15"/>
  <c r="B20"/>
  <c r="B25"/>
  <c r="B30"/>
  <c r="N15"/>
  <c r="O271" i="23"/>
  <c r="C47" i="21" s="1"/>
  <c r="B47"/>
  <c r="E271" i="23"/>
  <c r="L271"/>
  <c r="D271"/>
  <c r="J271"/>
  <c r="F47" i="21"/>
  <c r="F50"/>
  <c r="F55"/>
  <c r="F60"/>
  <c r="H48"/>
  <c r="H53"/>
  <c r="H58"/>
  <c r="H63"/>
  <c r="L47"/>
  <c r="L55"/>
  <c r="B14"/>
  <c r="B24"/>
  <c r="O463" i="23"/>
  <c r="C80" i="21" s="1"/>
  <c r="B80"/>
  <c r="C463" i="23"/>
  <c r="E463"/>
  <c r="I463"/>
  <c r="L463"/>
  <c r="N463"/>
  <c r="D463"/>
  <c r="G463"/>
  <c r="J463"/>
  <c r="M463"/>
  <c r="O527"/>
  <c r="G80" i="21" s="1"/>
  <c r="C527" i="23"/>
  <c r="I527"/>
  <c r="N527"/>
  <c r="D527"/>
  <c r="J527"/>
  <c r="H79" i="21"/>
  <c r="D430" i="23"/>
  <c r="G430"/>
  <c r="J430"/>
  <c r="M430"/>
  <c r="O430"/>
  <c r="C430"/>
  <c r="E430"/>
  <c r="I430"/>
  <c r="L430"/>
  <c r="N430"/>
  <c r="H85" i="21"/>
  <c r="C436" i="23"/>
  <c r="E436"/>
  <c r="I436"/>
  <c r="L436"/>
  <c r="N436"/>
  <c r="O436"/>
  <c r="D436"/>
  <c r="G436"/>
  <c r="J436"/>
  <c r="M436"/>
  <c r="H90" i="21"/>
  <c r="D441" i="23"/>
  <c r="G441"/>
  <c r="J441"/>
  <c r="M441"/>
  <c r="O441"/>
  <c r="I90" i="21" s="1"/>
  <c r="C441" i="23"/>
  <c r="E441"/>
  <c r="I441"/>
  <c r="L441"/>
  <c r="N441"/>
  <c r="O446"/>
  <c r="I95" i="21" s="1"/>
  <c r="C446" i="23"/>
  <c r="E446"/>
  <c r="I446"/>
  <c r="L446"/>
  <c r="N446"/>
  <c r="H95" i="21"/>
  <c r="D446" i="23"/>
  <c r="G446"/>
  <c r="J446"/>
  <c r="M446"/>
  <c r="N26" i="21"/>
  <c r="N29"/>
  <c r="N31"/>
  <c r="F75"/>
  <c r="O541" i="23"/>
  <c r="G94" i="21" s="1"/>
  <c r="I541" i="23"/>
  <c r="F94" i="21"/>
  <c r="D541" i="23"/>
  <c r="G541"/>
  <c r="J541"/>
  <c r="M541"/>
  <c r="C541"/>
  <c r="E541"/>
  <c r="L541"/>
  <c r="N541"/>
  <c r="O539"/>
  <c r="G92" i="21" s="1"/>
  <c r="C539" i="23"/>
  <c r="F92" i="21"/>
  <c r="D539" i="23"/>
  <c r="G539"/>
  <c r="J539"/>
  <c r="M539"/>
  <c r="E539"/>
  <c r="I539"/>
  <c r="L539"/>
  <c r="N539"/>
  <c r="F89" i="21"/>
  <c r="F87"/>
  <c r="E534" i="23"/>
  <c r="N534"/>
  <c r="O534"/>
  <c r="G87" i="21" s="1"/>
  <c r="D534" i="23"/>
  <c r="G534"/>
  <c r="J534"/>
  <c r="M534"/>
  <c r="C534"/>
  <c r="I534"/>
  <c r="L534"/>
  <c r="F84" i="21"/>
  <c r="O529" i="23"/>
  <c r="G82" i="21" s="1"/>
  <c r="D529" i="23"/>
  <c r="G529"/>
  <c r="J529"/>
  <c r="M529"/>
  <c r="F82" i="21"/>
  <c r="C529" i="23"/>
  <c r="E529"/>
  <c r="I529"/>
  <c r="L529"/>
  <c r="N529"/>
  <c r="F78" i="21"/>
  <c r="D95"/>
  <c r="C510" i="23"/>
  <c r="E510"/>
  <c r="I510"/>
  <c r="L510"/>
  <c r="N510"/>
  <c r="O510"/>
  <c r="E95" i="21" s="1"/>
  <c r="D510" i="23"/>
  <c r="G510"/>
  <c r="J510"/>
  <c r="M510"/>
  <c r="D93" i="21"/>
  <c r="O508" i="23"/>
  <c r="E93" i="21" s="1"/>
  <c r="C508" i="23"/>
  <c r="E508"/>
  <c r="I508"/>
  <c r="L508"/>
  <c r="N508"/>
  <c r="D508"/>
  <c r="G508"/>
  <c r="J508"/>
  <c r="M508"/>
  <c r="D90" i="21"/>
  <c r="C505" i="23"/>
  <c r="E505"/>
  <c r="I505"/>
  <c r="L505"/>
  <c r="N505"/>
  <c r="O505"/>
  <c r="E90" i="21" s="1"/>
  <c r="D505" i="23"/>
  <c r="G505"/>
  <c r="J505"/>
  <c r="M505"/>
  <c r="D88" i="21"/>
  <c r="D503" i="23"/>
  <c r="G503"/>
  <c r="J503"/>
  <c r="M503"/>
  <c r="O503"/>
  <c r="E88" i="21" s="1"/>
  <c r="C503" i="23"/>
  <c r="E503"/>
  <c r="I503"/>
  <c r="L503"/>
  <c r="N503"/>
  <c r="D85" i="21"/>
  <c r="O500" i="23"/>
  <c r="E85" i="21" s="1"/>
  <c r="D500" i="23"/>
  <c r="G500"/>
  <c r="J500"/>
  <c r="M500"/>
  <c r="C500"/>
  <c r="E500"/>
  <c r="I500"/>
  <c r="L500"/>
  <c r="N500"/>
  <c r="D83" i="21"/>
  <c r="D79"/>
  <c r="O494" i="23"/>
  <c r="E79" i="21" s="1"/>
  <c r="C494" i="23"/>
  <c r="E494"/>
  <c r="I494"/>
  <c r="L494"/>
  <c r="N494"/>
  <c r="D494"/>
  <c r="G494"/>
  <c r="J494"/>
  <c r="M494"/>
  <c r="D77" i="21"/>
  <c r="L62"/>
  <c r="H92"/>
  <c r="N25"/>
  <c r="L30"/>
  <c r="L25"/>
  <c r="O207" i="23"/>
  <c r="M15" i="21" s="1"/>
  <c r="C207" i="23"/>
  <c r="E207"/>
  <c r="I207"/>
  <c r="L207"/>
  <c r="N207"/>
  <c r="L15" i="21"/>
  <c r="D207" i="23"/>
  <c r="G207"/>
  <c r="J207"/>
  <c r="M207"/>
  <c r="F95" i="21"/>
  <c r="O542" i="23"/>
  <c r="G95" i="21" s="1"/>
  <c r="C542" i="23"/>
  <c r="I542"/>
  <c r="N542"/>
  <c r="G542"/>
  <c r="O537"/>
  <c r="G90" i="21" s="1"/>
  <c r="F90"/>
  <c r="C537" i="23"/>
  <c r="E537"/>
  <c r="I537"/>
  <c r="L537"/>
  <c r="N537"/>
  <c r="D537"/>
  <c r="G537"/>
  <c r="J537"/>
  <c r="M537"/>
  <c r="F52" i="21"/>
  <c r="E349" i="23"/>
  <c r="L349"/>
  <c r="F62" i="21"/>
  <c r="G349" i="23"/>
  <c r="M349"/>
  <c r="H51" i="21"/>
  <c r="H61"/>
  <c r="L46"/>
  <c r="B21"/>
  <c r="H80"/>
  <c r="O431" i="23"/>
  <c r="C431"/>
  <c r="E431"/>
  <c r="I431"/>
  <c r="L431"/>
  <c r="N431"/>
  <c r="D431"/>
  <c r="G431"/>
  <c r="J431"/>
  <c r="M431"/>
  <c r="H94" i="21"/>
  <c r="E445" i="23"/>
  <c r="L445"/>
  <c r="D445"/>
  <c r="J445"/>
  <c r="N28" i="21"/>
  <c r="D75"/>
  <c r="O532" i="23"/>
  <c r="G85" i="21" s="1"/>
  <c r="G532" i="23"/>
  <c r="J532"/>
  <c r="M532"/>
  <c r="F85" i="21"/>
  <c r="C532" i="23"/>
  <c r="E532"/>
  <c r="I532"/>
  <c r="L532"/>
  <c r="N532"/>
  <c r="D532"/>
  <c r="G509"/>
  <c r="M509"/>
  <c r="C509"/>
  <c r="I509"/>
  <c r="N509"/>
  <c r="D84" i="21"/>
  <c r="O477" i="23"/>
  <c r="C94" i="21" s="1"/>
  <c r="B94"/>
  <c r="G477" i="23"/>
  <c r="M477"/>
  <c r="E477"/>
  <c r="L477"/>
  <c r="B89" i="21"/>
  <c r="B78"/>
  <c r="J62"/>
  <c r="J57"/>
  <c r="K57"/>
  <c r="J46"/>
  <c r="K46"/>
  <c r="B43"/>
  <c r="D11"/>
  <c r="D475" i="23"/>
  <c r="J475"/>
  <c r="C475"/>
  <c r="I475"/>
  <c r="N475"/>
  <c r="B87" i="21"/>
  <c r="C470" i="23"/>
  <c r="E470"/>
  <c r="I470"/>
  <c r="L470"/>
  <c r="N470"/>
  <c r="O470"/>
  <c r="C87" i="21" s="1"/>
  <c r="D470" i="23"/>
  <c r="G470"/>
  <c r="J470"/>
  <c r="M470"/>
  <c r="B75" i="21"/>
  <c r="H15"/>
  <c r="H43"/>
  <c r="B11"/>
  <c r="F45"/>
  <c r="F51"/>
  <c r="F56"/>
  <c r="F61"/>
  <c r="H47"/>
  <c r="L51"/>
  <c r="L61"/>
  <c r="L60"/>
  <c r="L43"/>
  <c r="F93"/>
  <c r="E540" i="23"/>
  <c r="L540"/>
  <c r="G540"/>
  <c r="M540"/>
  <c r="C530"/>
  <c r="I530"/>
  <c r="N530"/>
  <c r="G530"/>
  <c r="M530"/>
  <c r="O476"/>
  <c r="C93" i="21" s="1"/>
  <c r="C476" i="23"/>
  <c r="I476"/>
  <c r="N476"/>
  <c r="D476"/>
  <c r="J476"/>
  <c r="O471"/>
  <c r="C88" i="21" s="1"/>
  <c r="D471" i="23"/>
  <c r="J471"/>
  <c r="B88" i="21"/>
  <c r="E471" i="23"/>
  <c r="L471"/>
  <c r="B83" i="21"/>
  <c r="J61"/>
  <c r="J56"/>
  <c r="K51"/>
  <c r="J51"/>
  <c r="J43"/>
  <c r="H11"/>
  <c r="B45"/>
  <c r="G275" i="23"/>
  <c r="M275"/>
  <c r="C275"/>
  <c r="I275"/>
  <c r="N275"/>
  <c r="B53" i="21"/>
  <c r="B56"/>
  <c r="E280" i="23"/>
  <c r="L280"/>
  <c r="O280"/>
  <c r="C56" i="21" s="1"/>
  <c r="D280" i="23"/>
  <c r="J280"/>
  <c r="B61" i="21"/>
  <c r="B63"/>
  <c r="J13"/>
  <c r="J15"/>
  <c r="E175" i="23"/>
  <c r="L175"/>
  <c r="O175"/>
  <c r="K15" i="21" s="1"/>
  <c r="D175" i="23"/>
  <c r="J175"/>
  <c r="J11" i="21"/>
  <c r="H18"/>
  <c r="B82"/>
  <c r="L475" i="23"/>
  <c r="E475"/>
  <c r="M475"/>
  <c r="G475"/>
  <c r="B92" i="21"/>
  <c r="K52"/>
  <c r="B84"/>
  <c r="N477" i="23"/>
  <c r="I477"/>
  <c r="C477"/>
  <c r="J477"/>
  <c r="L509"/>
  <c r="E509"/>
  <c r="D94" i="21"/>
  <c r="J509" i="23"/>
  <c r="D509"/>
  <c r="N11" i="21"/>
  <c r="M445" i="23"/>
  <c r="G445"/>
  <c r="N445"/>
  <c r="I445"/>
  <c r="C445"/>
  <c r="H84" i="21"/>
  <c r="B31"/>
  <c r="J349" i="23"/>
  <c r="D349"/>
  <c r="N349"/>
  <c r="I349"/>
  <c r="C349"/>
  <c r="D47" i="21"/>
  <c r="J542" i="23"/>
  <c r="D542"/>
  <c r="L542"/>
  <c r="E542"/>
  <c r="L20" i="21"/>
  <c r="N30"/>
  <c r="H82"/>
  <c r="M527" i="23"/>
  <c r="G527"/>
  <c r="F80" i="21"/>
  <c r="L527" i="23"/>
  <c r="B29" i="21"/>
  <c r="B19"/>
  <c r="M271" i="23"/>
  <c r="G271"/>
  <c r="N271"/>
  <c r="I271"/>
  <c r="N13" i="21"/>
  <c r="B28"/>
  <c r="B23"/>
  <c r="B18"/>
  <c r="D24"/>
  <c r="L77" i="23"/>
  <c r="E77"/>
  <c r="M77"/>
  <c r="G77"/>
  <c r="J24" i="21"/>
  <c r="H23"/>
  <c r="L110" i="23"/>
  <c r="E110"/>
  <c r="F15" i="21"/>
  <c r="J110" i="23"/>
  <c r="D110"/>
  <c r="H13" i="21"/>
  <c r="L317" i="23"/>
  <c r="E317"/>
  <c r="D62" i="21"/>
  <c r="J317" i="23"/>
  <c r="D317"/>
  <c r="D60" i="21"/>
  <c r="D57"/>
  <c r="D55"/>
  <c r="D52"/>
  <c r="D50"/>
  <c r="D46"/>
  <c r="J50"/>
  <c r="D89"/>
  <c r="J88" i="23"/>
  <c r="D88"/>
  <c r="O88"/>
  <c r="E25" i="21" s="1"/>
  <c r="L88" i="23"/>
  <c r="E88"/>
  <c r="D20" i="21"/>
  <c r="M78" i="23"/>
  <c r="G78"/>
  <c r="D15" i="21"/>
  <c r="L78" i="23"/>
  <c r="L158"/>
  <c r="E158"/>
  <c r="M158"/>
  <c r="G158"/>
  <c r="F30" i="21"/>
  <c r="J28"/>
  <c r="H26"/>
  <c r="F25"/>
  <c r="J23"/>
  <c r="M175" i="23"/>
  <c r="I175"/>
  <c r="B58" i="21"/>
  <c r="M280" i="23"/>
  <c r="I280"/>
  <c r="L275"/>
  <c r="B51" i="21"/>
  <c r="D275" i="23"/>
  <c r="F43" i="21"/>
  <c r="H14"/>
  <c r="K61"/>
  <c r="I471" i="23"/>
  <c r="M471"/>
  <c r="G476"/>
  <c r="L476"/>
  <c r="D530"/>
  <c r="L530"/>
  <c r="F83" i="21"/>
  <c r="J540" i="23"/>
  <c r="I540"/>
  <c r="D540"/>
  <c r="L28" i="21"/>
  <c r="L57"/>
  <c r="L50"/>
  <c r="L45"/>
  <c r="H60"/>
  <c r="H55"/>
  <c r="H50"/>
  <c r="D82" i="23"/>
  <c r="E302"/>
  <c r="E212"/>
  <c r="C429"/>
  <c r="I429"/>
  <c r="N429"/>
  <c r="G429"/>
  <c r="M429"/>
  <c r="O220"/>
  <c r="O215"/>
  <c r="G215"/>
  <c r="M215"/>
  <c r="C215"/>
  <c r="I215"/>
  <c r="N215"/>
  <c r="I269"/>
  <c r="G270"/>
  <c r="M270"/>
  <c r="C270"/>
  <c r="I270"/>
  <c r="N270"/>
  <c r="M277"/>
  <c r="D279"/>
  <c r="J279"/>
  <c r="O279"/>
  <c r="E279"/>
  <c r="L279"/>
  <c r="C118"/>
  <c r="I118"/>
  <c r="N118"/>
  <c r="D118"/>
  <c r="J118"/>
  <c r="O493"/>
  <c r="G493"/>
  <c r="M493"/>
  <c r="C493"/>
  <c r="I493"/>
  <c r="N493"/>
  <c r="E181"/>
  <c r="L181"/>
  <c r="O181"/>
  <c r="G181"/>
  <c r="M181"/>
  <c r="O152"/>
  <c r="E152"/>
  <c r="L152"/>
  <c r="G152"/>
  <c r="M152"/>
  <c r="M82"/>
  <c r="L82"/>
  <c r="O89"/>
  <c r="G89"/>
  <c r="M89"/>
  <c r="C89"/>
  <c r="I89"/>
  <c r="N89"/>
  <c r="O525"/>
  <c r="E525"/>
  <c r="L525"/>
  <c r="G525"/>
  <c r="M525"/>
  <c r="E498"/>
  <c r="L498"/>
  <c r="O498"/>
  <c r="G498"/>
  <c r="M498"/>
  <c r="O212"/>
  <c r="I212"/>
  <c r="D212"/>
  <c r="O302"/>
  <c r="I302"/>
  <c r="D302"/>
  <c r="O461"/>
  <c r="C461"/>
  <c r="I461"/>
  <c r="N461"/>
  <c r="G461"/>
  <c r="M461"/>
  <c r="I220"/>
  <c r="G220"/>
  <c r="L269"/>
  <c r="G269"/>
  <c r="E277"/>
  <c r="O277"/>
  <c r="J277"/>
  <c r="G302"/>
  <c r="L302"/>
  <c r="G212"/>
  <c r="L212"/>
  <c r="C82"/>
  <c r="J82"/>
  <c r="G277"/>
  <c r="C269"/>
  <c r="M144"/>
  <c r="O429"/>
  <c r="E429"/>
  <c r="L429"/>
  <c r="D429"/>
  <c r="J429"/>
  <c r="E220"/>
  <c r="J220"/>
  <c r="D215"/>
  <c r="J215"/>
  <c r="E215"/>
  <c r="L215"/>
  <c r="O269"/>
  <c r="D269"/>
  <c r="D270"/>
  <c r="J270"/>
  <c r="O270"/>
  <c r="E270"/>
  <c r="L270"/>
  <c r="I277"/>
  <c r="G279"/>
  <c r="M279"/>
  <c r="C279"/>
  <c r="I279"/>
  <c r="N279"/>
  <c r="E118"/>
  <c r="L118"/>
  <c r="O118"/>
  <c r="G118"/>
  <c r="M118"/>
  <c r="D493"/>
  <c r="J493"/>
  <c r="E493"/>
  <c r="L493"/>
  <c r="C181"/>
  <c r="I181"/>
  <c r="N181"/>
  <c r="D181"/>
  <c r="J181"/>
  <c r="C152"/>
  <c r="I152"/>
  <c r="N152"/>
  <c r="D152"/>
  <c r="J152"/>
  <c r="G82"/>
  <c r="E82"/>
  <c r="D89"/>
  <c r="J89"/>
  <c r="E89"/>
  <c r="L89"/>
  <c r="C525"/>
  <c r="I525"/>
  <c r="N525"/>
  <c r="D525"/>
  <c r="J525"/>
  <c r="C498"/>
  <c r="I498"/>
  <c r="N498"/>
  <c r="D498"/>
  <c r="J498"/>
  <c r="C212"/>
  <c r="N212"/>
  <c r="J212"/>
  <c r="C302"/>
  <c r="N302"/>
  <c r="J302"/>
  <c r="E461"/>
  <c r="L461"/>
  <c r="D461"/>
  <c r="J461"/>
  <c r="C220"/>
  <c r="N220"/>
  <c r="M220"/>
  <c r="E269"/>
  <c r="M269"/>
  <c r="L277"/>
  <c r="D277"/>
  <c r="M302"/>
  <c r="M212"/>
  <c r="I82"/>
  <c r="O82"/>
  <c r="N277"/>
  <c r="N269"/>
  <c r="D220"/>
  <c r="N82"/>
  <c r="C277"/>
  <c r="J269"/>
  <c r="L220"/>
  <c r="L536"/>
  <c r="N536"/>
  <c r="I536"/>
  <c r="C536"/>
  <c r="O536"/>
  <c r="E536"/>
  <c r="M536"/>
  <c r="J536"/>
  <c r="G536"/>
  <c r="D536"/>
  <c r="C507"/>
  <c r="G507"/>
  <c r="I507"/>
  <c r="O507"/>
  <c r="M507"/>
  <c r="D507"/>
  <c r="E507"/>
  <c r="N507"/>
  <c r="L507"/>
  <c r="J507"/>
  <c r="N443"/>
  <c r="D443"/>
  <c r="O443"/>
  <c r="J443"/>
  <c r="I443"/>
  <c r="C443"/>
  <c r="L443"/>
  <c r="M443"/>
  <c r="E443"/>
  <c r="G443"/>
  <c r="M285"/>
  <c r="I285"/>
  <c r="O285"/>
  <c r="N285"/>
  <c r="J285"/>
  <c r="C285"/>
  <c r="D285"/>
  <c r="E285"/>
  <c r="G285"/>
  <c r="L285"/>
  <c r="M191"/>
  <c r="J191"/>
  <c r="O191"/>
  <c r="G191"/>
  <c r="L191"/>
  <c r="C191"/>
  <c r="N191"/>
  <c r="D191"/>
  <c r="E191"/>
  <c r="I191"/>
  <c r="G89" i="21" l="1"/>
  <c r="T445" i="23"/>
  <c r="T430"/>
  <c r="C61" i="21"/>
  <c r="K31"/>
  <c r="E19"/>
  <c r="G23"/>
  <c r="C46"/>
  <c r="C45"/>
  <c r="K56"/>
  <c r="K63"/>
  <c r="T429" i="23"/>
  <c r="C53" i="21"/>
  <c r="C78"/>
  <c r="E47"/>
  <c r="M20"/>
  <c r="E83"/>
  <c r="G78"/>
  <c r="E26"/>
  <c r="I25"/>
  <c r="K21"/>
  <c r="K60"/>
  <c r="E78"/>
  <c r="C55"/>
  <c r="M23"/>
  <c r="M28"/>
  <c r="I79"/>
  <c r="I85"/>
  <c r="E92"/>
  <c r="I92"/>
  <c r="T436" i="23"/>
  <c r="T441"/>
  <c r="T444"/>
  <c r="T446"/>
  <c r="T431"/>
  <c r="I88" i="21"/>
  <c r="T439" i="23"/>
  <c r="T438"/>
  <c r="R19"/>
  <c r="R28"/>
  <c r="R9"/>
  <c r="R247"/>
  <c r="R21"/>
  <c r="R428"/>
  <c r="R14"/>
  <c r="R16"/>
  <c r="R249"/>
  <c r="R241"/>
  <c r="R446"/>
  <c r="R430"/>
  <c r="R26"/>
  <c r="R12"/>
  <c r="R444"/>
  <c r="R248"/>
  <c r="R440"/>
  <c r="R13"/>
  <c r="R18"/>
  <c r="R11"/>
  <c r="R234"/>
  <c r="R438"/>
  <c r="R436"/>
  <c r="R22"/>
  <c r="R27"/>
  <c r="R433"/>
  <c r="R445"/>
  <c r="R252"/>
  <c r="R246"/>
  <c r="R441"/>
  <c r="R429"/>
  <c r="R237"/>
  <c r="R244"/>
  <c r="R253"/>
  <c r="R239"/>
  <c r="R254"/>
  <c r="R443"/>
  <c r="R236"/>
  <c r="R426"/>
  <c r="R17"/>
  <c r="R251"/>
  <c r="R242"/>
  <c r="R434"/>
  <c r="R435"/>
  <c r="R23"/>
  <c r="R24"/>
  <c r="R243"/>
  <c r="R439"/>
  <c r="R29"/>
  <c r="R238"/>
  <c r="R431"/>
  <c r="S440" l="1"/>
  <c r="T440" s="1"/>
  <c r="S249"/>
  <c r="S28"/>
  <c r="S21"/>
  <c r="S16"/>
  <c r="S433"/>
  <c r="S9"/>
  <c r="S243"/>
  <c r="S239"/>
  <c r="S428"/>
  <c r="S24"/>
  <c r="I89" i="21"/>
  <c r="S244" i="23"/>
  <c r="S17"/>
  <c r="S254"/>
  <c r="S248"/>
  <c r="S29"/>
  <c r="S253"/>
  <c r="S247"/>
  <c r="S237"/>
  <c r="S27"/>
  <c r="S13"/>
  <c r="S251"/>
  <c r="S241"/>
  <c r="S18"/>
  <c r="S22"/>
  <c r="S434"/>
  <c r="S234"/>
  <c r="S11"/>
  <c r="S443"/>
  <c r="T443" s="1"/>
  <c r="S238"/>
  <c r="S14"/>
  <c r="S426"/>
  <c r="S242"/>
  <c r="S26"/>
  <c r="S23"/>
  <c r="S252"/>
  <c r="S435"/>
  <c r="S246"/>
  <c r="S236"/>
  <c r="S19"/>
  <c r="S12"/>
  <c r="I78" i="21" l="1"/>
  <c r="I80"/>
  <c r="O180" i="23"/>
  <c r="E91"/>
  <c r="L180"/>
  <c r="J180"/>
  <c r="D350"/>
  <c r="L350"/>
  <c r="L91"/>
  <c r="G91"/>
  <c r="J350"/>
  <c r="C91"/>
  <c r="N180"/>
  <c r="O91"/>
  <c r="E350"/>
  <c r="M91"/>
  <c r="D91"/>
  <c r="M180"/>
  <c r="I180"/>
  <c r="D180"/>
  <c r="N91"/>
  <c r="C350"/>
  <c r="N350"/>
  <c r="J91"/>
  <c r="M350"/>
  <c r="I91"/>
  <c r="C180"/>
  <c r="G350"/>
  <c r="I350"/>
  <c r="E180"/>
  <c r="O350"/>
  <c r="G180"/>
  <c r="G63" i="21" l="1"/>
  <c r="E28"/>
  <c r="K20"/>
  <c r="C179" i="23" l="1"/>
  <c r="O179"/>
  <c r="I179"/>
  <c r="M179"/>
  <c r="L179"/>
  <c r="D179"/>
  <c r="G179"/>
  <c r="N179"/>
  <c r="E179"/>
  <c r="J179"/>
  <c r="G155"/>
  <c r="N155"/>
  <c r="C155"/>
  <c r="J155"/>
  <c r="D155"/>
  <c r="O155"/>
  <c r="E155"/>
  <c r="L155"/>
  <c r="I155"/>
  <c r="M155"/>
  <c r="G531"/>
  <c r="L531"/>
  <c r="M531"/>
  <c r="D531"/>
  <c r="I531"/>
  <c r="C531"/>
  <c r="O531"/>
  <c r="J531"/>
  <c r="N531"/>
  <c r="E531"/>
  <c r="I522"/>
  <c r="M522"/>
  <c r="E522"/>
  <c r="O522"/>
  <c r="L522"/>
  <c r="J522"/>
  <c r="N522"/>
  <c r="G522"/>
  <c r="D522"/>
  <c r="C522"/>
  <c r="D492"/>
  <c r="E497"/>
  <c r="C504"/>
  <c r="I492"/>
  <c r="G492"/>
  <c r="M497"/>
  <c r="G504"/>
  <c r="L504"/>
  <c r="C492"/>
  <c r="C497"/>
  <c r="O492"/>
  <c r="M499"/>
  <c r="D497"/>
  <c r="G499"/>
  <c r="L499"/>
  <c r="O504"/>
  <c r="J499"/>
  <c r="O497"/>
  <c r="J492"/>
  <c r="I497"/>
  <c r="I504"/>
  <c r="D504"/>
  <c r="E492"/>
  <c r="N497"/>
  <c r="G497"/>
  <c r="M504"/>
  <c r="E504"/>
  <c r="M492"/>
  <c r="L492"/>
  <c r="N492"/>
  <c r="J504"/>
  <c r="E499"/>
  <c r="D499"/>
  <c r="L497"/>
  <c r="C499"/>
  <c r="N504"/>
  <c r="I499"/>
  <c r="N499"/>
  <c r="J497"/>
  <c r="O499"/>
  <c r="D490"/>
  <c r="J490"/>
  <c r="I490"/>
  <c r="L490"/>
  <c r="O490"/>
  <c r="E490"/>
  <c r="N490"/>
  <c r="C490"/>
  <c r="G490"/>
  <c r="M490"/>
  <c r="G465"/>
  <c r="N465"/>
  <c r="G466"/>
  <c r="E465"/>
  <c r="G467"/>
  <c r="O466"/>
  <c r="G460"/>
  <c r="N467"/>
  <c r="L467"/>
  <c r="E472"/>
  <c r="L472"/>
  <c r="I460"/>
  <c r="C460"/>
  <c r="O472"/>
  <c r="C472"/>
  <c r="J466"/>
  <c r="J460"/>
  <c r="G472"/>
  <c r="D460"/>
  <c r="M460"/>
  <c r="E466"/>
  <c r="L465"/>
  <c r="L460"/>
  <c r="D467"/>
  <c r="J465"/>
  <c r="I465"/>
  <c r="O460"/>
  <c r="C466"/>
  <c r="D472"/>
  <c r="N460"/>
  <c r="M466"/>
  <c r="C465"/>
  <c r="E460"/>
  <c r="I472"/>
  <c r="L466"/>
  <c r="D465"/>
  <c r="M472"/>
  <c r="M467"/>
  <c r="D466"/>
  <c r="M465"/>
  <c r="J467"/>
  <c r="I466"/>
  <c r="E467"/>
  <c r="O465"/>
  <c r="N466"/>
  <c r="I467"/>
  <c r="O467"/>
  <c r="C467"/>
  <c r="J472"/>
  <c r="N472"/>
  <c r="M458"/>
  <c r="D458"/>
  <c r="C458"/>
  <c r="O458"/>
  <c r="N458"/>
  <c r="L458"/>
  <c r="I458"/>
  <c r="E458"/>
  <c r="J458"/>
  <c r="G458"/>
  <c r="I434"/>
  <c r="N428"/>
  <c r="G440"/>
  <c r="D433"/>
  <c r="G428"/>
  <c r="E428"/>
  <c r="L434"/>
  <c r="J434"/>
  <c r="E433"/>
  <c r="N433"/>
  <c r="D434"/>
  <c r="N440"/>
  <c r="G435"/>
  <c r="E435"/>
  <c r="J435"/>
  <c r="J433"/>
  <c r="L428"/>
  <c r="J428"/>
  <c r="O435"/>
  <c r="N435"/>
  <c r="D440"/>
  <c r="O433"/>
  <c r="I433"/>
  <c r="G434"/>
  <c r="I435"/>
  <c r="L440"/>
  <c r="M434"/>
  <c r="G433"/>
  <c r="D428"/>
  <c r="C434"/>
  <c r="D435"/>
  <c r="C440"/>
  <c r="M428"/>
  <c r="I440"/>
  <c r="C435"/>
  <c r="O428"/>
  <c r="J440"/>
  <c r="M433"/>
  <c r="M435"/>
  <c r="L435"/>
  <c r="N434"/>
  <c r="E434"/>
  <c r="I428"/>
  <c r="L433"/>
  <c r="C433"/>
  <c r="M440"/>
  <c r="E440"/>
  <c r="O434"/>
  <c r="C428"/>
  <c r="I426"/>
  <c r="J426"/>
  <c r="L426"/>
  <c r="N426"/>
  <c r="C426"/>
  <c r="E426"/>
  <c r="O426"/>
  <c r="M426"/>
  <c r="D426"/>
  <c r="G426"/>
  <c r="M380"/>
  <c r="I366"/>
  <c r="I381"/>
  <c r="J370"/>
  <c r="I375"/>
  <c r="G380"/>
  <c r="D376"/>
  <c r="M365"/>
  <c r="M372"/>
  <c r="J366"/>
  <c r="I377"/>
  <c r="N377"/>
  <c r="C365"/>
  <c r="D367"/>
  <c r="O367"/>
  <c r="N369"/>
  <c r="G364"/>
  <c r="N376"/>
  <c r="C364"/>
  <c r="O369"/>
  <c r="D377"/>
  <c r="D379"/>
  <c r="E364"/>
  <c r="D381"/>
  <c r="C381"/>
  <c r="O371"/>
  <c r="G375"/>
  <c r="L377"/>
  <c r="M376"/>
  <c r="C376"/>
  <c r="L382"/>
  <c r="L381"/>
  <c r="C372"/>
  <c r="J365"/>
  <c r="J377"/>
  <c r="N366"/>
  <c r="D364"/>
  <c r="C374"/>
  <c r="O380"/>
  <c r="G377"/>
  <c r="E380"/>
  <c r="L375"/>
  <c r="L379"/>
  <c r="C382"/>
  <c r="I367"/>
  <c r="O375"/>
  <c r="M364"/>
  <c r="G366"/>
  <c r="E382"/>
  <c r="C380"/>
  <c r="O376"/>
  <c r="C377"/>
  <c r="I371"/>
  <c r="N367"/>
  <c r="O370"/>
  <c r="J375"/>
  <c r="N365"/>
  <c r="L365"/>
  <c r="O366"/>
  <c r="I364"/>
  <c r="I365"/>
  <c r="G381"/>
  <c r="G365"/>
  <c r="N372"/>
  <c r="J364"/>
  <c r="E379"/>
  <c r="M374"/>
  <c r="C369"/>
  <c r="N382"/>
  <c r="O365"/>
  <c r="E374"/>
  <c r="C371"/>
  <c r="L367"/>
  <c r="E370"/>
  <c r="J380"/>
  <c r="D369"/>
  <c r="J381"/>
  <c r="D366"/>
  <c r="C366"/>
  <c r="E369"/>
  <c r="I379"/>
  <c r="D371"/>
  <c r="J372"/>
  <c r="L371"/>
  <c r="C370"/>
  <c r="L376"/>
  <c r="O377"/>
  <c r="M379"/>
  <c r="D370"/>
  <c r="N364"/>
  <c r="C375"/>
  <c r="G374"/>
  <c r="M375"/>
  <c r="G369"/>
  <c r="J376"/>
  <c r="D374"/>
  <c r="E377"/>
  <c r="E375"/>
  <c r="L364"/>
  <c r="I376"/>
  <c r="L372"/>
  <c r="D375"/>
  <c r="M377"/>
  <c r="O374"/>
  <c r="G367"/>
  <c r="O379"/>
  <c r="E365"/>
  <c r="G372"/>
  <c r="M371"/>
  <c r="I370"/>
  <c r="O382"/>
  <c r="D365"/>
  <c r="L370"/>
  <c r="E381"/>
  <c r="G379"/>
  <c r="I382"/>
  <c r="I380"/>
  <c r="J369"/>
  <c r="C379"/>
  <c r="C367"/>
  <c r="N374"/>
  <c r="J374"/>
  <c r="L380"/>
  <c r="O381"/>
  <c r="M381"/>
  <c r="J367"/>
  <c r="G376"/>
  <c r="L374"/>
  <c r="E371"/>
  <c r="J371"/>
  <c r="O372"/>
  <c r="L369"/>
  <c r="M370"/>
  <c r="E366"/>
  <c r="M366"/>
  <c r="N380"/>
  <c r="G382"/>
  <c r="M369"/>
  <c r="O364"/>
  <c r="E367"/>
  <c r="E372"/>
  <c r="N371"/>
  <c r="N381"/>
  <c r="J379"/>
  <c r="J382"/>
  <c r="I369"/>
  <c r="G370"/>
  <c r="I372"/>
  <c r="M367"/>
  <c r="N375"/>
  <c r="I374"/>
  <c r="E376"/>
  <c r="G371"/>
  <c r="L366"/>
  <c r="M382"/>
  <c r="N379"/>
  <c r="D372"/>
  <c r="D380"/>
  <c r="D382"/>
  <c r="N370"/>
  <c r="D362"/>
  <c r="L362"/>
  <c r="E362"/>
  <c r="O362"/>
  <c r="M362"/>
  <c r="I362"/>
  <c r="C362"/>
  <c r="N362"/>
  <c r="J362"/>
  <c r="G362"/>
  <c r="L347"/>
  <c r="I348"/>
  <c r="M334"/>
  <c r="O334"/>
  <c r="N348"/>
  <c r="E334"/>
  <c r="O337"/>
  <c r="G340"/>
  <c r="I340"/>
  <c r="E348"/>
  <c r="N343"/>
  <c r="L334"/>
  <c r="D335"/>
  <c r="I339"/>
  <c r="E333"/>
  <c r="M339"/>
  <c r="J339"/>
  <c r="L338"/>
  <c r="N344"/>
  <c r="O332"/>
  <c r="G332"/>
  <c r="O342"/>
  <c r="C332"/>
  <c r="D333"/>
  <c r="G347"/>
  <c r="E343"/>
  <c r="N340"/>
  <c r="L343"/>
  <c r="C338"/>
  <c r="M348"/>
  <c r="M332"/>
  <c r="M347"/>
  <c r="J333"/>
  <c r="C337"/>
  <c r="J348"/>
  <c r="L348"/>
  <c r="G345"/>
  <c r="N335"/>
  <c r="C333"/>
  <c r="E339"/>
  <c r="E335"/>
  <c r="E338"/>
  <c r="M343"/>
  <c r="D344"/>
  <c r="G343"/>
  <c r="D347"/>
  <c r="J347"/>
  <c r="C335"/>
  <c r="L332"/>
  <c r="D339"/>
  <c r="O338"/>
  <c r="J344"/>
  <c r="M338"/>
  <c r="C347"/>
  <c r="N345"/>
  <c r="G337"/>
  <c r="J342"/>
  <c r="E342"/>
  <c r="M333"/>
  <c r="E337"/>
  <c r="L345"/>
  <c r="E332"/>
  <c r="G334"/>
  <c r="O340"/>
  <c r="L339"/>
  <c r="C348"/>
  <c r="M345"/>
  <c r="E340"/>
  <c r="J340"/>
  <c r="I333"/>
  <c r="D340"/>
  <c r="C342"/>
  <c r="N339"/>
  <c r="N334"/>
  <c r="C345"/>
  <c r="O335"/>
  <c r="O344"/>
  <c r="I335"/>
  <c r="D332"/>
  <c r="I338"/>
  <c r="M335"/>
  <c r="I344"/>
  <c r="I337"/>
  <c r="D338"/>
  <c r="J345"/>
  <c r="E344"/>
  <c r="C340"/>
  <c r="O347"/>
  <c r="D342"/>
  <c r="L333"/>
  <c r="E345"/>
  <c r="J332"/>
  <c r="G338"/>
  <c r="G342"/>
  <c r="J334"/>
  <c r="N342"/>
  <c r="G344"/>
  <c r="O345"/>
  <c r="C343"/>
  <c r="D345"/>
  <c r="E347"/>
  <c r="O343"/>
  <c r="C339"/>
  <c r="L342"/>
  <c r="N337"/>
  <c r="D334"/>
  <c r="J343"/>
  <c r="G333"/>
  <c r="J335"/>
  <c r="N347"/>
  <c r="G335"/>
  <c r="G339"/>
  <c r="L335"/>
  <c r="I343"/>
  <c r="I347"/>
  <c r="C334"/>
  <c r="L344"/>
  <c r="D348"/>
  <c r="O339"/>
  <c r="N333"/>
  <c r="M340"/>
  <c r="M337"/>
  <c r="N338"/>
  <c r="O348"/>
  <c r="I334"/>
  <c r="G348"/>
  <c r="L337"/>
  <c r="L340"/>
  <c r="O333"/>
  <c r="M342"/>
  <c r="D337"/>
  <c r="I342"/>
  <c r="M344"/>
  <c r="I345"/>
  <c r="C344"/>
  <c r="D343"/>
  <c r="N332"/>
  <c r="J337"/>
  <c r="J338"/>
  <c r="I332"/>
  <c r="I330"/>
  <c r="O330"/>
  <c r="N330"/>
  <c r="L330"/>
  <c r="G330"/>
  <c r="M330"/>
  <c r="E330"/>
  <c r="C330"/>
  <c r="D330"/>
  <c r="J330"/>
  <c r="N316"/>
  <c r="I315"/>
  <c r="J311"/>
  <c r="G303"/>
  <c r="C308"/>
  <c r="E310"/>
  <c r="D305"/>
  <c r="I306"/>
  <c r="M306"/>
  <c r="L313"/>
  <c r="E312"/>
  <c r="G308"/>
  <c r="C310"/>
  <c r="L307"/>
  <c r="M305"/>
  <c r="O301"/>
  <c r="G312"/>
  <c r="E305"/>
  <c r="M313"/>
  <c r="L300"/>
  <c r="L303"/>
  <c r="G313"/>
  <c r="M310"/>
  <c r="M315"/>
  <c r="N315"/>
  <c r="L305"/>
  <c r="M300"/>
  <c r="I312"/>
  <c r="I308"/>
  <c r="O315"/>
  <c r="G311"/>
  <c r="O313"/>
  <c r="E311"/>
  <c r="D311"/>
  <c r="C303"/>
  <c r="N300"/>
  <c r="M303"/>
  <c r="N311"/>
  <c r="C316"/>
  <c r="D306"/>
  <c r="O310"/>
  <c r="O305"/>
  <c r="G310"/>
  <c r="E308"/>
  <c r="D310"/>
  <c r="G301"/>
  <c r="D313"/>
  <c r="N301"/>
  <c r="E306"/>
  <c r="O303"/>
  <c r="E303"/>
  <c r="M312"/>
  <c r="C301"/>
  <c r="J305"/>
  <c r="C315"/>
  <c r="C300"/>
  <c r="I316"/>
  <c r="I310"/>
  <c r="G316"/>
  <c r="N313"/>
  <c r="G315"/>
  <c r="J312"/>
  <c r="N312"/>
  <c r="G305"/>
  <c r="G306"/>
  <c r="O306"/>
  <c r="I313"/>
  <c r="O316"/>
  <c r="I303"/>
  <c r="J310"/>
  <c r="C307"/>
  <c r="I305"/>
  <c r="C306"/>
  <c r="G307"/>
  <c r="M307"/>
  <c r="C311"/>
  <c r="N306"/>
  <c r="O300"/>
  <c r="E316"/>
  <c r="J306"/>
  <c r="L301"/>
  <c r="J315"/>
  <c r="E301"/>
  <c r="I301"/>
  <c r="O312"/>
  <c r="M308"/>
  <c r="J301"/>
  <c r="D308"/>
  <c r="N310"/>
  <c r="C305"/>
  <c r="D316"/>
  <c r="C313"/>
  <c r="O311"/>
  <c r="J303"/>
  <c r="D303"/>
  <c r="I300"/>
  <c r="M301"/>
  <c r="J300"/>
  <c r="E313"/>
  <c r="L311"/>
  <c r="N303"/>
  <c r="N305"/>
  <c r="E307"/>
  <c r="D301"/>
  <c r="N308"/>
  <c r="L310"/>
  <c r="C312"/>
  <c r="M316"/>
  <c r="E315"/>
  <c r="J308"/>
  <c r="D315"/>
  <c r="E300"/>
  <c r="L308"/>
  <c r="D300"/>
  <c r="J313"/>
  <c r="J316"/>
  <c r="O308"/>
  <c r="L315"/>
  <c r="L306"/>
  <c r="D307"/>
  <c r="O307"/>
  <c r="G300"/>
  <c r="M311"/>
  <c r="L316"/>
  <c r="L312"/>
  <c r="D312"/>
  <c r="I307"/>
  <c r="I311"/>
  <c r="N307"/>
  <c r="J307"/>
  <c r="L298"/>
  <c r="C298"/>
  <c r="N298"/>
  <c r="O298"/>
  <c r="E298"/>
  <c r="I298"/>
  <c r="M298"/>
  <c r="G298"/>
  <c r="D298"/>
  <c r="J298"/>
  <c r="N282"/>
  <c r="E276"/>
  <c r="N281"/>
  <c r="M281"/>
  <c r="L274"/>
  <c r="J281"/>
  <c r="I272"/>
  <c r="E282"/>
  <c r="L272"/>
  <c r="L287"/>
  <c r="J282"/>
  <c r="O276"/>
  <c r="I281"/>
  <c r="E287"/>
  <c r="N274"/>
  <c r="G282"/>
  <c r="I287"/>
  <c r="I276"/>
  <c r="M274"/>
  <c r="G281"/>
  <c r="J272"/>
  <c r="M282"/>
  <c r="D274"/>
  <c r="I274"/>
  <c r="J274"/>
  <c r="C272"/>
  <c r="D282"/>
  <c r="O287"/>
  <c r="M276"/>
  <c r="O281"/>
  <c r="M272"/>
  <c r="D287"/>
  <c r="L282"/>
  <c r="G272"/>
  <c r="G276"/>
  <c r="C282"/>
  <c r="N272"/>
  <c r="C276"/>
  <c r="E272"/>
  <c r="O282"/>
  <c r="L276"/>
  <c r="E274"/>
  <c r="G274"/>
  <c r="J276"/>
  <c r="L281"/>
  <c r="J287"/>
  <c r="I282"/>
  <c r="D276"/>
  <c r="E281"/>
  <c r="C287"/>
  <c r="C274"/>
  <c r="G287"/>
  <c r="C281"/>
  <c r="M287"/>
  <c r="N287"/>
  <c r="O272"/>
  <c r="D281"/>
  <c r="O274"/>
  <c r="N276"/>
  <c r="D272"/>
  <c r="O267"/>
  <c r="E267"/>
  <c r="G267"/>
  <c r="I267"/>
  <c r="C267"/>
  <c r="L267"/>
  <c r="D267"/>
  <c r="N267"/>
  <c r="J267"/>
  <c r="M267"/>
  <c r="C254"/>
  <c r="N253"/>
  <c r="N252"/>
  <c r="J247"/>
  <c r="J239"/>
  <c r="J248"/>
  <c r="N251"/>
  <c r="C236"/>
  <c r="L247"/>
  <c r="G238"/>
  <c r="E252"/>
  <c r="N254"/>
  <c r="J252"/>
  <c r="O244"/>
  <c r="M241"/>
  <c r="G247"/>
  <c r="E253"/>
  <c r="G237"/>
  <c r="G246"/>
  <c r="I248"/>
  <c r="C249"/>
  <c r="M243"/>
  <c r="C247"/>
  <c r="D251"/>
  <c r="M237"/>
  <c r="L248"/>
  <c r="N241"/>
  <c r="J251"/>
  <c r="N248"/>
  <c r="E242"/>
  <c r="O253"/>
  <c r="M246"/>
  <c r="G239"/>
  <c r="G252"/>
  <c r="M248"/>
  <c r="N243"/>
  <c r="O238"/>
  <c r="L251"/>
  <c r="G244"/>
  <c r="D247"/>
  <c r="I237"/>
  <c r="L236"/>
  <c r="O248"/>
  <c r="I241"/>
  <c r="I238"/>
  <c r="M249"/>
  <c r="J253"/>
  <c r="D253"/>
  <c r="E248"/>
  <c r="O246"/>
  <c r="L254"/>
  <c r="D254"/>
  <c r="C246"/>
  <c r="L241"/>
  <c r="E236"/>
  <c r="N236"/>
  <c r="L249"/>
  <c r="J236"/>
  <c r="L252"/>
  <c r="N237"/>
  <c r="C239"/>
  <c r="C241"/>
  <c r="L253"/>
  <c r="E237"/>
  <c r="L237"/>
  <c r="E249"/>
  <c r="O247"/>
  <c r="N247"/>
  <c r="O242"/>
  <c r="E251"/>
  <c r="J249"/>
  <c r="N244"/>
  <c r="G254"/>
  <c r="D246"/>
  <c r="M252"/>
  <c r="O237"/>
  <c r="J243"/>
  <c r="I246"/>
  <c r="I243"/>
  <c r="L243"/>
  <c r="E238"/>
  <c r="O254"/>
  <c r="G253"/>
  <c r="L239"/>
  <c r="M244"/>
  <c r="L242"/>
  <c r="G236"/>
  <c r="M251"/>
  <c r="D243"/>
  <c r="L244"/>
  <c r="C248"/>
  <c r="N246"/>
  <c r="C252"/>
  <c r="E239"/>
  <c r="J244"/>
  <c r="M253"/>
  <c r="O243"/>
  <c r="I247"/>
  <c r="G248"/>
  <c r="M254"/>
  <c r="G243"/>
  <c r="D244"/>
  <c r="E254"/>
  <c r="G249"/>
  <c r="M239"/>
  <c r="D242"/>
  <c r="O241"/>
  <c r="E244"/>
  <c r="L238"/>
  <c r="I251"/>
  <c r="O249"/>
  <c r="I244"/>
  <c r="I239"/>
  <c r="J237"/>
  <c r="D248"/>
  <c r="L246"/>
  <c r="I236"/>
  <c r="N238"/>
  <c r="I254"/>
  <c r="D252"/>
  <c r="I252"/>
  <c r="C243"/>
  <c r="D239"/>
  <c r="D241"/>
  <c r="E241"/>
  <c r="G241"/>
  <c r="J241"/>
  <c r="J246"/>
  <c r="D238"/>
  <c r="J254"/>
  <c r="G251"/>
  <c r="C244"/>
  <c r="G242"/>
  <c r="O236"/>
  <c r="D249"/>
  <c r="J242"/>
  <c r="M247"/>
  <c r="C238"/>
  <c r="C253"/>
  <c r="O252"/>
  <c r="C251"/>
  <c r="M236"/>
  <c r="C237"/>
  <c r="D236"/>
  <c r="E247"/>
  <c r="O239"/>
  <c r="C242"/>
  <c r="N242"/>
  <c r="M238"/>
  <c r="D237"/>
  <c r="I242"/>
  <c r="I253"/>
  <c r="E246"/>
  <c r="E243"/>
  <c r="J238"/>
  <c r="N249"/>
  <c r="O251"/>
  <c r="M242"/>
  <c r="I249"/>
  <c r="N239"/>
  <c r="E234"/>
  <c r="L234"/>
  <c r="D234"/>
  <c r="C234"/>
  <c r="O234"/>
  <c r="J234"/>
  <c r="N234"/>
  <c r="G234"/>
  <c r="I234"/>
  <c r="M234"/>
  <c r="N223"/>
  <c r="C221"/>
  <c r="N210"/>
  <c r="O222"/>
  <c r="C208"/>
  <c r="E210"/>
  <c r="I208"/>
  <c r="J217"/>
  <c r="M217"/>
  <c r="M208"/>
  <c r="J223"/>
  <c r="J205"/>
  <c r="E208"/>
  <c r="M223"/>
  <c r="M222"/>
  <c r="I206"/>
  <c r="G218"/>
  <c r="J218"/>
  <c r="L213"/>
  <c r="D205"/>
  <c r="E217"/>
  <c r="L222"/>
  <c r="C210"/>
  <c r="M221"/>
  <c r="C213"/>
  <c r="N208"/>
  <c r="I210"/>
  <c r="M213"/>
  <c r="G222"/>
  <c r="L210"/>
  <c r="L208"/>
  <c r="L223"/>
  <c r="I216"/>
  <c r="J206"/>
  <c r="I205"/>
  <c r="N218"/>
  <c r="M210"/>
  <c r="J222"/>
  <c r="O213"/>
  <c r="O206"/>
  <c r="C205"/>
  <c r="M216"/>
  <c r="D216"/>
  <c r="D213"/>
  <c r="J210"/>
  <c r="E216"/>
  <c r="E218"/>
  <c r="C206"/>
  <c r="N205"/>
  <c r="C216"/>
  <c r="G221"/>
  <c r="L218"/>
  <c r="D221"/>
  <c r="D222"/>
  <c r="G205"/>
  <c r="C223"/>
  <c r="O210"/>
  <c r="G213"/>
  <c r="M205"/>
  <c r="M206"/>
  <c r="J213"/>
  <c r="D208"/>
  <c r="O218"/>
  <c r="O221"/>
  <c r="N216"/>
  <c r="J221"/>
  <c r="E223"/>
  <c r="J216"/>
  <c r="L216"/>
  <c r="E205"/>
  <c r="C222"/>
  <c r="E206"/>
  <c r="L221"/>
  <c r="I223"/>
  <c r="C217"/>
  <c r="D223"/>
  <c r="N221"/>
  <c r="I222"/>
  <c r="I217"/>
  <c r="O208"/>
  <c r="G216"/>
  <c r="D217"/>
  <c r="G217"/>
  <c r="E222"/>
  <c r="C218"/>
  <c r="N222"/>
  <c r="J208"/>
  <c r="G206"/>
  <c r="N217"/>
  <c r="O205"/>
  <c r="G223"/>
  <c r="I213"/>
  <c r="O217"/>
  <c r="M218"/>
  <c r="L217"/>
  <c r="O216"/>
  <c r="D206"/>
  <c r="O223"/>
  <c r="I218"/>
  <c r="N213"/>
  <c r="D218"/>
  <c r="L205"/>
  <c r="G210"/>
  <c r="N206"/>
  <c r="I221"/>
  <c r="E213"/>
  <c r="D210"/>
  <c r="G208"/>
  <c r="E221"/>
  <c r="L206"/>
  <c r="I203"/>
  <c r="C203"/>
  <c r="O203"/>
  <c r="E203"/>
  <c r="D203"/>
  <c r="J203"/>
  <c r="G203"/>
  <c r="N203"/>
  <c r="M203"/>
  <c r="L203"/>
  <c r="I184"/>
  <c r="J188"/>
  <c r="O188"/>
  <c r="J174"/>
  <c r="M178"/>
  <c r="M190"/>
  <c r="E185"/>
  <c r="G173"/>
  <c r="J186"/>
  <c r="I183"/>
  <c r="I174"/>
  <c r="J173"/>
  <c r="J189"/>
  <c r="G185"/>
  <c r="E183"/>
  <c r="C189"/>
  <c r="E188"/>
  <c r="D173"/>
  <c r="E178"/>
  <c r="D185"/>
  <c r="D188"/>
  <c r="N183"/>
  <c r="I186"/>
  <c r="N185"/>
  <c r="O174"/>
  <c r="C185"/>
  <c r="N190"/>
  <c r="O184"/>
  <c r="E190"/>
  <c r="L184"/>
  <c r="G189"/>
  <c r="E186"/>
  <c r="J178"/>
  <c r="L190"/>
  <c r="M174"/>
  <c r="D178"/>
  <c r="G184"/>
  <c r="M188"/>
  <c r="M184"/>
  <c r="G174"/>
  <c r="I189"/>
  <c r="C174"/>
  <c r="C178"/>
  <c r="L173"/>
  <c r="O173"/>
  <c r="C183"/>
  <c r="I190"/>
  <c r="C184"/>
  <c r="I173"/>
  <c r="E189"/>
  <c r="G183"/>
  <c r="N186"/>
  <c r="L178"/>
  <c r="D174"/>
  <c r="M189"/>
  <c r="O178"/>
  <c r="D189"/>
  <c r="M183"/>
  <c r="M186"/>
  <c r="N184"/>
  <c r="J190"/>
  <c r="D183"/>
  <c r="O190"/>
  <c r="O186"/>
  <c r="N189"/>
  <c r="N188"/>
  <c r="O189"/>
  <c r="N173"/>
  <c r="J183"/>
  <c r="M185"/>
  <c r="E173"/>
  <c r="C173"/>
  <c r="G190"/>
  <c r="L185"/>
  <c r="O185"/>
  <c r="L174"/>
  <c r="N178"/>
  <c r="G188"/>
  <c r="I188"/>
  <c r="G178"/>
  <c r="O183"/>
  <c r="D186"/>
  <c r="L188"/>
  <c r="J185"/>
  <c r="C186"/>
  <c r="C188"/>
  <c r="C190"/>
  <c r="G186"/>
  <c r="D190"/>
  <c r="I178"/>
  <c r="J184"/>
  <c r="E184"/>
  <c r="E174"/>
  <c r="L189"/>
  <c r="N174"/>
  <c r="I185"/>
  <c r="L186"/>
  <c r="L183"/>
  <c r="M173"/>
  <c r="D184"/>
  <c r="E171"/>
  <c r="N171"/>
  <c r="D171"/>
  <c r="J171"/>
  <c r="M171"/>
  <c r="O171"/>
  <c r="L171"/>
  <c r="I171"/>
  <c r="G171"/>
  <c r="C171"/>
  <c r="M157"/>
  <c r="I150"/>
  <c r="D148"/>
  <c r="E145"/>
  <c r="N151"/>
  <c r="J140"/>
  <c r="G141"/>
  <c r="C153"/>
  <c r="J157"/>
  <c r="I142"/>
  <c r="J147"/>
  <c r="I147"/>
  <c r="G140"/>
  <c r="G143"/>
  <c r="J151"/>
  <c r="M143"/>
  <c r="N143"/>
  <c r="N156"/>
  <c r="O145"/>
  <c r="C141"/>
  <c r="I145"/>
  <c r="G150"/>
  <c r="G142"/>
  <c r="G147"/>
  <c r="I153"/>
  <c r="C145"/>
  <c r="N147"/>
  <c r="O157"/>
  <c r="E151"/>
  <c r="L153"/>
  <c r="E147"/>
  <c r="O140"/>
  <c r="O146"/>
  <c r="G153"/>
  <c r="E150"/>
  <c r="J150"/>
  <c r="C143"/>
  <c r="E143"/>
  <c r="M151"/>
  <c r="J146"/>
  <c r="D157"/>
  <c r="O147"/>
  <c r="L157"/>
  <c r="I146"/>
  <c r="C151"/>
  <c r="J141"/>
  <c r="E148"/>
  <c r="C157"/>
  <c r="D145"/>
  <c r="N157"/>
  <c r="L146"/>
  <c r="I151"/>
  <c r="E153"/>
  <c r="L143"/>
  <c r="D147"/>
  <c r="I157"/>
  <c r="N140"/>
  <c r="M147"/>
  <c r="N141"/>
  <c r="O142"/>
  <c r="C156"/>
  <c r="N145"/>
  <c r="L141"/>
  <c r="I141"/>
  <c r="N142"/>
  <c r="J148"/>
  <c r="C146"/>
  <c r="L156"/>
  <c r="N150"/>
  <c r="D143"/>
  <c r="I140"/>
  <c r="M141"/>
  <c r="D156"/>
  <c r="D151"/>
  <c r="E141"/>
  <c r="G157"/>
  <c r="M142"/>
  <c r="G146"/>
  <c r="D153"/>
  <c r="E140"/>
  <c r="C150"/>
  <c r="L150"/>
  <c r="J153"/>
  <c r="I143"/>
  <c r="N153"/>
  <c r="O148"/>
  <c r="J142"/>
  <c r="D150"/>
  <c r="C142"/>
  <c r="M150"/>
  <c r="L140"/>
  <c r="M140"/>
  <c r="O143"/>
  <c r="L148"/>
  <c r="C148"/>
  <c r="O156"/>
  <c r="I156"/>
  <c r="O150"/>
  <c r="L145"/>
  <c r="E146"/>
  <c r="G148"/>
  <c r="N146"/>
  <c r="M146"/>
  <c r="L142"/>
  <c r="E157"/>
  <c r="G145"/>
  <c r="J143"/>
  <c r="G151"/>
  <c r="M145"/>
  <c r="J145"/>
  <c r="C147"/>
  <c r="D141"/>
  <c r="J156"/>
  <c r="E156"/>
  <c r="M148"/>
  <c r="L151"/>
  <c r="O151"/>
  <c r="D140"/>
  <c r="D146"/>
  <c r="M156"/>
  <c r="D142"/>
  <c r="E142"/>
  <c r="L147"/>
  <c r="G156"/>
  <c r="N148"/>
  <c r="I148"/>
  <c r="O141"/>
  <c r="O153"/>
  <c r="C140"/>
  <c r="M153"/>
  <c r="M138"/>
  <c r="J138"/>
  <c r="N138"/>
  <c r="E138"/>
  <c r="I138"/>
  <c r="C138"/>
  <c r="O138"/>
  <c r="D138"/>
  <c r="G138"/>
  <c r="L138"/>
  <c r="N125"/>
  <c r="E126"/>
  <c r="E123"/>
  <c r="N120"/>
  <c r="J119"/>
  <c r="L121"/>
  <c r="L109"/>
  <c r="C111"/>
  <c r="J123"/>
  <c r="L124"/>
  <c r="M116"/>
  <c r="L125"/>
  <c r="D113"/>
  <c r="N114"/>
  <c r="M123"/>
  <c r="C123"/>
  <c r="M109"/>
  <c r="M120"/>
  <c r="M126"/>
  <c r="I120"/>
  <c r="J124"/>
  <c r="E119"/>
  <c r="O114"/>
  <c r="N111"/>
  <c r="D108"/>
  <c r="I111"/>
  <c r="O125"/>
  <c r="J108"/>
  <c r="C124"/>
  <c r="J115"/>
  <c r="L120"/>
  <c r="I116"/>
  <c r="G111"/>
  <c r="J125"/>
  <c r="E121"/>
  <c r="J109"/>
  <c r="E125"/>
  <c r="L119"/>
  <c r="M119"/>
  <c r="C119"/>
  <c r="N123"/>
  <c r="L111"/>
  <c r="I113"/>
  <c r="I108"/>
  <c r="I125"/>
  <c r="O126"/>
  <c r="G115"/>
  <c r="J111"/>
  <c r="D109"/>
  <c r="D121"/>
  <c r="C109"/>
  <c r="O115"/>
  <c r="O113"/>
  <c r="N116"/>
  <c r="I121"/>
  <c r="O116"/>
  <c r="G114"/>
  <c r="D119"/>
  <c r="C120"/>
  <c r="I114"/>
  <c r="E114"/>
  <c r="M113"/>
  <c r="E113"/>
  <c r="J116"/>
  <c r="D120"/>
  <c r="I115"/>
  <c r="M108"/>
  <c r="J121"/>
  <c r="G109"/>
  <c r="D115"/>
  <c r="M124"/>
  <c r="G119"/>
  <c r="M115"/>
  <c r="M114"/>
  <c r="C108"/>
  <c r="E108"/>
  <c r="N119"/>
  <c r="G113"/>
  <c r="I124"/>
  <c r="N124"/>
  <c r="N121"/>
  <c r="G108"/>
  <c r="L123"/>
  <c r="I123"/>
  <c r="N113"/>
  <c r="M121"/>
  <c r="I119"/>
  <c r="G116"/>
  <c r="I109"/>
  <c r="I126"/>
  <c r="N126"/>
  <c r="C125"/>
  <c r="O109"/>
  <c r="O124"/>
  <c r="J120"/>
  <c r="O120"/>
  <c r="D116"/>
  <c r="O119"/>
  <c r="N115"/>
  <c r="D126"/>
  <c r="N108"/>
  <c r="C126"/>
  <c r="D114"/>
  <c r="J113"/>
  <c r="E115"/>
  <c r="O121"/>
  <c r="D125"/>
  <c r="G125"/>
  <c r="J126"/>
  <c r="E116"/>
  <c r="C113"/>
  <c r="L115"/>
  <c r="G120"/>
  <c r="C121"/>
  <c r="L116"/>
  <c r="G124"/>
  <c r="O108"/>
  <c r="D123"/>
  <c r="L113"/>
  <c r="C115"/>
  <c r="J114"/>
  <c r="L114"/>
  <c r="C114"/>
  <c r="L126"/>
  <c r="O123"/>
  <c r="M125"/>
  <c r="N109"/>
  <c r="D124"/>
  <c r="M111"/>
  <c r="E124"/>
  <c r="G121"/>
  <c r="C116"/>
  <c r="E120"/>
  <c r="G123"/>
  <c r="L108"/>
  <c r="E111"/>
  <c r="O111"/>
  <c r="D111"/>
  <c r="G126"/>
  <c r="E109"/>
  <c r="G106"/>
  <c r="J106"/>
  <c r="N106"/>
  <c r="O106"/>
  <c r="D106"/>
  <c r="I106"/>
  <c r="L106"/>
  <c r="M106"/>
  <c r="C106"/>
  <c r="E106"/>
  <c r="J93"/>
  <c r="J86"/>
  <c r="L81"/>
  <c r="M92"/>
  <c r="M79"/>
  <c r="D76"/>
  <c r="I92"/>
  <c r="O86"/>
  <c r="O87"/>
  <c r="L87"/>
  <c r="G79"/>
  <c r="D87"/>
  <c r="J79"/>
  <c r="D84"/>
  <c r="D83"/>
  <c r="O92"/>
  <c r="M83"/>
  <c r="N79"/>
  <c r="E83"/>
  <c r="N92"/>
  <c r="I93"/>
  <c r="L79"/>
  <c r="G86"/>
  <c r="E86"/>
  <c r="J81"/>
  <c r="E76"/>
  <c r="N83"/>
  <c r="J83"/>
  <c r="M81"/>
  <c r="G93"/>
  <c r="O84"/>
  <c r="E87"/>
  <c r="N87"/>
  <c r="G83"/>
  <c r="E84"/>
  <c r="L86"/>
  <c r="I81"/>
  <c r="E93"/>
  <c r="J76"/>
  <c r="D92"/>
  <c r="L83"/>
  <c r="O79"/>
  <c r="D93"/>
  <c r="C76"/>
  <c r="G92"/>
  <c r="G81"/>
  <c r="L93"/>
  <c r="C93"/>
  <c r="O83"/>
  <c r="E79"/>
  <c r="C81"/>
  <c r="O93"/>
  <c r="M76"/>
  <c r="I87"/>
  <c r="N86"/>
  <c r="G84"/>
  <c r="E81"/>
  <c r="I83"/>
  <c r="N93"/>
  <c r="L76"/>
  <c r="C92"/>
  <c r="M86"/>
  <c r="C79"/>
  <c r="G87"/>
  <c r="N76"/>
  <c r="C83"/>
  <c r="C86"/>
  <c r="I86"/>
  <c r="M93"/>
  <c r="D81"/>
  <c r="I79"/>
  <c r="C87"/>
  <c r="O81"/>
  <c r="O76"/>
  <c r="J92"/>
  <c r="N84"/>
  <c r="L84"/>
  <c r="N81"/>
  <c r="J87"/>
  <c r="M87"/>
  <c r="J84"/>
  <c r="I76"/>
  <c r="L92"/>
  <c r="E92"/>
  <c r="I84"/>
  <c r="D79"/>
  <c r="G76"/>
  <c r="M84"/>
  <c r="D86"/>
  <c r="C84"/>
  <c r="G74"/>
  <c r="J74"/>
  <c r="E74"/>
  <c r="N74"/>
  <c r="I74"/>
  <c r="L74"/>
  <c r="D74"/>
  <c r="O74"/>
  <c r="C74"/>
  <c r="M74"/>
  <c r="J62"/>
  <c r="J61"/>
  <c r="L60"/>
  <c r="N47"/>
  <c r="G59"/>
  <c r="O59"/>
  <c r="J45"/>
  <c r="I56"/>
  <c r="C52"/>
  <c r="G54"/>
  <c r="N62"/>
  <c r="E46"/>
  <c r="O52"/>
  <c r="J57"/>
  <c r="G61"/>
  <c r="G44"/>
  <c r="G56"/>
  <c r="J56"/>
  <c r="D57"/>
  <c r="G57"/>
  <c r="D62"/>
  <c r="D45"/>
  <c r="E62"/>
  <c r="E45"/>
  <c r="D44"/>
  <c r="M61"/>
  <c r="O49"/>
  <c r="M49"/>
  <c r="G51"/>
  <c r="C47"/>
  <c r="O56"/>
  <c r="N49"/>
  <c r="M60"/>
  <c r="G49"/>
  <c r="L59"/>
  <c r="O46"/>
  <c r="J44"/>
  <c r="L50"/>
  <c r="N51"/>
  <c r="J49"/>
  <c r="O60"/>
  <c r="E60"/>
  <c r="G52"/>
  <c r="M55"/>
  <c r="E55"/>
  <c r="M59"/>
  <c r="O55"/>
  <c r="L57"/>
  <c r="M52"/>
  <c r="D50"/>
  <c r="N61"/>
  <c r="I61"/>
  <c r="J52"/>
  <c r="L54"/>
  <c r="O57"/>
  <c r="L44"/>
  <c r="N56"/>
  <c r="O44"/>
  <c r="J47"/>
  <c r="O54"/>
  <c r="M62"/>
  <c r="D47"/>
  <c r="J50"/>
  <c r="L51"/>
  <c r="C54"/>
  <c r="G46"/>
  <c r="L47"/>
  <c r="D61"/>
  <c r="D54"/>
  <c r="E50"/>
  <c r="L46"/>
  <c r="M44"/>
  <c r="I51"/>
  <c r="G47"/>
  <c r="G45"/>
  <c r="G60"/>
  <c r="I44"/>
  <c r="D46"/>
  <c r="I60"/>
  <c r="M50"/>
  <c r="N46"/>
  <c r="C46"/>
  <c r="E51"/>
  <c r="G50"/>
  <c r="E47"/>
  <c r="J51"/>
  <c r="D56"/>
  <c r="J54"/>
  <c r="I57"/>
  <c r="C45"/>
  <c r="M46"/>
  <c r="J46"/>
  <c r="J59"/>
  <c r="O47"/>
  <c r="N57"/>
  <c r="M54"/>
  <c r="O51"/>
  <c r="C57"/>
  <c r="E59"/>
  <c r="D49"/>
  <c r="C44"/>
  <c r="E54"/>
  <c r="G62"/>
  <c r="O45"/>
  <c r="N59"/>
  <c r="L56"/>
  <c r="M57"/>
  <c r="E61"/>
  <c r="M51"/>
  <c r="L52"/>
  <c r="N55"/>
  <c r="C59"/>
  <c r="C60"/>
  <c r="D52"/>
  <c r="I59"/>
  <c r="M45"/>
  <c r="I55"/>
  <c r="I46"/>
  <c r="E56"/>
  <c r="N44"/>
  <c r="O61"/>
  <c r="O62"/>
  <c r="G55"/>
  <c r="J60"/>
  <c r="E52"/>
  <c r="I49"/>
  <c r="N54"/>
  <c r="E44"/>
  <c r="O50"/>
  <c r="C56"/>
  <c r="I62"/>
  <c r="L61"/>
  <c r="J55"/>
  <c r="I45"/>
  <c r="N60"/>
  <c r="L55"/>
  <c r="E57"/>
  <c r="N45"/>
  <c r="D59"/>
  <c r="N52"/>
  <c r="C62"/>
  <c r="N50"/>
  <c r="L49"/>
  <c r="D55"/>
  <c r="M47"/>
  <c r="L45"/>
  <c r="C55"/>
  <c r="I52"/>
  <c r="D60"/>
  <c r="C50"/>
  <c r="C61"/>
  <c r="L62"/>
  <c r="C49"/>
  <c r="E49"/>
  <c r="C51"/>
  <c r="D51"/>
  <c r="M56"/>
  <c r="I47"/>
  <c r="I54"/>
  <c r="I50"/>
  <c r="G42"/>
  <c r="M42"/>
  <c r="D42"/>
  <c r="J42"/>
  <c r="O42"/>
  <c r="C42"/>
  <c r="E42"/>
  <c r="I42"/>
  <c r="L42"/>
  <c r="N42"/>
  <c r="E28"/>
  <c r="O26"/>
  <c r="J24"/>
  <c r="M27"/>
  <c r="C18"/>
  <c r="I17"/>
  <c r="L17"/>
  <c r="L19"/>
  <c r="J11"/>
  <c r="C11"/>
  <c r="D13"/>
  <c r="N29"/>
  <c r="D29"/>
  <c r="I28"/>
  <c r="I21"/>
  <c r="N12"/>
  <c r="M23"/>
  <c r="I22"/>
  <c r="C26"/>
  <c r="L24"/>
  <c r="C13"/>
  <c r="N24"/>
  <c r="E17"/>
  <c r="E29"/>
  <c r="I16"/>
  <c r="E21"/>
  <c r="E26"/>
  <c r="G17"/>
  <c r="O28"/>
  <c r="M18"/>
  <c r="L21"/>
  <c r="I26"/>
  <c r="J12"/>
  <c r="N28"/>
  <c r="I12"/>
  <c r="I18"/>
  <c r="O22"/>
  <c r="E11"/>
  <c r="D28"/>
  <c r="M22"/>
  <c r="J13"/>
  <c r="E16"/>
  <c r="N14"/>
  <c r="G22"/>
  <c r="G24"/>
  <c r="D14"/>
  <c r="E23"/>
  <c r="D18"/>
  <c r="O16"/>
  <c r="M14"/>
  <c r="J28"/>
  <c r="I29"/>
  <c r="O29"/>
  <c r="M28"/>
  <c r="D22"/>
  <c r="N23"/>
  <c r="I24"/>
  <c r="M19"/>
  <c r="L11"/>
  <c r="N11"/>
  <c r="E27"/>
  <c r="N18"/>
  <c r="J17"/>
  <c r="N27"/>
  <c r="L26"/>
  <c r="G28"/>
  <c r="E22"/>
  <c r="N13"/>
  <c r="M16"/>
  <c r="M17"/>
  <c r="J22"/>
  <c r="M11"/>
  <c r="G13"/>
  <c r="C22"/>
  <c r="I23"/>
  <c r="C14"/>
  <c r="D23"/>
  <c r="D27"/>
  <c r="L14"/>
  <c r="G14"/>
  <c r="O13"/>
  <c r="C28"/>
  <c r="N16"/>
  <c r="G18"/>
  <c r="E18"/>
  <c r="M12"/>
  <c r="E14"/>
  <c r="O14"/>
  <c r="N17"/>
  <c r="C12"/>
  <c r="D19"/>
  <c r="L27"/>
  <c r="I27"/>
  <c r="J29"/>
  <c r="L12"/>
  <c r="G26"/>
  <c r="J19"/>
  <c r="N19"/>
  <c r="N22"/>
  <c r="I11"/>
  <c r="D21"/>
  <c r="C21"/>
  <c r="E13"/>
  <c r="O11"/>
  <c r="G16"/>
  <c r="J16"/>
  <c r="M26"/>
  <c r="G11"/>
  <c r="C29"/>
  <c r="O24"/>
  <c r="L23"/>
  <c r="M29"/>
  <c r="J21"/>
  <c r="J14"/>
  <c r="J27"/>
  <c r="G23"/>
  <c r="G27"/>
  <c r="E12"/>
  <c r="J26"/>
  <c r="C27"/>
  <c r="M21"/>
  <c r="I13"/>
  <c r="O27"/>
  <c r="D26"/>
  <c r="D16"/>
  <c r="L18"/>
  <c r="C19"/>
  <c r="J23"/>
  <c r="O18"/>
  <c r="C17"/>
  <c r="O17"/>
  <c r="L22"/>
  <c r="M13"/>
  <c r="C16"/>
  <c r="L29"/>
  <c r="I19"/>
  <c r="O12"/>
  <c r="O23"/>
  <c r="M24"/>
  <c r="E19"/>
  <c r="G21"/>
  <c r="J18"/>
  <c r="D11"/>
  <c r="D12"/>
  <c r="D24"/>
  <c r="C23"/>
  <c r="E24"/>
  <c r="O21"/>
  <c r="O19"/>
  <c r="I14"/>
  <c r="N21"/>
  <c r="G29"/>
  <c r="L28"/>
  <c r="L16"/>
  <c r="G12"/>
  <c r="G19"/>
  <c r="D17"/>
  <c r="L13"/>
  <c r="C24"/>
  <c r="N26"/>
  <c r="L9"/>
  <c r="N9"/>
  <c r="E9"/>
  <c r="M9"/>
  <c r="D9"/>
  <c r="J9"/>
  <c r="G9"/>
  <c r="I9"/>
  <c r="O9"/>
  <c r="C9"/>
  <c r="G25" i="21" l="1"/>
  <c r="H19" i="22"/>
  <c r="F9"/>
  <c r="D11"/>
  <c r="E18"/>
  <c r="G12"/>
  <c r="O19" i="21"/>
  <c r="T17" i="23"/>
  <c r="C23" i="21"/>
  <c r="E46"/>
  <c r="I83"/>
  <c r="T434" i="23"/>
  <c r="H10" i="22"/>
  <c r="F12"/>
  <c r="I13" i="21"/>
  <c r="D22" i="22"/>
  <c r="T16" i="23"/>
  <c r="O18" i="21"/>
  <c r="B22" i="22"/>
  <c r="G18" i="21"/>
  <c r="B8" i="22"/>
  <c r="I43" i="21"/>
  <c r="K20" i="22"/>
  <c r="G51" i="21"/>
  <c r="E22" i="22"/>
  <c r="T242" i="23"/>
  <c r="M51" i="21"/>
  <c r="K26"/>
  <c r="O23"/>
  <c r="T21" i="23"/>
  <c r="E43" i="21"/>
  <c r="K18" i="22"/>
  <c r="I21" i="21"/>
  <c r="F15" i="22"/>
  <c r="I50" i="21"/>
  <c r="J8" i="22"/>
  <c r="J12"/>
  <c r="F22"/>
  <c r="G10"/>
  <c r="G15"/>
  <c r="I8"/>
  <c r="H12"/>
  <c r="O16" i="21"/>
  <c r="T14" i="23"/>
  <c r="E52" i="21"/>
  <c r="O20"/>
  <c r="T18" i="23"/>
  <c r="G22" i="22"/>
  <c r="G28" i="21"/>
  <c r="I53"/>
  <c r="H8" i="22"/>
  <c r="D10"/>
  <c r="I9"/>
  <c r="E13"/>
  <c r="I13"/>
  <c r="I22"/>
  <c r="K18" i="21"/>
  <c r="K9" i="22"/>
  <c r="E11" i="21"/>
  <c r="I26"/>
  <c r="C52"/>
  <c r="T239" i="23"/>
  <c r="M48" i="21"/>
  <c r="C19"/>
  <c r="F8" i="22"/>
  <c r="G20" i="21"/>
  <c r="I52"/>
  <c r="I12" i="22"/>
  <c r="T248" i="23"/>
  <c r="M57" i="21"/>
  <c r="E20" i="22"/>
  <c r="E8"/>
  <c r="K12"/>
  <c r="K11" i="21"/>
  <c r="C15" i="22"/>
  <c r="K13" i="21"/>
  <c r="C22" i="22"/>
  <c r="G53" i="21"/>
  <c r="G18" i="22"/>
  <c r="T22" i="23"/>
  <c r="O24" i="21"/>
  <c r="H11" i="22"/>
  <c r="I51" i="21"/>
  <c r="C13"/>
  <c r="J22" i="22"/>
  <c r="G26" i="21"/>
  <c r="K13" i="22"/>
  <c r="M11" i="21"/>
  <c r="C20" i="22"/>
  <c r="C10"/>
  <c r="E51" i="21"/>
  <c r="M26"/>
  <c r="J18" i="22"/>
  <c r="B10"/>
  <c r="E45" i="21"/>
  <c r="H9" i="22"/>
  <c r="D8"/>
  <c r="T9" i="23"/>
  <c r="O11" i="21"/>
  <c r="K15" i="22"/>
  <c r="K23" i="21"/>
  <c r="F19" i="22"/>
  <c r="J9"/>
  <c r="D15"/>
  <c r="M16" i="21"/>
  <c r="D20" i="22"/>
  <c r="I19"/>
  <c r="K10"/>
  <c r="G11" i="21"/>
  <c r="E15" i="22"/>
  <c r="E11"/>
  <c r="T236" i="23"/>
  <c r="M45" i="21"/>
  <c r="C19" i="22"/>
  <c r="B12"/>
  <c r="G9"/>
  <c r="T23" i="23"/>
  <c r="O25" i="21"/>
  <c r="D9" i="22"/>
  <c r="C24" i="21"/>
  <c r="J11" i="22"/>
  <c r="I16" i="21"/>
  <c r="F20" i="22"/>
  <c r="T24" i="23"/>
  <c r="O26" i="21"/>
  <c r="F13" i="22"/>
  <c r="C20" i="21"/>
  <c r="K19" i="22"/>
  <c r="G43" i="21"/>
  <c r="K28"/>
  <c r="T428" i="23"/>
  <c r="I77" i="21"/>
  <c r="I14"/>
  <c r="J13" i="22"/>
  <c r="G46" i="21"/>
  <c r="J20" i="22"/>
  <c r="J19"/>
  <c r="C83" i="21"/>
  <c r="C48"/>
  <c r="I18" i="22"/>
  <c r="I10"/>
  <c r="D25"/>
  <c r="I24" i="21"/>
  <c r="K11" i="22"/>
  <c r="I11" i="21"/>
  <c r="G8" i="22"/>
  <c r="G20"/>
  <c r="G14" i="21"/>
  <c r="F11" i="22"/>
  <c r="J15"/>
  <c r="T246" i="23"/>
  <c r="M55" i="21"/>
  <c r="C13" i="22"/>
  <c r="C11"/>
  <c r="H22"/>
  <c r="M52" i="21"/>
  <c r="T243" i="23"/>
  <c r="C18" i="22"/>
  <c r="M56" i="21"/>
  <c r="T247" i="23"/>
  <c r="I56" i="21"/>
  <c r="H13" i="22"/>
  <c r="C28" i="21"/>
  <c r="T12" i="23"/>
  <c r="O14" i="21"/>
  <c r="O13"/>
  <c r="T11" i="23"/>
  <c r="K24" i="21"/>
  <c r="B11" i="22"/>
  <c r="H15"/>
  <c r="M46" i="21"/>
  <c r="T237" i="23"/>
  <c r="G11" i="22"/>
  <c r="E20" i="21"/>
  <c r="J10" i="22"/>
  <c r="E19"/>
  <c r="B20"/>
  <c r="E12"/>
  <c r="D12"/>
  <c r="B15"/>
  <c r="I11"/>
  <c r="M50" i="21"/>
  <c r="T241" i="23"/>
  <c r="M53" i="21"/>
  <c r="T244" i="23"/>
  <c r="E50" i="21"/>
  <c r="D13" i="22"/>
  <c r="O28" i="21"/>
  <c r="T26" i="23"/>
  <c r="C11" i="21"/>
  <c r="K8" i="22"/>
  <c r="K62" i="21"/>
  <c r="C77"/>
  <c r="I48"/>
  <c r="G24"/>
  <c r="I19"/>
  <c r="H20" i="22"/>
  <c r="C26" i="21"/>
  <c r="B18" i="22"/>
  <c r="K25" i="21"/>
  <c r="G50"/>
  <c r="G13" i="22"/>
  <c r="C57" i="21"/>
  <c r="M13"/>
  <c r="F18" i="22"/>
  <c r="I55" i="21"/>
  <c r="K30"/>
  <c r="C14"/>
  <c r="I46"/>
  <c r="E24"/>
  <c r="C18"/>
  <c r="E55"/>
  <c r="G19"/>
  <c r="I84"/>
  <c r="T435" i="23"/>
  <c r="F10" i="22"/>
  <c r="G57" i="21"/>
  <c r="I45"/>
  <c r="T28" i="23"/>
  <c r="O30" i="21"/>
  <c r="C26" i="22"/>
  <c r="B19"/>
  <c r="E48" i="21"/>
  <c r="C8" i="22"/>
  <c r="K22"/>
  <c r="T234" i="23"/>
  <c r="M43" i="21"/>
  <c r="G45"/>
  <c r="E82"/>
  <c r="T253" i="23"/>
  <c r="M62" i="21"/>
  <c r="M58"/>
  <c r="T249" i="23"/>
  <c r="E10" i="22"/>
  <c r="E21" i="21"/>
  <c r="O29"/>
  <c r="T27" i="23"/>
  <c r="I18" i="21"/>
  <c r="G56"/>
  <c r="M61"/>
  <c r="T252" i="23"/>
  <c r="O31" i="21"/>
  <c r="T29" i="23"/>
  <c r="M30" i="21"/>
  <c r="C16"/>
  <c r="M14"/>
  <c r="E53"/>
  <c r="T251" i="23"/>
  <c r="M60" i="21"/>
  <c r="C12" i="22"/>
  <c r="C58" i="21"/>
  <c r="D28" i="22"/>
  <c r="I28" i="21"/>
  <c r="M24"/>
  <c r="E9" i="22"/>
  <c r="I20"/>
  <c r="C9"/>
  <c r="G48" i="21"/>
  <c r="M18"/>
  <c r="I15" i="22"/>
  <c r="G55" i="21"/>
  <c r="K14"/>
  <c r="O21"/>
  <c r="T19" i="23"/>
  <c r="C21" i="21"/>
  <c r="B9" i="22"/>
  <c r="I57" i="21"/>
  <c r="C84"/>
  <c r="G26" i="22"/>
  <c r="G16" i="21"/>
  <c r="G13"/>
  <c r="H18" i="22"/>
  <c r="G52" i="21"/>
  <c r="F26" i="22"/>
  <c r="C28"/>
  <c r="E16" i="21"/>
  <c r="G19" i="22"/>
  <c r="B13"/>
  <c r="E13" i="21"/>
  <c r="C25"/>
  <c r="I20"/>
  <c r="T254" i="23"/>
  <c r="M63" i="21"/>
  <c r="D19" i="22"/>
  <c r="K26"/>
  <c r="G75" i="21"/>
  <c r="J26" i="22"/>
  <c r="C82" i="21"/>
  <c r="I60"/>
  <c r="E23"/>
  <c r="M29"/>
  <c r="C15"/>
  <c r="E57"/>
  <c r="M21"/>
  <c r="I82"/>
  <c r="T433" i="23"/>
  <c r="G47" i="21"/>
  <c r="G31"/>
  <c r="E56"/>
  <c r="K29"/>
  <c r="E29"/>
  <c r="I23"/>
  <c r="E30"/>
  <c r="G28" i="22"/>
  <c r="E17"/>
  <c r="E58" i="21"/>
  <c r="M25"/>
  <c r="T13" i="23"/>
  <c r="O15" i="21"/>
  <c r="C31"/>
  <c r="K43"/>
  <c r="I63"/>
  <c r="E18"/>
  <c r="I30"/>
  <c r="I17" i="22"/>
  <c r="T238" i="23"/>
  <c r="M47" i="21"/>
  <c r="D17" i="22"/>
  <c r="G84" i="21"/>
  <c r="B26" i="22"/>
  <c r="E25"/>
  <c r="E61" i="21"/>
  <c r="E26" i="22"/>
  <c r="I26"/>
  <c r="I28"/>
  <c r="I25"/>
  <c r="M31" i="21"/>
  <c r="G60"/>
  <c r="E28" i="22"/>
  <c r="G58" i="21"/>
  <c r="C29"/>
  <c r="I62"/>
  <c r="C43"/>
  <c r="K17" i="22"/>
  <c r="I47" i="21"/>
  <c r="D18" i="22"/>
  <c r="C17"/>
  <c r="C50" i="21"/>
  <c r="G29"/>
  <c r="J17" i="22"/>
  <c r="F28"/>
  <c r="B25"/>
  <c r="E84" i="21"/>
  <c r="B17" i="22"/>
  <c r="C63" i="21"/>
  <c r="I15"/>
  <c r="I58"/>
  <c r="C25" i="22"/>
  <c r="H24"/>
  <c r="F17"/>
  <c r="C30" i="21"/>
  <c r="H25" i="22"/>
  <c r="E75" i="21"/>
  <c r="K25" i="22"/>
  <c r="F24"/>
  <c r="J24"/>
  <c r="D24"/>
  <c r="H17"/>
  <c r="G30" i="21"/>
  <c r="H28" i="22"/>
  <c r="H26"/>
  <c r="J28"/>
  <c r="G61" i="21"/>
  <c r="E60"/>
  <c r="G21"/>
  <c r="D26" i="22"/>
  <c r="I61" i="21"/>
  <c r="E77"/>
  <c r="G24" i="22"/>
  <c r="I24"/>
  <c r="K24"/>
  <c r="C75" i="21"/>
  <c r="G25" i="22"/>
  <c r="K19" i="21"/>
  <c r="C89"/>
  <c r="I29"/>
  <c r="J25" i="22"/>
  <c r="B28"/>
  <c r="I75" i="21"/>
  <c r="K28" i="22"/>
  <c r="T426" i="23"/>
  <c r="C24" i="22"/>
  <c r="G17"/>
  <c r="F25"/>
  <c r="E24"/>
  <c r="E89" i="21"/>
  <c r="B24" i="22"/>
</calcChain>
</file>

<file path=xl/comments1.xml><?xml version="1.0" encoding="utf-8"?>
<comments xmlns="http://schemas.openxmlformats.org/spreadsheetml/2006/main">
  <authors>
    <author>jmarks</author>
  </authors>
  <commentList>
    <comment ref="B9" authorId="0">
      <text>
        <r>
          <rPr>
            <b/>
            <sz val="10"/>
            <color indexed="81"/>
            <rFont val="Tahoma"/>
            <family val="2"/>
          </rPr>
          <t>jmarks:</t>
        </r>
        <r>
          <rPr>
            <sz val="10"/>
            <color indexed="81"/>
            <rFont val="Tahoma"/>
            <family val="2"/>
          </rPr>
          <t xml:space="preserve">
column linked to salary file</t>
        </r>
      </text>
    </comment>
    <comment ref="Q9" authorId="0">
      <text>
        <r>
          <rPr>
            <b/>
            <sz val="10"/>
            <color indexed="81"/>
            <rFont val="Tahoma"/>
            <family val="2"/>
          </rPr>
          <t>jmarks:</t>
        </r>
        <r>
          <rPr>
            <sz val="10"/>
            <color indexed="81"/>
            <rFont val="Tahoma"/>
            <family val="2"/>
          </rPr>
          <t xml:space="preserve">
linked to salary file</t>
        </r>
      </text>
    </comment>
    <comment ref="B42" authorId="0">
      <text>
        <r>
          <rPr>
            <b/>
            <sz val="10"/>
            <color indexed="81"/>
            <rFont val="Tahoma"/>
            <family val="2"/>
          </rPr>
          <t>jmarks:
column linked to salary file</t>
        </r>
      </text>
    </comment>
    <comment ref="B73" authorId="0">
      <text>
        <r>
          <rPr>
            <b/>
            <sz val="10"/>
            <color indexed="81"/>
            <rFont val="Tahoma"/>
            <family val="2"/>
          </rPr>
          <t>jmarks:
column linked to salary file</t>
        </r>
      </text>
    </comment>
    <comment ref="B105" authorId="0">
      <text>
        <r>
          <rPr>
            <b/>
            <sz val="10"/>
            <color indexed="81"/>
            <rFont val="Tahoma"/>
            <family val="2"/>
          </rPr>
          <t>jmarks:
column linked to salary file</t>
        </r>
      </text>
    </comment>
    <comment ref="B137" authorId="0">
      <text>
        <r>
          <rPr>
            <b/>
            <sz val="10"/>
            <color indexed="81"/>
            <rFont val="Tahoma"/>
            <family val="2"/>
          </rPr>
          <t>jmarks:
column linked to salary file</t>
        </r>
      </text>
    </comment>
    <comment ref="B170" authorId="0">
      <text>
        <r>
          <rPr>
            <b/>
            <sz val="10"/>
            <color indexed="81"/>
            <rFont val="Tahoma"/>
            <family val="2"/>
          </rPr>
          <t>jmarks:
column linked to salary file</t>
        </r>
      </text>
    </comment>
    <comment ref="B202" authorId="0">
      <text>
        <r>
          <rPr>
            <b/>
            <sz val="10"/>
            <color indexed="81"/>
            <rFont val="Tahoma"/>
            <family val="2"/>
          </rPr>
          <t>jmarks:
column linked to salary file</t>
        </r>
      </text>
    </comment>
    <comment ref="B233" authorId="0">
      <text>
        <r>
          <rPr>
            <b/>
            <sz val="10"/>
            <color indexed="81"/>
            <rFont val="Tahoma"/>
            <family val="2"/>
          </rPr>
          <t>jmarks:
column linked to salary file</t>
        </r>
      </text>
    </comment>
    <comment ref="Q234" authorId="0">
      <text>
        <r>
          <rPr>
            <b/>
            <sz val="10"/>
            <color indexed="81"/>
            <rFont val="Tahoma"/>
            <family val="2"/>
          </rPr>
          <t>jmarks:</t>
        </r>
        <r>
          <rPr>
            <sz val="10"/>
            <color indexed="81"/>
            <rFont val="Tahoma"/>
            <family val="2"/>
          </rPr>
          <t xml:space="preserve">
linked to salary file</t>
        </r>
      </text>
    </comment>
    <comment ref="B266" authorId="0">
      <text>
        <r>
          <rPr>
            <b/>
            <sz val="10"/>
            <color indexed="81"/>
            <rFont val="Tahoma"/>
            <family val="2"/>
          </rPr>
          <t>jmarks:
column linked to salary file</t>
        </r>
      </text>
    </comment>
    <comment ref="B297" authorId="0">
      <text>
        <r>
          <rPr>
            <b/>
            <sz val="10"/>
            <color indexed="81"/>
            <rFont val="Tahoma"/>
            <family val="2"/>
          </rPr>
          <t>jmarks:
column linked to salary file</t>
        </r>
      </text>
    </comment>
    <comment ref="B329" authorId="0">
      <text>
        <r>
          <rPr>
            <b/>
            <sz val="10"/>
            <color indexed="81"/>
            <rFont val="Tahoma"/>
            <family val="2"/>
          </rPr>
          <t>jmarks:
column linked to salary file</t>
        </r>
      </text>
    </comment>
    <comment ref="B361" authorId="0">
      <text>
        <r>
          <rPr>
            <b/>
            <sz val="10"/>
            <color indexed="81"/>
            <rFont val="Tahoma"/>
            <family val="2"/>
          </rPr>
          <t>jmarks:
column linked to salary file</t>
        </r>
      </text>
    </comment>
    <comment ref="B394" authorId="0">
      <text>
        <r>
          <rPr>
            <b/>
            <sz val="10"/>
            <color indexed="81"/>
            <rFont val="Tahoma"/>
            <family val="2"/>
          </rPr>
          <t>jmarks:
column linked to salary file</t>
        </r>
      </text>
    </comment>
    <comment ref="B425" authorId="0">
      <text>
        <r>
          <rPr>
            <b/>
            <sz val="10"/>
            <color indexed="81"/>
            <rFont val="Tahoma"/>
            <family val="2"/>
          </rPr>
          <t>jmarks:
column linked to salary file</t>
        </r>
      </text>
    </comment>
    <comment ref="Q426" authorId="0">
      <text>
        <r>
          <rPr>
            <b/>
            <sz val="10"/>
            <color indexed="81"/>
            <rFont val="Tahoma"/>
            <family val="2"/>
          </rPr>
          <t>jmarks:</t>
        </r>
        <r>
          <rPr>
            <sz val="10"/>
            <color indexed="81"/>
            <rFont val="Tahoma"/>
            <family val="2"/>
          </rPr>
          <t xml:space="preserve">
linked to salary file</t>
        </r>
      </text>
    </comment>
    <comment ref="B457" authorId="0">
      <text>
        <r>
          <rPr>
            <b/>
            <sz val="10"/>
            <color indexed="81"/>
            <rFont val="Tahoma"/>
            <family val="2"/>
          </rPr>
          <t>jmarks:
column linked to salary file</t>
        </r>
      </text>
    </comment>
    <comment ref="B489" authorId="0">
      <text>
        <r>
          <rPr>
            <b/>
            <sz val="10"/>
            <color indexed="81"/>
            <rFont val="Tahoma"/>
            <family val="2"/>
          </rPr>
          <t>jmarks:
column linked to salary file</t>
        </r>
      </text>
    </comment>
    <comment ref="B521" authorId="0">
      <text>
        <r>
          <rPr>
            <b/>
            <sz val="10"/>
            <color indexed="81"/>
            <rFont val="Tahoma"/>
            <family val="2"/>
          </rPr>
          <t>jmarks:
column linked to salary file</t>
        </r>
      </text>
    </comment>
  </commentList>
</comments>
</file>

<file path=xl/comments2.xml><?xml version="1.0" encoding="utf-8"?>
<comments xmlns="http://schemas.openxmlformats.org/spreadsheetml/2006/main">
  <authors>
    <author>jmarks</author>
  </authors>
  <commentList>
    <comment ref="B9" authorId="0">
      <text>
        <r>
          <rPr>
            <b/>
            <sz val="10"/>
            <color indexed="81"/>
            <rFont val="Tahoma"/>
            <family val="2"/>
          </rPr>
          <t>jmarks:</t>
        </r>
        <r>
          <rPr>
            <sz val="10"/>
            <color indexed="81"/>
            <rFont val="Tahoma"/>
            <family val="2"/>
          </rPr>
          <t xml:space="preserve">
column linked to salary file</t>
        </r>
      </text>
    </comment>
    <comment ref="B42" authorId="0">
      <text>
        <r>
          <rPr>
            <b/>
            <sz val="10"/>
            <color indexed="81"/>
            <rFont val="Tahoma"/>
            <family val="2"/>
          </rPr>
          <t>jmarks:
column linked to salary file</t>
        </r>
      </text>
    </comment>
    <comment ref="B73" authorId="0">
      <text>
        <r>
          <rPr>
            <b/>
            <sz val="10"/>
            <color indexed="81"/>
            <rFont val="Tahoma"/>
            <family val="2"/>
          </rPr>
          <t>jmarks:
column linked to salary file</t>
        </r>
      </text>
    </comment>
    <comment ref="B105" authorId="0">
      <text>
        <r>
          <rPr>
            <b/>
            <sz val="10"/>
            <color indexed="81"/>
            <rFont val="Tahoma"/>
            <family val="2"/>
          </rPr>
          <t>jmarks:
column linked to salary file</t>
        </r>
      </text>
    </comment>
    <comment ref="B137" authorId="0">
      <text>
        <r>
          <rPr>
            <b/>
            <sz val="10"/>
            <color indexed="81"/>
            <rFont val="Tahoma"/>
            <family val="2"/>
          </rPr>
          <t>jmarks:
column linked to salary file</t>
        </r>
      </text>
    </comment>
    <comment ref="B170" authorId="0">
      <text>
        <r>
          <rPr>
            <b/>
            <sz val="10"/>
            <color indexed="81"/>
            <rFont val="Tahoma"/>
            <family val="2"/>
          </rPr>
          <t>jmarks:
column linked to salary file</t>
        </r>
      </text>
    </comment>
    <comment ref="B202" authorId="0">
      <text>
        <r>
          <rPr>
            <b/>
            <sz val="10"/>
            <color indexed="81"/>
            <rFont val="Tahoma"/>
            <family val="2"/>
          </rPr>
          <t>jmarks:
column linked to salary file</t>
        </r>
      </text>
    </comment>
    <comment ref="B233" authorId="0">
      <text>
        <r>
          <rPr>
            <b/>
            <sz val="10"/>
            <color indexed="81"/>
            <rFont val="Tahoma"/>
            <family val="2"/>
          </rPr>
          <t>jmarks:
column linked to salary file</t>
        </r>
      </text>
    </comment>
    <comment ref="Q234" authorId="0">
      <text>
        <r>
          <rPr>
            <b/>
            <sz val="10"/>
            <color indexed="81"/>
            <rFont val="Tahoma"/>
            <family val="2"/>
          </rPr>
          <t>jmarks:</t>
        </r>
        <r>
          <rPr>
            <sz val="10"/>
            <color indexed="81"/>
            <rFont val="Tahoma"/>
            <family val="2"/>
          </rPr>
          <t xml:space="preserve">
linked to salary file</t>
        </r>
      </text>
    </comment>
    <comment ref="B266" authorId="0">
      <text>
        <r>
          <rPr>
            <b/>
            <sz val="10"/>
            <color indexed="81"/>
            <rFont val="Tahoma"/>
            <family val="2"/>
          </rPr>
          <t>jmarks:
column linked to salary file</t>
        </r>
      </text>
    </comment>
    <comment ref="B297" authorId="0">
      <text>
        <r>
          <rPr>
            <b/>
            <sz val="10"/>
            <color indexed="81"/>
            <rFont val="Tahoma"/>
            <family val="2"/>
          </rPr>
          <t>jmarks:
column linked to salary file</t>
        </r>
      </text>
    </comment>
    <comment ref="B329" authorId="0">
      <text>
        <r>
          <rPr>
            <b/>
            <sz val="10"/>
            <color indexed="81"/>
            <rFont val="Tahoma"/>
            <family val="2"/>
          </rPr>
          <t>jmarks:
column linked to salary file</t>
        </r>
      </text>
    </comment>
    <comment ref="B361" authorId="0">
      <text>
        <r>
          <rPr>
            <b/>
            <sz val="10"/>
            <color indexed="81"/>
            <rFont val="Tahoma"/>
            <family val="2"/>
          </rPr>
          <t>jmarks:
column linked to salary file</t>
        </r>
      </text>
    </comment>
    <comment ref="B394" authorId="0">
      <text>
        <r>
          <rPr>
            <b/>
            <sz val="10"/>
            <color indexed="81"/>
            <rFont val="Tahoma"/>
            <family val="2"/>
          </rPr>
          <t>jmarks:
column linked to salary file</t>
        </r>
      </text>
    </comment>
    <comment ref="B425" authorId="0">
      <text>
        <r>
          <rPr>
            <b/>
            <sz val="10"/>
            <color indexed="81"/>
            <rFont val="Tahoma"/>
            <family val="2"/>
          </rPr>
          <t>jmarks:
column linked to salary file</t>
        </r>
      </text>
    </comment>
    <comment ref="Q426" authorId="0">
      <text>
        <r>
          <rPr>
            <b/>
            <sz val="10"/>
            <color indexed="81"/>
            <rFont val="Tahoma"/>
            <family val="2"/>
          </rPr>
          <t>jmarks:</t>
        </r>
        <r>
          <rPr>
            <sz val="10"/>
            <color indexed="81"/>
            <rFont val="Tahoma"/>
            <family val="2"/>
          </rPr>
          <t xml:space="preserve">
linked to salary file</t>
        </r>
      </text>
    </comment>
    <comment ref="B454" authorId="0">
      <text>
        <r>
          <rPr>
            <b/>
            <sz val="10"/>
            <color indexed="81"/>
            <rFont val="Tahoma"/>
            <family val="2"/>
          </rPr>
          <t>jmarks:
column linked to salary file</t>
        </r>
      </text>
    </comment>
    <comment ref="B486" authorId="0">
      <text>
        <r>
          <rPr>
            <b/>
            <sz val="10"/>
            <color indexed="81"/>
            <rFont val="Tahoma"/>
            <family val="2"/>
          </rPr>
          <t>jmarks:
column linked to salary file</t>
        </r>
      </text>
    </comment>
    <comment ref="B518" authorId="0">
      <text>
        <r>
          <rPr>
            <b/>
            <sz val="10"/>
            <color indexed="81"/>
            <rFont val="Tahoma"/>
            <family val="2"/>
          </rPr>
          <t>jmarks:
column linked to salary file</t>
        </r>
      </text>
    </comment>
  </commentList>
</comments>
</file>

<file path=xl/comments3.xml><?xml version="1.0" encoding="utf-8"?>
<comments xmlns="http://schemas.openxmlformats.org/spreadsheetml/2006/main">
  <authors>
    <author>Alicia A. Diaz</author>
    <author>mperry</author>
    <author>Lee, Cynthia M.</author>
    <author>jmarks</author>
    <author>jennifer berg</author>
  </authors>
  <commentList>
    <comment ref="D20" authorId="0">
      <text>
        <r>
          <rPr>
            <b/>
            <sz val="8"/>
            <color indexed="81"/>
            <rFont val="Tahoma"/>
            <family val="2"/>
          </rPr>
          <t>No Freshmen, Upper Level school - will not have data in every section.</t>
        </r>
      </text>
    </comment>
    <comment ref="W122" authorId="1">
      <text>
        <r>
          <rPr>
            <b/>
            <sz val="8"/>
            <color indexed="81"/>
            <rFont val="Tahoma"/>
            <family val="2"/>
          </rPr>
          <t>mperry:</t>
        </r>
        <r>
          <rPr>
            <sz val="8"/>
            <color indexed="81"/>
            <rFont val="Tahoma"/>
            <family val="2"/>
          </rPr>
          <t xml:space="preserve">
Please explain this formula (2/10/11).</t>
        </r>
      </text>
    </comment>
    <comment ref="AE122" authorId="1">
      <text>
        <r>
          <rPr>
            <b/>
            <sz val="8"/>
            <color indexed="81"/>
            <rFont val="Tahoma"/>
            <family val="2"/>
          </rPr>
          <t>mperry:</t>
        </r>
        <r>
          <rPr>
            <sz val="8"/>
            <color indexed="81"/>
            <rFont val="Tahoma"/>
            <family val="2"/>
          </rPr>
          <t xml:space="preserve">
Please explain this formula (2/10/11).</t>
        </r>
      </text>
    </comment>
    <comment ref="BK122" authorId="1">
      <text>
        <r>
          <rPr>
            <b/>
            <sz val="8"/>
            <color indexed="81"/>
            <rFont val="Tahoma"/>
            <family val="2"/>
          </rPr>
          <t>mperry:</t>
        </r>
        <r>
          <rPr>
            <sz val="8"/>
            <color indexed="81"/>
            <rFont val="Tahoma"/>
            <family val="2"/>
          </rPr>
          <t xml:space="preserve">
Please explain this formula (2/10/11).</t>
        </r>
      </text>
    </comment>
    <comment ref="BS122" authorId="1">
      <text>
        <r>
          <rPr>
            <b/>
            <sz val="8"/>
            <color indexed="81"/>
            <rFont val="Tahoma"/>
            <family val="2"/>
          </rPr>
          <t>mperry:</t>
        </r>
        <r>
          <rPr>
            <sz val="8"/>
            <color indexed="81"/>
            <rFont val="Tahoma"/>
            <family val="2"/>
          </rPr>
          <t xml:space="preserve">
Please explain this formula (2/10/11).</t>
        </r>
      </text>
    </comment>
    <comment ref="F177" authorId="2">
      <text>
        <r>
          <rPr>
            <b/>
            <sz val="8"/>
            <color indexed="81"/>
            <rFont val="Tahoma"/>
            <family val="2"/>
          </rPr>
          <t>Lee, Cynthia M.:</t>
        </r>
        <r>
          <rPr>
            <sz val="8"/>
            <color indexed="81"/>
            <rFont val="Tahoma"/>
            <family val="2"/>
          </rPr>
          <t xml:space="preserve">
East Central figures copied from above</t>
        </r>
      </text>
    </comment>
    <comment ref="AT177" authorId="2">
      <text>
        <r>
          <rPr>
            <b/>
            <sz val="8"/>
            <color indexed="81"/>
            <rFont val="Tahoma"/>
            <family val="2"/>
          </rPr>
          <t>jmarks:
SUM: Look in cell for formula. Southern Crescent and Wiregrass</t>
        </r>
      </text>
    </comment>
    <comment ref="AU177" authorId="2">
      <text>
        <r>
          <rPr>
            <b/>
            <sz val="8"/>
            <color indexed="81"/>
            <rFont val="Tahoma"/>
            <family val="2"/>
          </rPr>
          <t>jmarks:
Weighted Average: Look in cell for formula. Southern Crescent and Wiregrass</t>
        </r>
        <r>
          <rPr>
            <sz val="8"/>
            <color indexed="81"/>
            <rFont val="Tahoma"/>
            <family val="2"/>
          </rPr>
          <t xml:space="preserve">
</t>
        </r>
      </text>
    </comment>
    <comment ref="A273" authorId="3">
      <text>
        <r>
          <rPr>
            <b/>
            <sz val="10"/>
            <color indexed="81"/>
            <rFont val="Tahoma"/>
            <family val="2"/>
          </rPr>
          <t>jmarks:</t>
        </r>
        <r>
          <rPr>
            <sz val="10"/>
            <color indexed="81"/>
            <rFont val="Tahoma"/>
            <family val="2"/>
          </rPr>
          <t xml:space="preserve">
The 11/12 month figures may already be reduced. Check w/Debra.</t>
        </r>
      </text>
    </comment>
    <comment ref="D273" authorId="4">
      <text>
        <r>
          <rPr>
            <sz val="8"/>
            <color indexed="8"/>
            <rFont val="Tahoma"/>
            <family val="2"/>
          </rPr>
          <t>includes Raymond campus (175786), Jackson campus (175777), Rankin campus (175795) and Vicksburg-Warren county (175801)</t>
        </r>
      </text>
    </comment>
    <comment ref="D276" authorId="4">
      <text>
        <r>
          <rPr>
            <sz val="8"/>
            <color indexed="8"/>
            <rFont val="Tahoma"/>
            <family val="2"/>
          </rPr>
          <t>includes Natchez campus (175564)</t>
        </r>
      </text>
    </comment>
    <comment ref="D285" authorId="4">
      <text>
        <r>
          <rPr>
            <sz val="8"/>
            <color indexed="8"/>
            <rFont val="Tahoma"/>
            <family val="2"/>
          </rPr>
          <t>includes Forrest county center (408127)</t>
        </r>
      </text>
    </comment>
    <comment ref="A303" authorId="3">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List>
</comments>
</file>

<file path=xl/sharedStrings.xml><?xml version="1.0" encoding="utf-8"?>
<sst xmlns="http://schemas.openxmlformats.org/spreadsheetml/2006/main" count="5073" uniqueCount="1323">
  <si>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</si>
  <si>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</si>
  <si>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</si>
  <si>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</si>
  <si>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</si>
  <si>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</si>
  <si>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</si>
  <si>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</si>
  <si>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North Carolina A&amp;T State University</t>
  </si>
  <si>
    <t xml:space="preserve">Longwood University </t>
  </si>
  <si>
    <t>West Liberty University</t>
  </si>
  <si>
    <t>Tuition Plans</t>
  </si>
  <si>
    <t>Amount</t>
  </si>
  <si>
    <t>Public Four-Year Colleges and Universities</t>
  </si>
  <si>
    <r>
      <t>1</t>
    </r>
    <r>
      <rPr>
        <sz val="8"/>
        <rFont val="Arial"/>
        <family val="2"/>
      </rPr>
      <t>The "Total Benefits" average does not equal the sum of the individual benefit averages because some faculty do not receive all benefits.</t>
    </r>
  </si>
  <si>
    <r>
      <t>Benefits</t>
    </r>
    <r>
      <rPr>
        <b/>
        <vertAlign val="superscript"/>
        <sz val="9"/>
        <rFont val="Arial"/>
        <family val="2"/>
      </rPr>
      <t>1</t>
    </r>
  </si>
  <si>
    <t>of Full-Time Faculty as a Percent of Salary</t>
  </si>
  <si>
    <t>Weighted Average Nine-Month-Equivalent Benefits</t>
  </si>
  <si>
    <t xml:space="preserve"> </t>
  </si>
  <si>
    <t>Calculated</t>
  </si>
  <si>
    <t>Number</t>
  </si>
  <si>
    <t>old retire9 #</t>
  </si>
  <si>
    <t>old retire9 $</t>
  </si>
  <si>
    <t>new retire9 $</t>
  </si>
  <si>
    <t>new retire9 #</t>
  </si>
  <si>
    <t>old health9 #</t>
  </si>
  <si>
    <t>old health9 $</t>
  </si>
  <si>
    <t xml:space="preserve">new health 9 # </t>
  </si>
  <si>
    <t>new health9$</t>
  </si>
  <si>
    <t>old dis9 #</t>
  </si>
  <si>
    <t>old dis9 $</t>
  </si>
  <si>
    <t>Four-Year</t>
  </si>
  <si>
    <t>new dis9 #</t>
  </si>
  <si>
    <t xml:space="preserve"> new dis9 $</t>
  </si>
  <si>
    <t>old ss9 #</t>
  </si>
  <si>
    <t>old ss9 $</t>
  </si>
  <si>
    <t xml:space="preserve">   Two-Year Size Unknown</t>
  </si>
  <si>
    <t xml:space="preserve"> % Change Unemployment</t>
  </si>
  <si>
    <t>Total  % Change Unemployment</t>
  </si>
  <si>
    <t xml:space="preserve"> % Change Life Insurance</t>
  </si>
  <si>
    <t>Total  % Change Life Insurance</t>
  </si>
  <si>
    <t>Tennessee Technology Center at Hohenwald</t>
  </si>
  <si>
    <t>OK</t>
  </si>
  <si>
    <t xml:space="preserve">Tulsa County Area Voc Tech School Dist 18-Peoria  </t>
  </si>
  <si>
    <t xml:space="preserve">Tulsa Technology Center-Lemley Campus             </t>
  </si>
  <si>
    <t>GA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</si>
  <si>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</si>
  <si>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</si>
  <si>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</si>
  <si>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</si>
  <si>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</si>
  <si>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</si>
  <si>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</si>
  <si>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</si>
  <si>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</si>
  <si>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</si>
  <si>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</si>
  <si>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</si>
  <si>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</si>
  <si>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</si>
  <si>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</si>
  <si>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</si>
  <si>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</si>
  <si>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</si>
  <si>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</si>
  <si>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</si>
  <si>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</si>
  <si>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</si>
  <si>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</si>
  <si>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</si>
  <si>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</si>
  <si>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</si>
  <si>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</si>
  <si>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</si>
  <si>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</si>
  <si>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</si>
  <si>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Georgia Gwinnett College</t>
  </si>
  <si>
    <t>VA</t>
  </si>
  <si>
    <t>University of Virginia</t>
  </si>
  <si>
    <t xml:space="preserve">Virginia Tech </t>
  </si>
  <si>
    <t>College of William &amp; Mary</t>
  </si>
  <si>
    <t xml:space="preserve">George Mason University </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</si>
  <si>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</si>
  <si>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</si>
  <si>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</si>
  <si>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</si>
  <si>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</si>
  <si>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</si>
  <si>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</si>
  <si>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</si>
  <si>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</si>
  <si>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</si>
  <si>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</si>
  <si>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</si>
  <si>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</si>
  <si>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</si>
  <si>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</si>
  <si>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</si>
  <si>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</si>
  <si>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</si>
  <si>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</si>
  <si>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</si>
  <si>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</si>
  <si>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</si>
  <si>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</si>
  <si>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</si>
  <si>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</si>
  <si>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</si>
  <si>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</si>
  <si>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</si>
  <si>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</si>
  <si>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</si>
  <si>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</si>
  <si>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</si>
  <si>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</si>
  <si>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AL</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</si>
  <si>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</si>
  <si>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</si>
  <si>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</si>
  <si>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</si>
  <si>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</si>
  <si>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</si>
  <si>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</si>
  <si>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</si>
  <si>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</si>
  <si>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</si>
  <si>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</si>
  <si>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</si>
  <si>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</si>
  <si>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</si>
  <si>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</si>
  <si>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</si>
  <si>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</si>
  <si>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</si>
  <si>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</si>
  <si>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George C. Wallace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</si>
  <si>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</si>
  <si>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</si>
  <si>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</si>
  <si>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</si>
  <si>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</si>
  <si>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</si>
  <si>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</si>
  <si>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</si>
  <si>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</si>
  <si>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</si>
  <si>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</si>
  <si>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</si>
  <si>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</si>
  <si>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</si>
  <si>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</si>
  <si>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</si>
  <si>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</si>
  <si>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</si>
  <si>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DE</t>
  </si>
  <si>
    <t>FL</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</si>
  <si>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</si>
  <si>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</si>
  <si>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</si>
  <si>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</si>
  <si>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</si>
  <si>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</si>
  <si>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</si>
  <si>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</si>
  <si>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</si>
  <si>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</si>
  <si>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</si>
  <si>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 xml:space="preserve">Brevard Community College </t>
  </si>
  <si>
    <t xml:space="preserve">Chipola College </t>
  </si>
  <si>
    <t xml:space="preserve">Florida Keys Community College </t>
  </si>
  <si>
    <t xml:space="preserve">Gulf Coast Community College </t>
  </si>
  <si>
    <t xml:space="preserve">Hillsborough Community College </t>
  </si>
  <si>
    <t xml:space="preserve">Lake City Community College </t>
  </si>
  <si>
    <t xml:space="preserve">Lake-Sumter Community College </t>
  </si>
  <si>
    <t xml:space="preserve">Miami Dade College </t>
  </si>
  <si>
    <t xml:space="preserve">North Florida Community College </t>
  </si>
  <si>
    <t xml:space="preserve">Pasco-Hernando Community College </t>
  </si>
  <si>
    <t xml:space="preserve">St. Johns River Community College </t>
  </si>
  <si>
    <t xml:space="preserve">St. Petersburg College </t>
  </si>
  <si>
    <t xml:space="preserve">South Florida Community College </t>
  </si>
  <si>
    <t xml:space="preserve">Tallahassee Community College </t>
  </si>
  <si>
    <t xml:space="preserve">Valencia Community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</si>
  <si>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</si>
  <si>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</si>
  <si>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</si>
  <si>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</si>
  <si>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</si>
  <si>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</si>
  <si>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</si>
  <si>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</si>
  <si>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</si>
  <si>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</si>
  <si>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</si>
  <si>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</si>
  <si>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</si>
  <si>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</si>
  <si>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</si>
  <si>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</si>
  <si>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</si>
  <si>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</si>
  <si>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</si>
  <si>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</si>
  <si>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Southwest Georgia Technical College</t>
  </si>
  <si>
    <t>West Georgia Technical College</t>
  </si>
  <si>
    <t>Sandersville Technical College</t>
  </si>
  <si>
    <t>KY</t>
  </si>
  <si>
    <t>LA</t>
  </si>
  <si>
    <t>University of Arkansas at Fort Smith</t>
  </si>
  <si>
    <t xml:space="preserve">Moore Norman Technology Center                    </t>
  </si>
  <si>
    <t>Northeast Lakeview College (ACCD)</t>
  </si>
  <si>
    <t>Fairmont State University</t>
  </si>
  <si>
    <t>Pierpont Community &amp; Technical College</t>
  </si>
  <si>
    <t xml:space="preserve">Southern West Virginia Community &amp; Technical College </t>
  </si>
  <si>
    <t>MD</t>
  </si>
  <si>
    <t>University of Maryland College Park</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</si>
  <si>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</si>
  <si>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</si>
  <si>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</si>
  <si>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</si>
  <si>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</si>
  <si>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</si>
  <si>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</si>
  <si>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</si>
  <si>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</si>
  <si>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</si>
  <si>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 xml:space="preserve">Prince George's Community College </t>
  </si>
  <si>
    <t>Baltimore City Community College</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</si>
  <si>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</si>
  <si>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</si>
  <si>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</si>
  <si>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</si>
  <si>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</si>
  <si>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</si>
  <si>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</si>
  <si>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</si>
  <si>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</si>
  <si>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</si>
  <si>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</si>
  <si>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</si>
  <si>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</si>
  <si>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</si>
  <si>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</si>
  <si>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</si>
  <si>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</si>
  <si>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</si>
  <si>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</si>
  <si>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</si>
  <si>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</si>
  <si>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University of Science and Arts of Oklahoma</t>
  </si>
  <si>
    <t>Rogers State University</t>
  </si>
  <si>
    <t xml:space="preserve">Oklahoma City Community College </t>
  </si>
  <si>
    <t xml:space="preserve">Tulsa Community College </t>
  </si>
  <si>
    <t xml:space="preserve">Northern Oklahoma College </t>
  </si>
  <si>
    <t xml:space="preserve">Oklahoma State University Technical Branch-Okmulgee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</si>
  <si>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</si>
  <si>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</si>
  <si>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</si>
  <si>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</si>
  <si>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</si>
  <si>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</si>
  <si>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</si>
  <si>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</si>
  <si>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</si>
  <si>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</si>
  <si>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SC</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</si>
  <si>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</si>
  <si>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</si>
  <si>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</si>
  <si>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</si>
  <si>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</si>
  <si>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</si>
  <si>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</si>
  <si>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</si>
  <si>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</si>
  <si>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</si>
  <si>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</si>
  <si>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</si>
  <si>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</si>
  <si>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</si>
  <si>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</si>
  <si>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</si>
  <si>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</si>
  <si>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</si>
  <si>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</si>
  <si>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</si>
  <si>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</si>
  <si>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</si>
  <si>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</si>
  <si>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</si>
  <si>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</si>
  <si>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</si>
  <si>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</si>
  <si>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</si>
  <si>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</si>
  <si>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</si>
  <si>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</si>
  <si>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TN</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</si>
  <si>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</si>
  <si>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</si>
  <si>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</si>
  <si>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</si>
  <si>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</si>
  <si>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</si>
  <si>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</si>
  <si>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</si>
  <si>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</si>
  <si>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</si>
  <si>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</si>
  <si>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</si>
  <si>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</si>
  <si>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</si>
  <si>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</si>
  <si>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</si>
  <si>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</si>
  <si>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</si>
  <si>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</si>
  <si>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</si>
  <si>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</si>
  <si>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</si>
  <si>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</si>
  <si>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</si>
  <si>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</si>
  <si>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</si>
  <si>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</si>
  <si>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</si>
  <si>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</si>
  <si>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</si>
  <si>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</si>
  <si>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</si>
  <si>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</si>
  <si>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</si>
  <si>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</si>
  <si>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</si>
  <si>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</si>
  <si>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</si>
  <si>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</si>
  <si>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</si>
  <si>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</si>
  <si>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</si>
  <si>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</si>
  <si>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</si>
  <si>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</si>
  <si>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</si>
  <si>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</si>
  <si>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</si>
  <si>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</si>
  <si>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TX</t>
  </si>
  <si>
    <t xml:space="preserve">Texas A&amp;M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</si>
  <si>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</si>
  <si>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</si>
  <si>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</si>
  <si>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</si>
  <si>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</si>
  <si>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</si>
  <si>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</si>
  <si>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</si>
  <si>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</si>
  <si>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Prairie View A&amp;M University</t>
  </si>
  <si>
    <t xml:space="preserve">Sam Houston State University </t>
  </si>
  <si>
    <t>Stephen F. Austin State University</t>
  </si>
  <si>
    <t xml:space="preserve">Sul Ross State University </t>
  </si>
  <si>
    <t xml:space="preserve">Texas A&amp;M University-Corpus Christi </t>
  </si>
  <si>
    <t>Texas A&amp;M University-Kingsville</t>
  </si>
  <si>
    <t xml:space="preserve">Texas Southern University </t>
  </si>
  <si>
    <t xml:space="preserve">University of Houston-Clear Lake </t>
  </si>
  <si>
    <t>University of Texas at El Paso</t>
  </si>
  <si>
    <t>University of Texas at San Antonio</t>
  </si>
  <si>
    <t>University of Texas at Tyler</t>
  </si>
  <si>
    <t>University of Texas-Pan American</t>
  </si>
  <si>
    <t>West Texas A&amp;M University</t>
  </si>
  <si>
    <t>Texas A&amp;M International University</t>
  </si>
  <si>
    <t>Texas A&amp;M -Texarkana</t>
  </si>
  <si>
    <t>University of Texas at Brownsville</t>
  </si>
  <si>
    <t>University of Texas of the Permian Basin</t>
  </si>
  <si>
    <t>Sul Ross State University-Rio Grande College</t>
  </si>
  <si>
    <t>University of Houston-Downtown</t>
  </si>
  <si>
    <t>University of Houston-Victoria</t>
  </si>
  <si>
    <t>Texas A&amp;M University at Galveston</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</si>
  <si>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</si>
  <si>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</si>
  <si>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</si>
  <si>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</si>
  <si>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</si>
  <si>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</si>
  <si>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</si>
  <si>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</si>
  <si>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</si>
  <si>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 xml:space="preserve">McLennan Community College </t>
  </si>
  <si>
    <t>Northwest Vista College (ACCD)</t>
  </si>
  <si>
    <t>Palo Alto College (ACCD)</t>
  </si>
  <si>
    <t>San Antonio College (ACCD)</t>
  </si>
  <si>
    <t xml:space="preserve">South Plains College </t>
  </si>
  <si>
    <t>South Texas College</t>
  </si>
  <si>
    <t xml:space="preserve">Texas Southmost College </t>
  </si>
  <si>
    <t xml:space="preserve">Tyler Junior College </t>
  </si>
  <si>
    <t xml:space="preserve">Alvin Community College </t>
  </si>
  <si>
    <t xml:space="preserve">Angelina College </t>
  </si>
  <si>
    <t xml:space="preserve">Brazosport College </t>
  </si>
  <si>
    <t xml:space="preserve">Cisco Junior College </t>
  </si>
  <si>
    <t>Coastal Bend College</t>
  </si>
  <si>
    <t>College of the Mainland</t>
  </si>
  <si>
    <t>El Centro College  (DCCCD)</t>
  </si>
  <si>
    <t xml:space="preserve">Grayson County College </t>
  </si>
  <si>
    <t>Hill College</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</si>
  <si>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</si>
  <si>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</si>
  <si>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</si>
  <si>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</si>
  <si>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</si>
  <si>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</si>
  <si>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</si>
  <si>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</si>
  <si>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</si>
  <si>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</si>
  <si>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</si>
  <si>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</si>
  <si>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</si>
  <si>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</si>
  <si>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</si>
  <si>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</si>
  <si>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</si>
  <si>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</si>
  <si>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</si>
  <si>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</si>
  <si>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</si>
  <si>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</si>
  <si>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</si>
  <si>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</si>
  <si>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 xml:space="preserve">Northeast Texas Community College </t>
  </si>
  <si>
    <t>Panola College</t>
  </si>
  <si>
    <t xml:space="preserve">Ranger College </t>
  </si>
  <si>
    <t>Texas State Technical College-Marshall</t>
  </si>
  <si>
    <t>Texas State Technical College-West Texas</t>
  </si>
  <si>
    <t xml:space="preserve">Western Texas College </t>
  </si>
  <si>
    <t>Technical Institutes</t>
  </si>
  <si>
    <t>#</t>
  </si>
  <si>
    <t>A change of more than a 10% up or 5% down will trigger a red warning.</t>
  </si>
  <si>
    <t>$</t>
  </si>
  <si>
    <r>
      <t xml:space="preserve">A change of more than a 10% up or 5% down </t>
    </r>
    <r>
      <rPr>
        <b/>
        <i/>
        <sz val="10"/>
        <color indexed="10"/>
        <rFont val="ARIAL"/>
        <family val="2"/>
      </rPr>
      <t>per person</t>
    </r>
    <r>
      <rPr>
        <b/>
        <sz val="10"/>
        <color indexed="10"/>
        <rFont val="ARIAL"/>
        <family val="2"/>
      </rPr>
      <t xml:space="preserve"> will trigger a red warning.</t>
    </r>
  </si>
  <si>
    <t>2008-09</t>
  </si>
  <si>
    <t>Unemployment</t>
  </si>
  <si>
    <t>Life Insurance</t>
  </si>
  <si>
    <t>Technical Institute or College 1</t>
  </si>
  <si>
    <t>Technical Institute or College 2</t>
  </si>
  <si>
    <t>Technical Institute or College Size Unknown</t>
  </si>
  <si>
    <t>All Technical Institutes or Colleges</t>
  </si>
  <si>
    <t>All</t>
  </si>
  <si>
    <t>Two-Year with Bachelor's</t>
  </si>
  <si>
    <t>Two-Year 3</t>
  </si>
  <si>
    <t>WV</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</si>
  <si>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</si>
  <si>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</si>
  <si>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</si>
  <si>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</si>
  <si>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</si>
  <si>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</si>
  <si>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</si>
  <si>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</si>
  <si>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</si>
  <si>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Blue Ridge Community &amp; Technical College</t>
  </si>
  <si>
    <t>Eastern West Virginia Community &amp; Technical College</t>
  </si>
  <si>
    <t>New River Community &amp; Technical College</t>
  </si>
  <si>
    <t>Potomac State College of West Virginia University</t>
  </si>
  <si>
    <t>West Virginia Northern Community College</t>
  </si>
  <si>
    <t>Four-Year 6</t>
  </si>
  <si>
    <t xml:space="preserve"> * The "Total Benefits" average does not equal the sum of the individual benefit averages because some faculty do not receive all benefits.</t>
  </si>
  <si>
    <t>Weighted Average Nine-Month-Equivalent Benefits of Full-Time Faculty As a Percent of Salary</t>
  </si>
  <si>
    <t>1</t>
  </si>
  <si>
    <t>2</t>
  </si>
  <si>
    <t>3</t>
  </si>
  <si>
    <t>4</t>
  </si>
  <si>
    <t>5</t>
  </si>
  <si>
    <t>6</t>
  </si>
  <si>
    <t>All Ranks</t>
  </si>
  <si>
    <t>Average</t>
  </si>
  <si>
    <t>Total</t>
  </si>
  <si>
    <t>Salary</t>
  </si>
  <si>
    <t>Benefits</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</si>
  <si>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</si>
  <si>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</si>
  <si>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</si>
  <si>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</si>
  <si>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</si>
  <si>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</si>
  <si>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</si>
  <si>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</si>
  <si>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</si>
  <si>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</si>
  <si>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</si>
  <si>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</si>
  <si>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</si>
  <si>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</si>
  <si>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</si>
  <si>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</si>
  <si>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</si>
  <si>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 xml:space="preserve"> % Change Retirement</t>
  </si>
  <si>
    <t>Total  % Change Retirement</t>
  </si>
  <si>
    <t xml:space="preserve"> % Change Health</t>
  </si>
  <si>
    <t>Total  % Change Health</t>
  </si>
  <si>
    <t xml:space="preserve"> % Change Disability</t>
  </si>
  <si>
    <t>Total  % Change Disability</t>
  </si>
  <si>
    <t xml:space="preserve"> % Change Worker's Comp</t>
  </si>
  <si>
    <t>Total  % Change Worker's Comp</t>
  </si>
  <si>
    <t xml:space="preserve"> % Change Tuition Plans</t>
  </si>
  <si>
    <t xml:space="preserve">North Carolina State University </t>
  </si>
  <si>
    <t xml:space="preserve">University of North Carolina at Chapel Hill </t>
  </si>
  <si>
    <t>University of North Carolina at Greensboro</t>
  </si>
  <si>
    <t xml:space="preserve">Appalachian State University </t>
  </si>
  <si>
    <t xml:space="preserve">East Carolina University </t>
  </si>
  <si>
    <t xml:space="preserve">North Carolina Central University </t>
  </si>
  <si>
    <t>University of North Carolina at Charlotte</t>
  </si>
  <si>
    <t>University of North Carolina at Wilmington</t>
  </si>
  <si>
    <t xml:space="preserve">Western Carolina University </t>
  </si>
  <si>
    <t xml:space="preserve">Fayetteville State University </t>
  </si>
  <si>
    <t>University of North Carolina at Pembroke</t>
  </si>
  <si>
    <t xml:space="preserve">Elizabeth City State University </t>
  </si>
  <si>
    <t>University of North Carolina at Asheville</t>
  </si>
  <si>
    <t xml:space="preserve">Winston-Salem State University </t>
  </si>
  <si>
    <t>Asheville-Buncombe Technical Community College</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</si>
  <si>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</si>
  <si>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</si>
  <si>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</si>
  <si>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</si>
  <si>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</si>
  <si>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</si>
  <si>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</si>
  <si>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</si>
  <si>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</si>
  <si>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Alamance Community College</t>
  </si>
  <si>
    <t xml:space="preserve">Beaufort County Community College </t>
  </si>
  <si>
    <t>Blue Ridge Community College</t>
  </si>
  <si>
    <t xml:space="preserve">Isothermal Community College </t>
  </si>
  <si>
    <t>Johnston Community College</t>
  </si>
  <si>
    <t xml:space="preserve">Lenoir Community College </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</si>
  <si>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</si>
  <si>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</si>
  <si>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</si>
  <si>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</si>
  <si>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</si>
  <si>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</si>
  <si>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</si>
  <si>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Rowan-Cabarrus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</si>
  <si>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</si>
  <si>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</si>
  <si>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</si>
  <si>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</si>
  <si>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</si>
  <si>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</si>
  <si>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</si>
  <si>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</si>
  <si>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</si>
  <si>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</si>
  <si>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</si>
  <si>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Bladen Community College</t>
  </si>
  <si>
    <t>Brunswick Community College</t>
  </si>
  <si>
    <t>Carteret Community College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</si>
  <si>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</si>
  <si>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</si>
  <si>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</si>
  <si>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</si>
  <si>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</si>
  <si>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</si>
  <si>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</si>
  <si>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Roanoke-Chowan Community College</t>
  </si>
  <si>
    <t>Sampson Community College</t>
  </si>
  <si>
    <t xml:space="preserve">Tri-County Community College </t>
  </si>
  <si>
    <t>Total  Old Unemployment</t>
  </si>
  <si>
    <t xml:space="preserve"> New Unemployment</t>
  </si>
  <si>
    <t>Total  New Unemployment</t>
  </si>
  <si>
    <t xml:space="preserve"> % Change Social Security</t>
  </si>
  <si>
    <t>Total  % Change Social Security</t>
  </si>
  <si>
    <t xml:space="preserve"> Old Life Insurance</t>
  </si>
  <si>
    <t>Total  Old Life Insurance</t>
  </si>
  <si>
    <t xml:space="preserve"> New Life Insurance</t>
  </si>
  <si>
    <t>Total  New Life Insurance</t>
  </si>
  <si>
    <t xml:space="preserve"> Old Worker's Comp</t>
  </si>
  <si>
    <t>Total  Old Worker's Comp</t>
  </si>
  <si>
    <t xml:space="preserve"> New Worker's Comp</t>
  </si>
  <si>
    <t>Total  New Worker's Comp</t>
  </si>
  <si>
    <t xml:space="preserve"> Old Tuition Plans</t>
  </si>
  <si>
    <t>Total  Old Tuition Plans</t>
  </si>
  <si>
    <t xml:space="preserve"> New Tuition Plans</t>
  </si>
  <si>
    <t>Total  New Tuition Plans</t>
  </si>
  <si>
    <t xml:space="preserve"> Old Other</t>
  </si>
  <si>
    <t>Total  Old Other</t>
  </si>
  <si>
    <t xml:space="preserve"> New Other</t>
  </si>
  <si>
    <t>Total  New Other</t>
  </si>
  <si>
    <t xml:space="preserve"> Old Total</t>
  </si>
  <si>
    <t>Total  Old Total</t>
  </si>
  <si>
    <t xml:space="preserve"> New Total</t>
  </si>
  <si>
    <t>Total  New Total</t>
  </si>
  <si>
    <t>Category2</t>
  </si>
  <si>
    <t>Two-Year</t>
  </si>
  <si>
    <t>Benefits as a Percent of Salary</t>
  </si>
  <si>
    <t>new ss9 #</t>
  </si>
  <si>
    <t>new ss9 $</t>
  </si>
  <si>
    <t>old unemp9 #</t>
  </si>
  <si>
    <t>old unemp9 $</t>
  </si>
  <si>
    <t>new unemp9 #</t>
  </si>
  <si>
    <t>new unemp9 $</t>
  </si>
  <si>
    <t>SREB states</t>
  </si>
  <si>
    <t>new life9 #</t>
  </si>
  <si>
    <t>new life9 $</t>
  </si>
  <si>
    <t>old wcomp9 #</t>
  </si>
  <si>
    <t>old wcomp9 $</t>
  </si>
  <si>
    <t>new wcomp9 #</t>
  </si>
  <si>
    <t>new wcomp9 $</t>
  </si>
  <si>
    <t>old tuit9 #</t>
  </si>
  <si>
    <t>old tuit9 $</t>
  </si>
  <si>
    <t>new tuit9 #</t>
  </si>
  <si>
    <t>new tuit9 $</t>
  </si>
  <si>
    <t>old other9 #</t>
  </si>
  <si>
    <t>old other9 $</t>
  </si>
  <si>
    <t>new other9 #</t>
  </si>
  <si>
    <t>old total9 #</t>
  </si>
  <si>
    <t>old total9 $</t>
  </si>
  <si>
    <t>new total9 #</t>
  </si>
  <si>
    <t>new total9 $</t>
  </si>
  <si>
    <t>old retire11 $</t>
  </si>
  <si>
    <t>new retire11 #</t>
  </si>
  <si>
    <t>new retire11 $</t>
  </si>
  <si>
    <t>old health11 #</t>
  </si>
  <si>
    <t>old health11 $</t>
  </si>
  <si>
    <t xml:space="preserve">new health 11 # </t>
  </si>
  <si>
    <t>new health11$</t>
  </si>
  <si>
    <t>old dis11 #</t>
  </si>
  <si>
    <t>old dis11 $</t>
  </si>
  <si>
    <t>new dis11 #</t>
  </si>
  <si>
    <t xml:space="preserve"> new dis11 $</t>
  </si>
  <si>
    <t>old ss11 #</t>
  </si>
  <si>
    <t>old ss11 $</t>
  </si>
  <si>
    <t>new ss11 #</t>
  </si>
  <si>
    <t>new ss11 $</t>
  </si>
  <si>
    <t>old unemp11 #</t>
  </si>
  <si>
    <t>old unemp11 $</t>
  </si>
  <si>
    <t>new unemp11 #</t>
  </si>
  <si>
    <t>new unemp11 $</t>
  </si>
  <si>
    <t>old life11 #</t>
  </si>
  <si>
    <t>old life11 $</t>
  </si>
  <si>
    <t>new life11 #</t>
  </si>
  <si>
    <t>new life11 $</t>
  </si>
  <si>
    <t>old wcomp11 #</t>
  </si>
  <si>
    <t>old wcomp11 $</t>
  </si>
  <si>
    <t>new wcomp11 #</t>
  </si>
  <si>
    <t>new wcomp11 $</t>
  </si>
  <si>
    <t>old tuit11 #</t>
  </si>
  <si>
    <t>old tuit11 $</t>
  </si>
  <si>
    <t>new tuit11 #</t>
  </si>
  <si>
    <t>new tuit11 $</t>
  </si>
  <si>
    <t>old other11 #</t>
  </si>
  <si>
    <t>old other11 $</t>
  </si>
  <si>
    <t>new other11 #</t>
  </si>
  <si>
    <t>old total11 #</t>
  </si>
  <si>
    <t>old total11 $</t>
  </si>
  <si>
    <t>new total11 #</t>
  </si>
  <si>
    <t>new total11 $</t>
  </si>
  <si>
    <t>old retire11 #</t>
  </si>
  <si>
    <t>Data</t>
  </si>
  <si>
    <t>new other11$</t>
  </si>
  <si>
    <t>new other9$</t>
  </si>
  <si>
    <t>Retire-</t>
  </si>
  <si>
    <t>Social</t>
  </si>
  <si>
    <t>Unemploy-</t>
  </si>
  <si>
    <t>Life</t>
  </si>
  <si>
    <t>Workers'</t>
  </si>
  <si>
    <t>Tuition</t>
  </si>
  <si>
    <t xml:space="preserve">Total    </t>
  </si>
  <si>
    <t>ment</t>
  </si>
  <si>
    <t>Security</t>
  </si>
  <si>
    <t>Insurance</t>
  </si>
  <si>
    <t>Compensation</t>
  </si>
  <si>
    <t>Plans</t>
  </si>
  <si>
    <t>Benefits *</t>
  </si>
  <si>
    <t>Four-Year 1</t>
  </si>
  <si>
    <t>Four-Year 2</t>
  </si>
  <si>
    <t>Four-Year 3</t>
  </si>
  <si>
    <t>Four-Year 4</t>
  </si>
  <si>
    <t>Four-Year 5</t>
  </si>
  <si>
    <r>
      <t>2</t>
    </r>
    <r>
      <rPr>
        <sz val="8"/>
        <rFont val="Arial"/>
        <family val="2"/>
      </rPr>
      <t>Faculty in the teachers retirement system are exempt from Social Security.</t>
    </r>
  </si>
  <si>
    <t>Old Sal</t>
  </si>
  <si>
    <t>Old %</t>
  </si>
  <si>
    <t>Old benf</t>
  </si>
  <si>
    <t>Points Change</t>
  </si>
  <si>
    <t>NC</t>
  </si>
  <si>
    <t>MS</t>
  </si>
  <si>
    <t>"—" indicates data not available. Texas two-year college benefits data were too incomplete this year.</t>
  </si>
  <si>
    <t>Old total benefits</t>
  </si>
  <si>
    <t>Old average salary</t>
  </si>
  <si>
    <t>old life9 #</t>
  </si>
  <si>
    <t>old life9 $</t>
  </si>
  <si>
    <t>Old benefits as a % of old salary</t>
  </si>
  <si>
    <t>Points Change (old to new)</t>
  </si>
  <si>
    <t>"—" indicates data not available. Delaware State University data were too incomplete this year.</t>
  </si>
  <si>
    <t>Total  % Change Tuition Plans</t>
  </si>
  <si>
    <t xml:space="preserve"> % Change Other</t>
  </si>
  <si>
    <t>Total  % Change Other</t>
  </si>
  <si>
    <t xml:space="preserve"> % Change Total</t>
  </si>
  <si>
    <t>Total  % Change Total</t>
  </si>
  <si>
    <t>All Four-Year</t>
  </si>
  <si>
    <t>Two-Year 1</t>
  </si>
  <si>
    <t>Two-Year 2</t>
  </si>
  <si>
    <t>Other</t>
  </si>
  <si>
    <t>Institution</t>
  </si>
  <si>
    <t>ID #</t>
  </si>
  <si>
    <t>Category</t>
  </si>
  <si>
    <t>State</t>
  </si>
  <si>
    <t>Section II:  11-12 Month Contracts</t>
  </si>
  <si>
    <t>Retirement</t>
  </si>
  <si>
    <t>Health</t>
  </si>
  <si>
    <t>Disability</t>
  </si>
  <si>
    <t>Social Security</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</si>
  <si>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</si>
  <si>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</si>
  <si>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</si>
  <si>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</si>
  <si>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</si>
  <si>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</si>
  <si>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</si>
  <si>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 xml:space="preserve">Gaston College </t>
  </si>
  <si>
    <t>Haywood Community College</t>
  </si>
  <si>
    <t>9-10 month</t>
  </si>
  <si>
    <t>All Two-Year</t>
  </si>
  <si>
    <t xml:space="preserve">   Two-Year with Bachelor's</t>
  </si>
  <si>
    <t xml:space="preserve">   Two-Year 1</t>
  </si>
  <si>
    <t xml:space="preserve">   Two-Year 2</t>
  </si>
  <si>
    <t xml:space="preserve">   Two-Year 3</t>
  </si>
  <si>
    <t xml:space="preserve"> Old Retirement</t>
  </si>
  <si>
    <t>Total  Old Retirement</t>
  </si>
  <si>
    <t xml:space="preserve"> New Retirement</t>
  </si>
  <si>
    <t>Total  New Retirement</t>
  </si>
  <si>
    <t xml:space="preserve"> Old Health</t>
  </si>
  <si>
    <t>Total  Old Health</t>
  </si>
  <si>
    <t xml:space="preserve"> New Health</t>
  </si>
  <si>
    <t>Total  New Health</t>
  </si>
  <si>
    <t xml:space="preserve"> Old Disability</t>
  </si>
  <si>
    <t>Total  Old Disability</t>
  </si>
  <si>
    <t xml:space="preserve"> New Disability</t>
  </si>
  <si>
    <t>Total  New Disability</t>
  </si>
  <si>
    <t xml:space="preserve"> Old Social Security</t>
  </si>
  <si>
    <t>Total  Old Social Security</t>
  </si>
  <si>
    <t xml:space="preserve"> New Social Security</t>
  </si>
  <si>
    <t>Total  New Social Security</t>
  </si>
  <si>
    <t xml:space="preserve"> Old Unemployment</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</si>
  <si>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</si>
  <si>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</si>
  <si>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</si>
  <si>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</si>
  <si>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</si>
  <si>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</si>
  <si>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</si>
  <si>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</si>
  <si>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</si>
  <si>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</si>
  <si>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</si>
  <si>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</si>
  <si>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</si>
  <si>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</si>
  <si>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</si>
  <si>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</si>
  <si>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</si>
  <si>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</si>
  <si>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</si>
  <si>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</si>
  <si>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</si>
  <si>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</si>
  <si>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</si>
  <si>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</si>
  <si>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</si>
  <si>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</si>
  <si>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</si>
  <si>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</si>
  <si>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</si>
  <si>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</si>
  <si>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</si>
  <si>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</si>
  <si>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Northwest Florida State College</t>
  </si>
  <si>
    <t xml:space="preserve">Edison State College </t>
  </si>
  <si>
    <t xml:space="preserve">College of Coastal Georgia </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</si>
  <si>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</si>
  <si>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</si>
  <si>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</si>
  <si>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</si>
  <si>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</si>
  <si>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</si>
  <si>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</si>
  <si>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</si>
  <si>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</si>
  <si>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</si>
  <si>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</si>
  <si>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</si>
  <si>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</si>
  <si>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</si>
  <si>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</si>
  <si>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</si>
  <si>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</si>
  <si>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</si>
  <si>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</si>
  <si>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</si>
  <si>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</si>
  <si>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</si>
  <si>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</si>
  <si>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</si>
  <si>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</si>
  <si>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</si>
  <si>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</si>
  <si>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</si>
  <si>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</si>
  <si>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</si>
  <si>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</si>
  <si>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</si>
  <si>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</si>
  <si>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</si>
  <si>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</si>
  <si>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</si>
  <si>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</si>
  <si>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</si>
  <si>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</si>
  <si>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</si>
  <si>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</si>
  <si>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</si>
  <si>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</si>
  <si>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</si>
  <si>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</si>
  <si>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</si>
  <si>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</si>
  <si>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</si>
  <si>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</si>
  <si>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State Agency</t>
  </si>
  <si>
    <t>Retirement Plans</t>
  </si>
  <si>
    <t>Health Plans</t>
  </si>
  <si>
    <t>Disability Plans</t>
  </si>
  <si>
    <t>Alabama Commission on Higher Education</t>
  </si>
  <si>
    <t>All institutions are covered by the Alabama Teachers Retirement System. Other plans may also be available.</t>
  </si>
  <si>
    <t>Varies by institution.</t>
  </si>
  <si>
    <t>Not reported.</t>
  </si>
  <si>
    <t>Arkansas Department of Higher Education</t>
  </si>
  <si>
    <t>State has a Public Employees Retirement system in which the institutions may participate. However, the majority of employees participate in alternate retirement plans as approved by the local Board of Trustees.  The more common of these plans include Arkansas Teachers Retirement, TIAA-CREF, and Valic.</t>
  </si>
  <si>
    <t>Varies by institution as approved by local Board of Trustees.  However, the colleges usually offer the same health plan options as made available to all state employees as approved by the state legislature.</t>
  </si>
  <si>
    <t>Varies by institution as approved by local Board of Trustees.</t>
  </si>
  <si>
    <t xml:space="preserve">Participants in the State Employees' Pension Plan are eligible for short- and long-term disability insurance at no cost to the employee. </t>
  </si>
  <si>
    <t>Standard contribution rates.</t>
  </si>
  <si>
    <t>State University System of Florida:
Florida Atlantic University</t>
  </si>
  <si>
    <r>
      <t xml:space="preserve">Florida Retirement System (FRS) Pension Plan: This system pays based on pay and service time. Employees vest after 6 years of service. Normal retirement: 30 years of service, regardless of age, or at age 62. The plan is non-contributory. Eligibility for participation is immediate. Vested participants may elect participation in DROP  at age 62.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</si>
  <si>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 is BCBS of FL.  HMO Plan choices vary by county and include United Healthcare, Vista and AvMed. Plan is co-contributory; employee portion is tax free. </t>
    </r>
    <r>
      <rPr>
        <b/>
        <sz val="8"/>
        <rFont val="Arial"/>
        <family val="2"/>
      </rPr>
      <t xml:space="preserve">Dental plans </t>
    </r>
    <r>
      <rPr>
        <sz val="8"/>
        <rFont val="Arial"/>
        <family val="2"/>
      </rPr>
      <t xml:space="preserve">(PPO, pre-paid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</si>
  <si>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 xml:space="preserve">Disability Insurance (30 and 90 day elimination periods) is available to employees in regularly established positions within the first 60 days of employment. Employees must work at least 20 hours per week to qualify for participation. A Short Term Disability plan is available to Executive Service employees at no cost to the employee. </t>
    </r>
    <r>
      <rPr>
        <b/>
        <sz val="8"/>
        <rFont val="Arial"/>
        <family val="2"/>
      </rPr>
      <t>Colonial Life and Accident Insurance Company</t>
    </r>
    <r>
      <rPr>
        <sz val="8"/>
        <rFont val="Arial"/>
        <family val="2"/>
      </rPr>
      <t xml:space="preserve"> offers an Accident/Disability Plan.</t>
    </r>
  </si>
  <si>
    <t>If you were born in 1937 or earlier, you are eligible for full social security benefits at age 65. If you were born 1938 or later, your eligibility age for full social security benefits is based on your year of birth. Individuals may receive a reduced benefit at age 62.</t>
  </si>
  <si>
    <t>State University System of Florida:
Florida International University</t>
  </si>
  <si>
    <t>State University System of Florida:
Florida State University</t>
  </si>
  <si>
    <r>
      <t xml:space="preserve">Florida Retirement System (FRS) Pension Plan: This system pays based on pay and service time. Employees vest after 6 years of service. Normal retirement: 30 years of service, regardless of age, or vesting at age 62. The plan is non-contributory. Eligibility for participation is immediate.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t>
    </r>
  </si>
  <si>
    <t>State University System of Florida:
University of Central Florida</t>
  </si>
  <si>
    <r>
      <t xml:space="preserve">Disability Insurance (30 and 90 day elimination periods) is available to employees in regularly established positions within the first 60 days of employment (enrollment available after 60-day period, but only through approved Evidence of Insurability). Employees must work at least 20 hours per week to qualify for participation. A Short Term Disability plan is available to Executive Service employees at no cost to the employee. </t>
    </r>
    <r>
      <rPr>
        <b/>
        <sz val="8"/>
        <rFont val="Arial"/>
        <family val="2"/>
      </rPr>
      <t>Colonial Life and Accident Insurance Company</t>
    </r>
    <r>
      <rPr>
        <sz val="8"/>
        <rFont val="Arial"/>
        <family val="2"/>
      </rPr>
      <t xml:space="preserve"> offers an Accident/Disability Plan.</t>
    </r>
  </si>
  <si>
    <t>State University System of Florida:
University of Florida</t>
  </si>
  <si>
    <r>
      <t xml:space="preserve">The state offers 4 health plan options - </t>
    </r>
    <r>
      <rPr>
        <b/>
        <i/>
        <sz val="8"/>
        <rFont val="Arial"/>
        <family val="2"/>
      </rPr>
      <t>Standard</t>
    </r>
    <r>
      <rPr>
        <b/>
        <sz val="8"/>
        <rFont val="Arial"/>
        <family val="2"/>
      </rPr>
      <t xml:space="preserve"> PPO &amp; HMO Plans; Health Investor PPO and HMO (High Deductible) Plans with option to participate in Health Savings Account:</t>
    </r>
    <r>
      <rPr>
        <sz val="8"/>
        <rFont val="Arial"/>
        <family val="2"/>
      </rPr>
      <t xml:space="preserve"> The PPO Plan choices are indemnity health plans.  HMO Plan choices vary by county. Plan is co-contributory; employee portion is pre-tax. </t>
    </r>
    <r>
      <rPr>
        <b/>
        <sz val="8"/>
        <rFont val="Arial"/>
        <family val="2"/>
      </rPr>
      <t>UF Domestic Partner</t>
    </r>
    <r>
      <rPr>
        <sz val="8"/>
        <rFont val="Arial"/>
        <family val="2"/>
      </rPr>
      <t xml:space="preserve"> plans provides coverage for same and opposite sex partners and dependent children through Avmed which is an HMO plan design.  The plan is co-contributory with some tax implications based on IRS guidelines. </t>
    </r>
    <r>
      <rPr>
        <b/>
        <sz val="8"/>
        <rFont val="Arial"/>
        <family val="2"/>
      </rPr>
      <t xml:space="preserve">Dental plans </t>
    </r>
    <r>
      <rPr>
        <sz val="8"/>
        <rFont val="Arial"/>
        <family val="2"/>
      </rPr>
      <t xml:space="preserve">(pre-paid, PPO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</si>
  <si>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UF Long Term Disability Insurance</t>
    </r>
    <r>
      <rPr>
        <sz val="8"/>
        <rFont val="Arial"/>
        <family val="2"/>
      </rPr>
      <t xml:space="preserve"> (30 and 90 day elimination periods) is available to employees in regularly established positions within the first 60 days of employment. Employees must work at least 20 hours per week to qualify for participation an pay premiums on a post-tax basis. A </t>
    </r>
    <r>
      <rPr>
        <b/>
        <sz val="8"/>
        <rFont val="Arial"/>
        <family val="2"/>
      </rPr>
      <t>Short Term Disability</t>
    </r>
    <r>
      <rPr>
        <sz val="8"/>
        <rFont val="Arial"/>
        <family val="2"/>
      </rPr>
      <t xml:space="preserve"> plan is available to Executive Service employees at no cost to the employee through the state of Florida. The state also has a separate </t>
    </r>
    <r>
      <rPr>
        <b/>
        <sz val="8"/>
        <rFont val="Arial"/>
        <family val="2"/>
      </rPr>
      <t>short term plan</t>
    </r>
    <r>
      <rPr>
        <sz val="8"/>
        <rFont val="Arial"/>
        <family val="2"/>
      </rPr>
      <t xml:space="preserve"> with </t>
    </r>
    <r>
      <rPr>
        <b/>
        <sz val="8"/>
        <rFont val="Arial"/>
        <family val="2"/>
      </rPr>
      <t>Colonial Life and Accident Insurance Company</t>
    </r>
    <r>
      <rPr>
        <sz val="8"/>
        <rFont val="Arial"/>
        <family val="2"/>
      </rPr>
      <t xml:space="preserve"> for all state employees.  The plan offers an Accident/Disability coverage which is paid 100% by the employee.</t>
    </r>
  </si>
  <si>
    <t>State University System of Florida:
University of South Florida</t>
  </si>
  <si>
    <t>State University System of Florida:
University of West Florida</t>
  </si>
  <si>
    <t>Florida Community Colleges and Workforce Education</t>
  </si>
  <si>
    <t>The University System of Georgia</t>
  </si>
  <si>
    <t>6.2% for OASDI,1.45% for Medicare with a $102,000 maximum for Social Security.</t>
  </si>
  <si>
    <t>Technical College System of Georgia</t>
  </si>
  <si>
    <t>The Technical College System of Georgia (TCSGA) and the associated technical colleges offer both Employees' Retirement System (ERS) and Teachers' Retirement System (TRS). The eligibility of membership is determined by the laws, rules, and regulations of each retirement system. TCSGA eligible employees who meet certain criteria will have an election option for membership in either TRS or ERS.</t>
  </si>
  <si>
    <t>Kentucky Council on Postsecondary Education</t>
  </si>
  <si>
    <t>Contributions by the institution, state and local government toward retirement.</t>
  </si>
  <si>
    <t>Contributions to insurance plans which provide for hospital, medical, surgical, or dental care.</t>
  </si>
  <si>
    <t>Expenditures, through insurance or otherwise, for long-term disability income payments not covered in other retirement or insurance plans reported. These payments are not the accumulation of unused sick leave benefits.</t>
  </si>
  <si>
    <t>Louisiana Board of Regents</t>
  </si>
  <si>
    <t>No statewide policy. Individual governing boards (there are four different boards) decide benefits policies.</t>
  </si>
  <si>
    <t xml:space="preserve">Maryland Higher Education Commission, Public Four-year Institutions which include the University System of Maryland, Morgan State University and St. Mary's College of Maryland.  Note:  Community College faculty are not considered State employees but do participate in the State optional retirement plan. </t>
  </si>
  <si>
    <t>Retirement Plans: Institutions offer the following retirement plans to their employees: Teachers Retirement/ Pension, State Employee's Retirement/ Pension, and optional plans that include TIAA-CREF, Fidelity Investments. Nationwide Retirement Solutions (formerly PEBSCO) is a supplemental retirement account vendor.</t>
  </si>
  <si>
    <t xml:space="preserve">Social Security is a federal program which pays benefits under three types of circumstances: retirement, disability, and death. Both the employee and the state contribute equally to social security and Medicare through payroll taxes. The social security tax paid by the employee and the state are based on the employees' earnings multiplied by the tax rate up to the maximum amount (6.2 percent to $102,000 and 1.45 percent on all wages as of January 1, 2008). </t>
  </si>
  <si>
    <t>Mississippi Board of Trustees of State Institutions of Higher Learning</t>
  </si>
  <si>
    <t>N/A</t>
  </si>
  <si>
    <t>Employees are covered by the MS Public Employees' Retirement System and are required to comply with the provisions of the law establishing the system. Optional benefits are available at the employee's expense.</t>
  </si>
  <si>
    <t>Plans are available at the employee's expense. Long-term disability benefits are provided under the MS Public Employees' Retirement System.</t>
  </si>
  <si>
    <t>Employees are provided old age survivors and disability insurance coverage by the federal Social Security Administration.</t>
  </si>
  <si>
    <t>North Carolina Community College System</t>
  </si>
  <si>
    <t>Employees vested after 5 years.</t>
  </si>
  <si>
    <t>University of North Carolina General Administration</t>
  </si>
  <si>
    <t>Part of all retirement plans; state contributes 0.52% of salary.</t>
  </si>
  <si>
    <t>Oklahoma State Regents for Higher Education</t>
  </si>
  <si>
    <t>Oklahoma Teachers Retirement, State paid portion and employee contribution</t>
  </si>
  <si>
    <t>State Plan and numerous HMO's selected at the employee's discretion, Dental Plan</t>
  </si>
  <si>
    <t>As required by law.</t>
  </si>
  <si>
    <t>Oklahoma Department of Career and Technology Education</t>
  </si>
  <si>
    <t>Oklahoma Teacher's Retirement System.</t>
  </si>
  <si>
    <t>State plan with options for either HealthChoice or a variety of HMO's.</t>
  </si>
  <si>
    <t>State disability plan provides for short-term and long-term disability.</t>
  </si>
  <si>
    <t>South Carolina Commission on Higher Education</t>
  </si>
  <si>
    <t>A vested retirement plan is defined as one in which the full amount of the contribution by institution, state, and local government, with accumulations thereon, will be made available as a benefit in case of death while in service and with no forfeiture in case of resignation or dismissal from the institution.</t>
  </si>
  <si>
    <t>(Through insurance or otherwise) for long-term disability income payments (defined as salary in excess of 6 months) not covered in other retirement or insurance plans. Payments are not to consist of the accumulation of unused sick leave benefits.</t>
  </si>
  <si>
    <t>Tennessee Higher Education Commission</t>
  </si>
  <si>
    <t>Employees have a choice between Tennessee Consolidated Retirement System (TCRS), which is available to all state employees, and the Optional Retirement Plan, which is more flexible -- transfers to other higher education institutions nationally.</t>
  </si>
  <si>
    <t>Employees may choose between the basic state group insurance program, a point of service program, and an HMO. Dental insurance is available. The Tennessee Board of Regents also offers cancer and intensive care insurance to its employees.</t>
  </si>
  <si>
    <t>UT and TBR offer TIAA-CREF disability insurance.</t>
  </si>
  <si>
    <t>Participation required; standard contribution rates.</t>
  </si>
  <si>
    <t>Texas Higher Education Coordinating Board</t>
  </si>
  <si>
    <t>State pays full monthly premium for full-time employee for health, life, dental and disability plus 50% of covered dependents premiums. Half-time or more employees receive 50% of the above amounts. Group health plans include HMO's and preferred provider plans.</t>
  </si>
  <si>
    <t>One benefit option under health plans.</t>
  </si>
  <si>
    <t>State pays 6.2% on first $102,000 plus 1.45% Medicare insurance tax on all wages.</t>
  </si>
  <si>
    <t>State Council of Higher Education for Virginia</t>
  </si>
  <si>
    <t>Full-time faculty have a choice of retirement plans between the Virginia Retirement System (44% of faculty) and TIAA (56% of faculty).</t>
  </si>
  <si>
    <t>Virginia state offers a statewide health insurance plan to all state employees including faculty in 2008-09. The standard package is a PPO plan with medical and dental benefits.</t>
  </si>
  <si>
    <t>Benefits for regular and work-related disability are included in the standard package. Benefits are dependent on age and length of service.</t>
  </si>
  <si>
    <t>Generally calculated at a rate of 7.65% of salary.</t>
  </si>
  <si>
    <t xml:space="preserve">West Virginia Higher Education Policy Commission and the WV Council for Community &amp; Technical College Education </t>
  </si>
  <si>
    <t>Full-time employees must contribute to TIAA-CREF or Educator's Money retirement plans. (Prior to 7/1/91, State Teachers Retirement was an option.) Employee contributions are matched by institution.</t>
  </si>
  <si>
    <t>Full cost paid by employee.</t>
  </si>
  <si>
    <t>Funds contributed by employees are matched by the institution.</t>
  </si>
  <si>
    <t>Workers' Comp</t>
  </si>
  <si>
    <t>Other Benefits</t>
  </si>
  <si>
    <t>As required by state law for all employers.</t>
  </si>
  <si>
    <t xml:space="preserve">Varies by institution as approved by local Board of Trustees.  However, many times, the state health plan offers life insurance minimums and options, but this varies as may be approved by the state legislature. </t>
  </si>
  <si>
    <t>Regulated by the State Division of Unemployment Insurance.</t>
  </si>
  <si>
    <t xml:space="preserve">Payments for medical expenses and loss of wages for work related injury or illness. Eligible immediately upon employment. </t>
  </si>
  <si>
    <t>Varies.</t>
  </si>
  <si>
    <t>Weekly income is based upon earnings.  Unemployment insurance provides temporary income payments to qualified workers who lose their jobs through no fault of their own, and who are able to work and are available for work. Number of weekly payments vary.</t>
  </si>
  <si>
    <r>
      <t xml:space="preserve">Basic Life (State Term Plan- Offered through Minnesota </t>
    </r>
    <r>
      <rPr>
        <b/>
        <sz val="8"/>
        <rFont val="Arial"/>
        <family val="2"/>
      </rPr>
      <t>Life Insurance Company</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 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also offers three post-tax life insurance options to employees: Cash Value Life Insurance, Group Term Life Insurance and Universal Life Insurance. Gabor Universal Life and Group Term Life may also be purchased for the spouse and dependent children of employee.</t>
    </r>
  </si>
  <si>
    <t>Compensation for time lost and medical expenses for on the job injuries or death. If employment has restrictions or limitations, employee must notify supervisor; must notify supervisor if involved in a work-related accident.</t>
  </si>
  <si>
    <t>Education and training opportunities are available through individual university programs funded by limited existing university resources. FAU currently offers an Employee Education Scholarship program (EESP) which will waive tuition of up to 6 credits per semester after 6 months of full time employment. Must receive a grade of C or better to qualify for tuition waiver for undergraduate and B or better for graduate level courses.</t>
  </si>
  <si>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Personal Accident Insurance</t>
    </r>
    <r>
      <rPr>
        <sz val="8"/>
        <rFont val="Arial"/>
        <family val="2"/>
      </rPr>
      <t>,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FAU also offers enrollment in Preferred Legal Plan paid for by employee.</t>
    </r>
  </si>
  <si>
    <t>Education and training opportunities are available through individual university programs funded by limited existing university resources.</t>
  </si>
  <si>
    <t>Weekly income is based upon earnings.  Unemployment insurance provides temporary income payments to qualified workers who lose their jobs through no fault of their own, and who are able to work and are available for work. Number of weekly payments vary.     This is governed by the State of Florida's Agency for Workforce Innovation.</t>
  </si>
  <si>
    <r>
      <t>Basic Life</t>
    </r>
    <r>
      <rPr>
        <sz val="8"/>
        <rFont val="Arial"/>
        <family val="2"/>
      </rPr>
      <t xml:space="preserve"> (State Term Plan): Provides term life insurance and accidental death/ dismemberment insurance at a low monthly rate. Basic term insurance is equal to 1.5 times the employee's salary. The Plan is co-contributory.  Employee portion is pre-tax up to certain amount. </t>
    </r>
    <r>
      <rPr>
        <b/>
        <sz val="8"/>
        <rFont val="Arial"/>
        <family val="2"/>
      </rPr>
      <t>Optional Term Life:</t>
    </r>
    <r>
      <rPr>
        <sz val="8"/>
        <rFont val="Arial"/>
        <family val="2"/>
      </rPr>
      <t xml:space="preserve"> Provides supplemental life insurance and accidental death/dismemberment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The state's  basic and optional term life insurance plans are through Minnesota Life Insurance company. </t>
    </r>
  </si>
  <si>
    <t xml:space="preserve">Compensation for time lost and medical expenses for on the job injuries or death. If employment has restrictions or limitations, employee must notify supervisor.  Employee must notify supervisor if involved in a work-related accident.  Eligibility for Temporary Total Disability (TTD) An authorized medical care provider must keep an employee in "no work" status for more than 7 days for the employee to be eligible for this benefit. Note: This benefit is not payable if an employee is receiving unemployment compensation benefits.  TTD benefits equal 66 2/3 percent of the injured employee's average weekly wage up to a maximum established by the Legislature. </t>
  </si>
  <si>
    <t xml:space="preserve">Education and training opportunities are available through individual university programs funded by limited existing university resources.           The University of Florida offers funding to allow eligible employees to take courses at UF and other Florida state universities through the Employee Education Program. It also enables employees of other state of Florida universities and agencies to take courses at UF.  Each year, the University will choose at random from a pool of eligible applicants 50 children of TEAMS employees to participate in the Higher Education Opportunity program. For each child selected, the university will pay the in-state matriculation fees, less any Bright Futures scholarship award, for a maximum of 132 credit hours toward an undergraduate degree at the University of Florida or a public community college in the state over a six-year period.
</t>
  </si>
  <si>
    <r>
      <t>Flexible Spending Accounts</t>
    </r>
    <r>
      <rPr>
        <sz val="8"/>
        <rFont val="Arial"/>
        <family val="2"/>
      </rPr>
      <t xml:space="preserve">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r>
      <rPr>
        <b/>
        <sz val="8"/>
        <rFont val="Arial"/>
        <family val="2"/>
      </rPr>
      <t>Personal Accident Insurance, Long Term Care and Auto Insurance</t>
    </r>
    <r>
      <rPr>
        <sz val="8"/>
        <rFont val="Arial"/>
        <family val="2"/>
      </rPr>
      <t>: all paid for by the employee.</t>
    </r>
  </si>
  <si>
    <t>The Jefferson Pilot/Lincoln Financial Group also offers a group term life policy with coverage for the employee, spouse, and/ or eligible dependents up to plan limits.  The plan is based on age, coverage amount and smoker/nonsmoker status.  Employees must work at least 20 hours per week to qualify for participation and pay premiums on a post-tax basis.</t>
  </si>
  <si>
    <t xml:space="preserve">Full time employees in an established position may enroll in up to six credits per semester.  Employee must be appointed prior to the first day of class  and expected to be employed full-time past the end of the semester in which enrolled.  May be on approved leave with or without pay.   </t>
  </si>
  <si>
    <t>State University System of Florida:
University of South Florida - continued</t>
  </si>
  <si>
    <t xml:space="preserve">Full-time UWF employees are eligible to take up to six hours of credit coursework at UWF without payment of registration fees. Employees may assign up to six credit hours of under graduate or three hours of Graduate  class work with this benefit to a eligible spouse and/or dependent who is enrolled in a degree program at UWF.  Some courses are exempt from this benefit. </t>
  </si>
  <si>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Personal Accident Insurance</t>
    </r>
    <r>
      <rPr>
        <sz val="8"/>
        <rFont val="Arial"/>
        <family val="2"/>
      </rPr>
      <t>,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r>
      <rPr>
        <b/>
        <sz val="8"/>
        <rFont val="Arial"/>
        <family val="2"/>
      </rPr>
      <t xml:space="preserve">Employee Adoption Benefit Program:  </t>
    </r>
    <r>
      <rPr>
        <sz val="8"/>
        <rFont val="Arial"/>
        <family val="2"/>
      </rPr>
      <t>provides that any full-time or part-time employee of the state who is paid from regular salary appropriations and who adopts a special-needs child whose permanent custody has been awarded to the Department of Children and Families or to a Florida-licensed child-placing agency is eligible to receive a monetary benefit in the amount of $10,000 per child (payable in equal monthly installments over a 1-year period</t>
    </r>
    <r>
      <rPr>
        <b/>
        <sz val="8"/>
        <rFont val="Arial"/>
        <family val="2"/>
      </rPr>
      <t xml:space="preserve">
</t>
    </r>
  </si>
  <si>
    <t>State University System of Florida:
University of West Florida - Continued</t>
  </si>
  <si>
    <t>Regulated by the Georgia Department of Labor.</t>
  </si>
  <si>
    <t>Regulated by the Georgia Department of Administrative Services.</t>
  </si>
  <si>
    <t>Flexible Spending Accounts: Employees are eligible to participate in flexible spending accounts for either medical expenses or dependent care expenses. These accounts allow the employee to set aside a portion of his/her salary on a pre-tax basis. The account is used to reimburse the employee for incurred medical or dependent care expenses. By setting aside the monies on a pre-tax basis, the employee can increase the amount of his/her net take-home pay. Each plan has a limit to the amount that may be set aside. This limit is set annually by the Internal Revenue Service. Employee’s health and dental insurance premiums are automatically withheld on a pre-tax basis.</t>
  </si>
  <si>
    <t>All employees of TCSGA and its technical colleges are eligible for unemployment benefits in accordance with the State of Georgia Unemployment Services which is administered by the Georgia Department of Labor.</t>
  </si>
  <si>
    <t>All employees of TCSGA and its technical colleges are eligible for Workers' Compensation if injured on the job or while performing their duties for the State. The State of Georgia is self-insured and the Georgia Department of Administrative Services, Risk Management, Workers' Compensation Unit administers the claim processing for Workers' Comp injuries, P.O. Box 38198 Capitol Hill Station, Atlanta, GA 30334, (404) 656-6245.</t>
  </si>
  <si>
    <t>None</t>
  </si>
  <si>
    <t xml:space="preserve">Taxes (not benefits) paid under this law. </t>
  </si>
  <si>
    <t>Expenditures to support the group life insurance program.</t>
  </si>
  <si>
    <t>Taxes (not benefits) paid under this law.</t>
  </si>
  <si>
    <t xml:space="preserve">Cash payments and the dollar value of tuition waivers and exchanges for dependents (including spouses) of faculty members to attend an institution. </t>
  </si>
  <si>
    <t>Unemployment Insurance provides benefits to employees should they become unemployed through no fault of their own and are ready, willing, and able to work. Employees are automatically covered for unemployment insurance from their first day on the job. The employee does not contribute to unemployment insurance (no deductions are taken from the paycheck). The state however, pays all contributions for unemployment insurance.</t>
  </si>
  <si>
    <t xml:space="preserve">Workers' Compensation: Benefits for workers' compensation for compensable injuries include the following: accident leave benefits; payment for medical, surgical, and hospital expenses from an injury or disability; temporary total disability benefits; vocational rehabilitation; and death benefits. The state pays all contributions for workers' compensation. </t>
  </si>
  <si>
    <t>.07% of payroll.</t>
  </si>
  <si>
    <t>.12 per $1,000 coverage.</t>
  </si>
  <si>
    <t>.51% of payroll.</t>
  </si>
  <si>
    <t>Optional with each school.</t>
  </si>
  <si>
    <t xml:space="preserve">Employees may be eligible for unemployment compensation as set forth in House Bill 1022, Chapter 519, Regular Legislative Session 1971, and administered by the Mississippi Department of Employment Security. </t>
  </si>
  <si>
    <t>The State provides 50% of an active member's premium. The amount of term life insurance for each active employee shall not be in excess of $100,000, or twice the amount of the employee's annual wage to the next highest $1,000, whichever may be less, but in no case less than $30,000.</t>
  </si>
  <si>
    <t>All employees are covered by Workers' Compensation Insurance. An employee injured on the job is entitled to financial and medical aid under the Worker's Compensation Insurance program in accordance with state law.</t>
  </si>
  <si>
    <t>Some colleges provide dental benefits for employees.</t>
  </si>
  <si>
    <t>Estimated state contribution 0.09% of salary.</t>
  </si>
  <si>
    <t>Part of TSER. State contributes 0.16% of salary.</t>
  </si>
  <si>
    <t>None.</t>
  </si>
  <si>
    <t>Most institutions pay one life insurance vendor only.</t>
  </si>
  <si>
    <t>One half of system institutions are self-insured, others use the State plan.</t>
  </si>
  <si>
    <t>At the institution's discretion whether to provide tuition reimbursements</t>
  </si>
  <si>
    <t>Accidental Death &amp; Dismemberment; Vision Care, pre-tax premiums, leave share.</t>
  </si>
  <si>
    <t>Basic life insurance policy with the option to purchase additional term life by employee if desired.</t>
  </si>
  <si>
    <t>Varies by school.</t>
  </si>
  <si>
    <t>Flexible spending accounts, dental plan, and vision plan.</t>
  </si>
  <si>
    <t>Taxes (not benefits) to be paid under this law. If the institution is self-insured, the estimated amount which would otherwise be paid to the State is reported.</t>
  </si>
  <si>
    <t>Expenditures reported by the institution to support the group life insurance program.</t>
  </si>
  <si>
    <t>The taxes (not benefits) to be paid under this law. If the institution is self-insured, the estimated amount which would otherwise be paid to the State is reported.</t>
  </si>
  <si>
    <t>Cash payments and the dollar value of tuition waivers and exchanges for dependents (including spouse) of faculty members to attend another institution or the reporting institution is reported. The number covered by this benefit are the number of faculty dependents receiving tuition, rather than the number of faculty members covered by this benefit.</t>
  </si>
  <si>
    <t>Contributions to insurance plans which cannot be reported separately in the Health Plan category.</t>
  </si>
  <si>
    <t>Unemployment insurance is available.</t>
  </si>
  <si>
    <t>Part of state group insurance plan. Additional optional term life, universal, and special accident insurance is also available.</t>
  </si>
  <si>
    <t>TBR and UT offer employees up to eight semester hours tuition-free, either undergraduate or graduate.</t>
  </si>
  <si>
    <t>Rates for employer portion vary by institution.</t>
  </si>
  <si>
    <t>One benefit option under health plans.  Limited amount included (unless declined) in basic health benefits package with premium paid by state for full time employee.</t>
  </si>
  <si>
    <t>Various plans offered over 21 two year institutions  and 1 four year institution.</t>
  </si>
  <si>
    <t>Group life insurance without a medical exam, natural death benefits, double indemnity for accidental death, dismemberment payments for accidental loss of one or more limbs or eyesight. Optional life insurance may also be purchased.</t>
  </si>
  <si>
    <t>Available to eligible employees.</t>
  </si>
  <si>
    <t>No statewide plans.</t>
  </si>
  <si>
    <t>No "other" statewide benefits.</t>
  </si>
  <si>
    <t>Coverage is provided as required by law.</t>
  </si>
  <si>
    <t>Life insurance is provided along with the health insurance plan. Employees may choose additional life insurance at their expense.</t>
  </si>
  <si>
    <t>Provides protection to employees for on-the-job injuries or death. Payments are made into the fund quarterly by agency.</t>
  </si>
  <si>
    <t>Annual Increment: after 3 years of state government service, employees are paid $60.00 per year. Annual leave: accrued monthly at a rate determined by years of service. Sick leave: accrued at 1.50 days per month.</t>
  </si>
  <si>
    <r>
      <t xml:space="preserve">Basic Life (State Term Plan- Offered through Minnesota </t>
    </r>
    <r>
      <rPr>
        <b/>
        <sz val="8"/>
        <rFont val="Arial"/>
        <family val="2"/>
      </rPr>
      <t>Life Insurance Company</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 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 xml:space="preserve">also offers three post-tax life insurance options to employees: Cash Value Life Insurance, Group Term Life Insurance and Universal Life Insurance. Gabor Universal Life and Group Term Life may also be purchased for the spouse and dependent children of employee. </t>
    </r>
    <r>
      <rPr>
        <b/>
        <sz val="8"/>
        <rFont val="Arial"/>
        <family val="2"/>
      </rPr>
      <t/>
    </r>
  </si>
  <si>
    <t xml:space="preserve">Reliastar: available to employees only provideing fixed coverages term policies with coverage reductions at 65 years of age. </t>
  </si>
  <si>
    <t>The Employment Commission determines eligibility based on length of employment, reason for separation, and salary earned.</t>
  </si>
  <si>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Dental plans (pre-paid and indemnity options), Vision Care Insurance, Legal Insurance, Hospital Income Supplement, Cancer and Intensive Care Insurance are paid 100% by the employee. Eligibility for enrollment is within 60 days of employment. Coverage effective the first month following initial premium. Health/Life premiums for Executive Service employees is paid entirely by  employer.</t>
    </r>
  </si>
  <si>
    <t xml:space="preserve">The State Health Benefit Plan offers multiple plans and tiers for new employees to choose from.  Employees may choose various tiers as follows: EE = Employee, ES = Employee + Spouse, EC = Employee + Child(ren), and EF = Employee + Child(ren) + Spouse and new employees may choose the following coverage options through CIGNA Health Care: A) CIGNA Choice Fund (HRA) or B) High Deductible Health Plan (HDHP) or C) Open Access Plan (OAP) or D) HMO or United Healthcare A) Definity (HRA) or B) High Deductible Health Plan (HDHP) or C) Open Access Plan (OAP) or D) HMO. Dental Insurance single or family coverage with the same tier structure as with the State Health Benefit plan.  Employee may elect Regular Dental &amp; PPO Option with United Concordia, or the DHMO option through CIGNA.  Spending Accounts Employee may choose up to $5,040 a year in a Health Care Spending Account and/or up to $5,040 a year in a (General Purpose) Health Care Spending Account and/or up to $4,992 a year per family in a Dependent (Child) Care Spending Account. </t>
  </si>
  <si>
    <t>The State offers employees a cafeteria plan under Section 125 of the IRS Code. A cafeteria plan is an employer-provided health benefits plan, which offers employees the opportunity to choose among non-taxable and qualified benefits. Qualified benefits are non-taxable benefits such as medical or dental coverage. If you choose to enroll for coverage for qualified benefits, the amount you pay for premiums is tax-free. The options are: MEDICAL: Carefirst BlueCross BlueShield (EPO), (POS), (PPO);  Aetna (EPO),(POS); United Health Care (EPO), (POS), (PPO). DENTAL: United Concordia (DHMO) (DPPO).  PRESCRIPTION: CatalystRx.  OTHER: Mental Health/Substance Abuse Plan, Term-Life Insurance Plan, Accidental Death and Dismemberment Plan, Flexible Spending Accounts, Long Term Care Insurance. State Contributes: Health PPO plans 80%, Health POS and EPO plans 85%, Prescription plan 80%, Dental plans 50% of premiums.</t>
  </si>
  <si>
    <t>For those State employees in the  State Retirement program, it is included in the program.  Otherwise, employees in the optional retirement program may enroll in disability insurance at their own expense.  The Prudential Long-Term Care and The MetLife Insurance Company offer group rate disability insurance to employees enrolled in the optional retirement plan.  Disability plans are not available at Morgan State University</t>
  </si>
  <si>
    <t>Employer retirement plan is 12.0 percent of salary.</t>
  </si>
  <si>
    <t>$361 per employee per month</t>
  </si>
  <si>
    <t>Social security &amp; Medicare is 7.65 percent of salary.</t>
  </si>
  <si>
    <t>Employees can enroll in the State healthplan administered by Blue Cross/Blue Shield</t>
  </si>
  <si>
    <t>This amount include taxes for Medicare and OASDI.</t>
  </si>
  <si>
    <t>Term life insurance is available through The MetLife. Employees may purchase the first $50,000 of life insurance with pre-tax premium dollars deducted from their paychecks. Employee coverage over $50,000 and up to a maximum of $300,000 can be purchased with post-tax premium dollars. The amount of life insurance coverage employees can select is not tied to salary levels. Employees may cover their spouses and eligible dependent children for up to fifty percent of what the employee is enrolled in. Enrollment amounts in excess of $50,000 for employees, and $25,000 for spouses and dependent children are subject to medical review and approval by The MetLife.</t>
  </si>
  <si>
    <t>Section I:  9-10 Month or 9-month-equivalent (explain factors for 9-month-equivalent if used)</t>
  </si>
  <si>
    <t>2009-10</t>
  </si>
  <si>
    <t>Enterprise-Ozark Community College</t>
  </si>
  <si>
    <t>State College of Florida, Manatee-Sarasota</t>
  </si>
  <si>
    <t>Georgia Highlands College</t>
  </si>
  <si>
    <t>Georgia Northwestern Technical College</t>
  </si>
  <si>
    <t>University of Maryland, Baltimore County</t>
  </si>
  <si>
    <t>Community College of Baltimore County (all campuses)</t>
  </si>
  <si>
    <t>Montgomery College (all campuses)</t>
  </si>
  <si>
    <t>College of Southern Maryland</t>
  </si>
  <si>
    <t>Caldwell Community College &amp; Technical Institute</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</si>
  <si>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</si>
  <si>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</si>
  <si>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</si>
  <si>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</si>
  <si>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</si>
  <si>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</si>
  <si>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</si>
  <si>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</si>
  <si>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</si>
  <si>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</si>
  <si>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</si>
  <si>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</si>
  <si>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</si>
  <si>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</si>
  <si>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</si>
  <si>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</si>
  <si>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</si>
  <si>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</si>
  <si>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</si>
  <si>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</si>
  <si>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</si>
  <si>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</si>
  <si>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</si>
  <si>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</si>
  <si>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</si>
  <si>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</si>
  <si>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</si>
  <si>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</si>
  <si>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</si>
  <si>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</si>
  <si>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</si>
  <si>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</si>
  <si>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</si>
  <si>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</si>
  <si>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Technology Center-Riverside Campus          </t>
  </si>
  <si>
    <t xml:space="preserve">Wes Watkins Technology Center                     </t>
  </si>
  <si>
    <t xml:space="preserve">Western Technology Center                         </t>
  </si>
  <si>
    <t>Northeast Technology Center-Claremore</t>
  </si>
  <si>
    <t xml:space="preserve">Spartanburg Community College </t>
  </si>
  <si>
    <t>Midwestern State University</t>
  </si>
  <si>
    <t>Tarleton State University</t>
  </si>
  <si>
    <t>Texas A&amp;M University-Commerce</t>
  </si>
  <si>
    <t>Texas State University-San Marcos</t>
  </si>
  <si>
    <t>228501B</t>
  </si>
  <si>
    <t>Brookhaven College (DCCCD)</t>
  </si>
  <si>
    <t>Eastfield College (DCCCD)</t>
  </si>
  <si>
    <t>Lone Star College System District</t>
  </si>
  <si>
    <t>North Lake College (DCCCD)</t>
  </si>
  <si>
    <t>Richland College (DCCCD)</t>
  </si>
  <si>
    <t>San Jacinto College</t>
  </si>
  <si>
    <t>St. Philip's College (ACCD)</t>
  </si>
  <si>
    <t>Tarrant County College</t>
  </si>
  <si>
    <t>Cedar Valley College (DCCCD)</t>
  </si>
  <si>
    <t>Howard College (HCJCD)</t>
  </si>
  <si>
    <t>Southwest Collegiate Institute for the Deaf (HCJCD)</t>
  </si>
  <si>
    <t>Bridgemont Community &amp; Technical College</t>
  </si>
  <si>
    <t>Kanawha Valley Community &amp; Technical College</t>
  </si>
  <si>
    <t>SREB States, 2009-10</t>
  </si>
  <si>
    <t>Public Two-Year Institutions, 2009-10</t>
  </si>
  <si>
    <t>Public Technical Institutes or Colleges, 2009-10</t>
  </si>
  <si>
    <t>Public Technical Institute or College 1, 2009-10</t>
  </si>
  <si>
    <t>Public Technical Institute or College 2, 2009-10</t>
  </si>
  <si>
    <t>Public Technical Institute or College size unknown, 2009-10</t>
  </si>
  <si>
    <t>Public Four-Year Colleges and Universities, 2009-10</t>
  </si>
  <si>
    <t>Public Four-Year 1 Universities, 2009-10</t>
  </si>
  <si>
    <t>Public Four-Year 2 Universities, 2009-10</t>
  </si>
  <si>
    <t>Public Four-Year 3 Universities, 2009-10</t>
  </si>
  <si>
    <t>Public Four-Year 4 Colleges and Universities, 2009-10</t>
  </si>
  <si>
    <t>Public Four-Year 5 Colleges and Universities, 2009-10</t>
  </si>
  <si>
    <t>Public Four-Year 6 Colleges and Universities, 2009-10</t>
  </si>
  <si>
    <t>All Two-Year, 2009-10</t>
  </si>
  <si>
    <t>Public Two-Year with Bachelor's, 2009-10</t>
  </si>
  <si>
    <t>Public Two-Year 1, 2009-10</t>
  </si>
  <si>
    <t>Public Two-Year 2, 2009-10</t>
  </si>
  <si>
    <t>Public Two-Year 3, 2009-10</t>
  </si>
  <si>
    <t>Public Two-Year Size Unknown, 2009-10</t>
  </si>
  <si>
    <t>Virginia Commonwealth University</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</si>
  <si>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</si>
  <si>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</si>
  <si>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</si>
  <si>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</si>
  <si>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</si>
  <si>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</si>
  <si>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</si>
  <si>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</si>
  <si>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</si>
  <si>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</si>
  <si>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</si>
  <si>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</si>
  <si>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</si>
  <si>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</si>
  <si>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</si>
  <si>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Table 165</t>
  </si>
  <si>
    <t>Table 166</t>
  </si>
  <si>
    <t>Table 167</t>
  </si>
  <si>
    <t>Table 168</t>
  </si>
  <si>
    <t>Table 169</t>
  </si>
  <si>
    <t>Table 170</t>
  </si>
  <si>
    <t>Table 171</t>
  </si>
  <si>
    <t>Table 172</t>
  </si>
  <si>
    <t>Table 173</t>
  </si>
  <si>
    <t>Table 174</t>
  </si>
  <si>
    <t>Table 175</t>
  </si>
  <si>
    <t>Table 176</t>
  </si>
  <si>
    <t>Table 177</t>
  </si>
  <si>
    <t>Table 178</t>
  </si>
  <si>
    <t>Table 179</t>
  </si>
  <si>
    <t>Table 180</t>
  </si>
  <si>
    <t>Table 181</t>
  </si>
  <si>
    <t>Table 182</t>
  </si>
  <si>
    <t>Table 183</t>
  </si>
  <si>
    <t>Table 184</t>
  </si>
  <si>
    <t>Table 185</t>
  </si>
  <si>
    <r>
      <t xml:space="preserve">Disability Insurance: employee may choose either or both: </t>
    </r>
    <r>
      <rPr>
        <b/>
        <sz val="8"/>
        <rFont val="Arial"/>
        <family val="2"/>
      </rPr>
      <t>Short-term Disability</t>
    </r>
    <r>
      <rPr>
        <sz val="8"/>
        <rFont val="Arial"/>
        <family val="2"/>
      </rPr>
      <t xml:space="preserve"> replaces up to 60% of your benefit salary (after tax premium). Employee may choose one of two levels: 30 day wait period coverage level; or 7 day wait period coverage level.
</t>
    </r>
    <r>
      <rPr>
        <b/>
        <sz val="8"/>
        <rFont val="Arial"/>
        <family val="2"/>
      </rPr>
      <t xml:space="preserve">Long-term Disability </t>
    </r>
    <r>
      <rPr>
        <sz val="8"/>
        <rFont val="Arial"/>
        <family val="2"/>
      </rPr>
      <t>replaces up to 60% of the employee's benefit salary. Long Term Care Insurance (after tax premium).</t>
    </r>
  </si>
  <si>
    <r>
      <t>All salary paid employees contribute to Social Security (</t>
    </r>
    <r>
      <rPr>
        <b/>
        <sz val="8"/>
        <rFont val="Arial"/>
        <family val="2"/>
      </rPr>
      <t>FICA</t>
    </r>
    <r>
      <rPr>
        <sz val="8"/>
        <rFont val="Arial"/>
        <family val="2"/>
      </rPr>
      <t xml:space="preserve">) based on their retirement plan membership. Employees who are members of the Employees' Retirement System pay into total </t>
    </r>
    <r>
      <rPr>
        <b/>
        <sz val="8"/>
        <rFont val="Arial"/>
        <family val="2"/>
      </rPr>
      <t>FICA</t>
    </r>
    <r>
      <rPr>
        <sz val="8"/>
        <rFont val="Arial"/>
        <family val="2"/>
      </rPr>
      <t xml:space="preserve"> (7.65% of their salary - 6.20%</t>
    </r>
    <r>
      <rPr>
        <b/>
        <sz val="8"/>
        <rFont val="Arial"/>
        <family val="2"/>
      </rPr>
      <t xml:space="preserve"> FICA</t>
    </r>
    <r>
      <rPr>
        <sz val="8"/>
        <rFont val="Arial"/>
        <family val="2"/>
      </rPr>
      <t xml:space="preserve">; 1.45% </t>
    </r>
    <r>
      <rPr>
        <b/>
        <sz val="8"/>
        <rFont val="Arial"/>
        <family val="2"/>
      </rPr>
      <t>Medicare</t>
    </r>
    <r>
      <rPr>
        <sz val="8"/>
        <rFont val="Arial"/>
        <family val="2"/>
      </rPr>
      <t xml:space="preserve">). Employees who are members of the Teachers' Retirement System pay into the </t>
    </r>
    <r>
      <rPr>
        <b/>
        <sz val="8"/>
        <rFont val="Arial"/>
        <family val="2"/>
      </rPr>
      <t>High Option Medicare</t>
    </r>
    <r>
      <rPr>
        <sz val="8"/>
        <rFont val="Arial"/>
        <family val="2"/>
      </rPr>
      <t xml:space="preserve"> portion of </t>
    </r>
    <r>
      <rPr>
        <b/>
        <sz val="8"/>
        <rFont val="Arial"/>
        <family val="2"/>
      </rPr>
      <t>FICA</t>
    </r>
    <r>
      <rPr>
        <sz val="8"/>
        <rFont val="Arial"/>
        <family val="2"/>
      </rPr>
      <t xml:space="preserve"> (1.45% of their salary). DTAE matches the appropriate contribution as required by law.</t>
    </r>
  </si>
  <si>
    <t>Faculty members and certain non-classified staff are eligible to join the Optional Retirement Program (ORP) in lieu of the Teacher Retirement Program (TRS). The state contribution to TRS is 6.644% of salary and 6.4% for ORP. Employee contributions under both plans are tax-deferred until withdrawn. ORP is a 403(b) defined contribution plan while TRS is a 401(a) defined benefit plan. Vesting periods are one and five years respectively.</t>
  </si>
  <si>
    <r>
      <t xml:space="preserve">Employee Life Insurance coverage: employee may elect 1X pay (maximum coverage is $300,000) ,2X, 3X, 4X, 5X, 6X, 7X, 8X, or 9X pay of their annual salary (maximum coverage is $500,000).
If the employee chooses Life Insurance coverage for themself, then they may elect:
</t>
    </r>
    <r>
      <rPr>
        <b/>
        <sz val="8"/>
        <rFont val="Arial"/>
        <family val="2"/>
      </rPr>
      <t xml:space="preserve">Spouse Life </t>
    </r>
    <r>
      <rPr>
        <sz val="8"/>
        <rFont val="Arial"/>
        <family val="2"/>
      </rPr>
      <t xml:space="preserve">at $6,000, $12,000, $30,000, $60,000,  $100,000, $150,000, $200,000, or $250, 000  levels (Spouse coverage cannot be greater than employee coverage amount); and/or
</t>
    </r>
    <r>
      <rPr>
        <b/>
        <sz val="8"/>
        <rFont val="Arial"/>
        <family val="2"/>
      </rPr>
      <t>Child Life:</t>
    </r>
    <r>
      <rPr>
        <sz val="8"/>
        <rFont val="Arial"/>
        <family val="2"/>
      </rPr>
      <t xml:space="preserve">  Coverage from live birth to six months is the lesser of 1) elected child like option or 2) $6,000; or                                                                  Elect coverage amounts: $3,000, $6,000, $10,000, $15,000, or $20,000 levels (Coverage amounts for six months to age 19 or age 26 if a full-time student).
</t>
    </r>
    <r>
      <rPr>
        <b/>
        <sz val="8"/>
        <rFont val="Arial"/>
        <family val="2"/>
      </rPr>
      <t>Accidental Death &amp; Dismemberment Life Insurance coverage (AD&amp;D)</t>
    </r>
    <r>
      <rPr>
        <sz val="8"/>
        <rFont val="Arial"/>
        <family val="2"/>
      </rPr>
      <t>: employee may elect:1X, 2X, 3X, 4X, 5X, 6X, or 7X pay of their annual salary.</t>
    </r>
  </si>
  <si>
    <r>
      <t xml:space="preserve">Peach State Reserves - The Georgia Retirement Investment Plan 457 and 401(k). Both plans offer a lineup of 15 no-load mutual funds, 1 stable value option, 3 pre-mixed portfolios, AND a Self-Directed Brokerage account option. </t>
    </r>
    <r>
      <rPr>
        <b/>
        <sz val="8"/>
        <rFont val="Arial"/>
        <family val="2"/>
      </rPr>
      <t>Tax Shelter Annuity Plan</t>
    </r>
    <r>
      <rPr>
        <sz val="8"/>
        <rFont val="Arial"/>
        <family val="2"/>
      </rPr>
      <t xml:space="preserve"> </t>
    </r>
    <r>
      <rPr>
        <b/>
        <sz val="8"/>
        <rFont val="Arial"/>
        <family val="2"/>
      </rPr>
      <t xml:space="preserve">403(b) - </t>
    </r>
    <r>
      <rPr>
        <sz val="8"/>
        <rFont val="Arial"/>
        <family val="2"/>
      </rPr>
      <t xml:space="preserve">Employees may choose a 403b account from AIG VALIC - (770) 395-4779- www.valic.com  </t>
    </r>
    <r>
      <rPr>
        <b/>
        <sz val="8"/>
        <rFont val="Arial"/>
        <family val="2"/>
      </rPr>
      <t>Legal Insurance</t>
    </r>
    <r>
      <rPr>
        <sz val="8"/>
        <rFont val="Arial"/>
        <family val="2"/>
      </rPr>
      <t xml:space="preserve"> provides for single or family coverage for debt collection defense, adoptions, divorce, wills, estate administration, and more.  </t>
    </r>
    <r>
      <rPr>
        <b/>
        <sz val="8"/>
        <rFont val="Arial"/>
        <family val="2"/>
      </rPr>
      <t>Employee Specified Critical Illness and Spouse Specified Critical Illness</t>
    </r>
    <r>
      <rPr>
        <sz val="8"/>
        <rFont val="Arial"/>
        <family val="2"/>
      </rPr>
      <t xml:space="preserve"> A benefit plan designed for individuals or families to recover from the financial stress of surviving a critical illness or condition.  Long Term Care is a benefit plan that provides a wide range of personal care, health, and social services for people of all ages who suffer a chronic disease or long-lasting disability.</t>
    </r>
  </si>
  <si>
    <t>Estimated state contribution 0.87% of salary.</t>
  </si>
  <si>
    <t xml:space="preserve">Flexible Spending Accounts (medical and dependent day care reimbursement accounts), Limited Purpose Flexible Spending Accounts (for vision, dental and preventive care only) and Long Term Care: all paid for by the employee. Health Savings Accounts: special portable savings/spending account owned by the employee; both employer and employee contribute to account (voluntary for employee); used to satisfy high deductible associated with the Health Investor Health Plans. </t>
  </si>
  <si>
    <t>For four-year public institutions, each governing board has the authority to develop policies for the waiver of tuition &amp; room/board for faculty, employees &amp; their dependents. (Maryland Annotated Code, Section 15-106). At the University System of Maryland (USM), Morgan State University &amp; St. Mary's College of Maryland,  tuition remission benefits are available for faculty, staff , their spouses &amp; their dependent children at the employee's institution. In addition, all public four-year institutions have an inter-institutional tuition waiver agreement that extends to employees and their dependents (spouses are excluded from this agreement).  Regular status employees in the USM and St. Mary's College of Maryland may register for up to eight credits per semester (50% FTE or more prorated) with tuition remitted at any of the 11 institutions in the System &amp; at Morgan State University, St. Mary's College, &amp; Baltimore City Community College.  At USM (policy effective date 1992) &amp; Morgan, tuition remission</t>
  </si>
  <si>
    <t xml:space="preserve"> benefits for spouses &amp; dependent children of employees are available only after the employee has been at the institution for two years prior to the anticipated date of registration for coursework.  At St. Mary's College, employees hired after December 2001 must occupy a permanent position for at least two years before their spouses &amp; dependent children are eligible to receive this benefit. At community colleges: The Maryland Annotated Code, Education (Section 16-106) provides that any full-time classified employee who enrolls in classes at the community college is exempt from payment of tuition.</t>
  </si>
  <si>
    <t>Maryland Higher Education Commission, (continued)</t>
  </si>
  <si>
    <t xml:space="preserve">Employee Assistance Program  - Provides employees and their families with free, short-term counseling for personal or work related issues. Annual Leave - Full time employees accure 7.00 hours biweekly. 9-month faculty are not eligible for Annual Leave.                                              Sick Leave - Full time employees accrue biweekly 4 hours in years 0-5, 5 hours in years &gt; 5-10, 6 hours in years &gt;10-20, 7 hours for over 20 years. Holidays - paid holidays which include:  Dr. Martin Luther King, Jr.’s Birthday, Memorial Day, Independence Day, Labor Day, Veteran’s Day, Thanksgiving Day, Friday after Thanksgiving, plus Winter Holiday break which includes all regularly scheduled work days from December 24 through New Years Day. </t>
  </si>
  <si>
    <t>University of Delaware</t>
  </si>
  <si>
    <t>Delaware State University</t>
  </si>
  <si>
    <t>Delaware Technical and Community College--Owens</t>
  </si>
  <si>
    <t>Delaware Technical and Community College--Stanton-Wilmington</t>
  </si>
  <si>
    <t>Delaware Technical and Community College--Terry</t>
  </si>
  <si>
    <t>Delaware Higher Education Office</t>
  </si>
  <si>
    <t>The State of DE Board of Pension Trustees administers the DE Public Employees' Retirement System which consists of 9 retirement plans. Employees are fully vested after 5 years state service.  The University offers TIAA-CREF 403(b) and 457(b) plans in lieu of participation in the state pension plan.</t>
  </si>
  <si>
    <t xml:space="preserve">State employees can choose from options including: Blue Cross Blue Shied, Aetna, or First State Basic Plan  State covers full cost of basic plan and employee pays for options. </t>
  </si>
  <si>
    <t>If coverage is elected, employees pay full cost.</t>
  </si>
  <si>
    <t>State University System of Florida:
Florida Atlantic University</t>
  </si>
  <si>
    <t>State University System of Florida:
Florida International University</t>
  </si>
  <si>
    <t>State University System of Florida:
University of Florida</t>
  </si>
  <si>
    <t>State University System of Florida:
University of Florida - continued</t>
  </si>
  <si>
    <t>New Ben</t>
  </si>
  <si>
    <t>Old Ben</t>
  </si>
  <si>
    <t>Change</t>
  </si>
  <si>
    <t>Public Institutions, SREB States, 2010-11</t>
  </si>
  <si>
    <t>SREB States, 2010-11</t>
  </si>
  <si>
    <t>Public Two-Year Institutions, 2010-11</t>
  </si>
  <si>
    <t>Public Technical Institutes or Colleges, 2010-11</t>
  </si>
  <si>
    <t>Public Technical Institute or College size unknown, 2010-11</t>
  </si>
  <si>
    <t>Public Technical Institute or College 2, 2010-11</t>
  </si>
  <si>
    <t>Public Technical Institute or College 1, 2010-11</t>
  </si>
  <si>
    <t>Public Two-Year Size Unknown, 2010-11</t>
  </si>
  <si>
    <t>Public Two-Year 3, 2010-11</t>
  </si>
  <si>
    <t>Public Two-Year 2, 2010-11</t>
  </si>
  <si>
    <t>Public Two-Year 1, 2010-11</t>
  </si>
  <si>
    <t>Public Two-Year with Bachelor's, 2010-11</t>
  </si>
  <si>
    <t>All Two-Year, 2010-11</t>
  </si>
  <si>
    <t>Public Four-Year 6 Colleges and Universities, 2010-11</t>
  </si>
  <si>
    <t>Public Four-Year 5 Colleges and Universities, 2010-11</t>
  </si>
  <si>
    <t>Public Four-Year 4 Colleges and Universities, 2010-11</t>
  </si>
  <si>
    <t>Public Four-Year 3 Universities, 2010-11</t>
  </si>
  <si>
    <t>Public Four-Year 2 Universities, 2010-11</t>
  </si>
  <si>
    <t>Public Four-Year 1 Universities, 2010-11</t>
  </si>
  <si>
    <t>Public Four-Year Colleges and Universities, 2010-11</t>
  </si>
  <si>
    <t>Southern Crescent Technical College</t>
  </si>
  <si>
    <t>Wiregrass Georgia Technical College</t>
  </si>
  <si>
    <t>Louisiana Technical College-ALL CAMPUSES</t>
  </si>
  <si>
    <t>All Tech Col</t>
  </si>
  <si>
    <t>Acadiana Technical College</t>
  </si>
  <si>
    <t>Capital Area Technical College</t>
  </si>
  <si>
    <t>Central LA Technical College</t>
  </si>
  <si>
    <t>Northeast Technical College</t>
  </si>
  <si>
    <t>Northshore Technical College</t>
  </si>
  <si>
    <t>Northwest LA Technical College</t>
  </si>
  <si>
    <t>South Central LA Technical College</t>
  </si>
  <si>
    <t>Texas A &amp; M University - Central Texas</t>
  </si>
  <si>
    <t>Texas A &amp; M University - San Antonio</t>
  </si>
  <si>
    <t>870501</t>
  </si>
  <si>
    <t>University of North Texas at Dallas</t>
  </si>
  <si>
    <t>10b</t>
  </si>
  <si>
    <t>All CC x Bland</t>
  </si>
  <si>
    <t>11b</t>
  </si>
  <si>
    <t>Note</t>
  </si>
  <si>
    <t>Met the criteria for Four-Year 2 in 2010-11.</t>
  </si>
  <si>
    <t>Met the criteria for Four-Year 3 in 2010-11.</t>
  </si>
  <si>
    <t>Met criteria for Two-Year 1 in 2009-10 and 2010-11.</t>
  </si>
  <si>
    <t>Reclassified: met the criteria for Two-Year 2 in 2008-09, 2009-10 and 2010-11.</t>
  </si>
  <si>
    <t>Met the criteria for Two-Year 1 in 2010-11.</t>
  </si>
  <si>
    <t>Met criteria for Two-Year 2 in 2009-10 and 2010-11.</t>
  </si>
  <si>
    <t>Met the criteria for Two-Year 2 in 2010-11.</t>
  </si>
  <si>
    <t>Met the criteria for Technical Institute 1 in 2010-11.</t>
  </si>
  <si>
    <t>Met the criteria for Four-Year 4 in 2009-10 and 2010-11.</t>
  </si>
  <si>
    <t>Met the criteria for Four-Year 5 in 2010-11.</t>
  </si>
  <si>
    <t>Reclassifed: met the criteria for Two-Year 2 in 2008-09, 2009-10 and 2010-11.</t>
  </si>
  <si>
    <t>Met the criteria for Two-Year 1 in 2009-10 and 2010-11.</t>
  </si>
  <si>
    <t>Met the criteria for Two-Year 1 in 2009-10 and in 2010-11.</t>
  </si>
  <si>
    <t xml:space="preserve">Daytona State College </t>
  </si>
  <si>
    <t>Formerly Daytona Beacah Community College.</t>
  </si>
  <si>
    <t>Reclassified: met the criteria for Two-Year with Bachelor's in 2008-09, 2009-10 and 2010-11</t>
  </si>
  <si>
    <t xml:space="preserve">Broward College </t>
  </si>
  <si>
    <t>Formerly Broward Community College.</t>
  </si>
  <si>
    <t>College of Central Florida</t>
  </si>
  <si>
    <t xml:space="preserve">Reclassified: met the criteria for Two-Year 1 in 2008-09, 2009-10 and 2010-11. Formerly Central Florida Community College. </t>
  </si>
  <si>
    <t>Florida State College at Jacksonville</t>
  </si>
  <si>
    <t>Formerly Florida Community College at Jacksonville. Met the criteria for Two-Year with Bachelor's in 2009-10 and 2010-11.</t>
  </si>
  <si>
    <t xml:space="preserve">Indian River State College </t>
  </si>
  <si>
    <t>Formerly Indian River Community College. Met the criteria for Two-Year with Bachelor's in 2009-10 and 2010-11.</t>
  </si>
  <si>
    <t xml:space="preserve">Palm Beach State College </t>
  </si>
  <si>
    <t>Formerly Palm Beach Community College.</t>
  </si>
  <si>
    <t xml:space="preserve">Pensacola State College </t>
  </si>
  <si>
    <t>Formerly Pensacola Junior College.</t>
  </si>
  <si>
    <t xml:space="preserve">Polk State College </t>
  </si>
  <si>
    <t>Formerly Polk Community College.</t>
  </si>
  <si>
    <t xml:space="preserve">Santa Fe College </t>
  </si>
  <si>
    <t>Formerly Santa Fe Community College.</t>
  </si>
  <si>
    <t>Seminole State College of Florida</t>
  </si>
  <si>
    <t>Formerly Seminole Community College.</t>
  </si>
  <si>
    <t>Met the criteria for Two-Year 1 in  2010-11.</t>
  </si>
  <si>
    <t>Met the criteria for Four-Year 4 in 2010-11.</t>
  </si>
  <si>
    <t>Met the criteria for Four-Year 5 in 2009-10 and 2010-11.</t>
  </si>
  <si>
    <t>Reclassified: met the criteria for Two-Year with Bachelors in 2008-09, 2009-10 and 2010-11.</t>
  </si>
  <si>
    <t>Met the criteria for Two-Year with Bachelor's in 2009-10. Did not award any bachelor's for 2010-11 analysis, looses flag.</t>
  </si>
  <si>
    <t>Met the criteria for Two-Year with Bachelor's in 2009-10.</t>
  </si>
  <si>
    <t>Met the criteria for Two-Year 2 in 2009-10 and 2010-11.</t>
  </si>
  <si>
    <t>In start up phase.</t>
  </si>
  <si>
    <t>Reclassified: met criteria for Technical Institute or College 1 in 2008-09, 2009-10 and 2010-11.</t>
  </si>
  <si>
    <t>Is the merger of Flint River Tech. Col. and Griffin Tech.l Col.</t>
  </si>
  <si>
    <t>Is the merger of East Central Tech. Col. and Valdosta Tech. Col.</t>
  </si>
  <si>
    <t>Reclassified: met the criteria for Four-Year 3 in 2008-09, 2009-10 and 2010-11.</t>
  </si>
  <si>
    <t>Reclassified: met the criteria for Four-Year 4 in 2008-09, 2009-10 and 2010-11.</t>
  </si>
  <si>
    <t>Met the criteria for classification as a Two-Year 2 in 2010-11.</t>
  </si>
  <si>
    <t>Met the criteria for Four-year 5 in 2010-11.</t>
  </si>
  <si>
    <t>Met the criteria for Four-Year 6 in 2009-10 and 2010-11.</t>
  </si>
  <si>
    <t>Reclassified: Met criteria for Two-Year 1 in 2008-09, 2009-10 and 2010-11.</t>
  </si>
  <si>
    <t>Now includes LTC-Jefferson Campus and LTC-W.Jefferson Campus</t>
  </si>
  <si>
    <t>Reclassified: Met criteria for Two-Year 2 in 2008-09, 2009-10 and 2010-11.</t>
  </si>
  <si>
    <t>Now includes LTC Tallulah Campus</t>
  </si>
  <si>
    <t>Now includes LTC Ascension Campus</t>
  </si>
  <si>
    <t>Includes LTC Acadian, C.B. Coreil, Evangaline, Gulf Area, Lafayette, T.H. Harris and Teche Area Campuses</t>
  </si>
  <si>
    <t>Includes LTC Baton Rouge, Folkes, Jumonville Memorial and Westside Campuses</t>
  </si>
  <si>
    <t>Includes LTC Alexandria, Avoyelles, Huey P. Long, Lamar-Salter, Morgan Smith, Oakdale and Shelby M. Jackson campuses</t>
  </si>
  <si>
    <t>Includes LTC Bastrop, Delta/Ouachita, North Central, Northeast Louisiana and Ruston Campuses</t>
  </si>
  <si>
    <t>Includes LTC Florida Parishes, Hammond Area and Sullivan Campuses</t>
  </si>
  <si>
    <t>Includes LTC Mansfield, Nachitoches, Northwest Louisiana, Sabine Valley and Shreveport/Bossier campuses.</t>
  </si>
  <si>
    <t>Includes LTC Laforuche, Rivers Parishes and Young Memorial Campuses</t>
  </si>
  <si>
    <t>Met the criteria for  Four-Year 2 in 2009-10 and 2010-11.</t>
  </si>
  <si>
    <t>Reclassified: Met the criteria for Two-Year 2 in 2008-09, 2009-10 and 2010-11.</t>
  </si>
  <si>
    <t>Reclassified: Met criteria for Two-Year 1 2008-09, 2009-10 and 2010-11.</t>
  </si>
  <si>
    <t>Met the criteria for Four-Year 1 in 2009-10 and 2010-11.</t>
  </si>
  <si>
    <t>Reclassified, meets the criteria for Two-Year 1.</t>
  </si>
  <si>
    <t>Reclassified, meets the criteria for Two-Year 2.</t>
  </si>
  <si>
    <t>Reclassified, meets the criteria for Two-Year 3.</t>
  </si>
  <si>
    <t>Met criteria for Two-Year with Bachelor's in 2009-10 and 2010-11.</t>
  </si>
  <si>
    <t>Met the criteria for Two-Year 1 institution in 2009-10 and 2010-11.</t>
  </si>
  <si>
    <t>Met the criteria for Two-Year 2 institution in 2010-11.</t>
  </si>
  <si>
    <t xml:space="preserve">Canadian Valley Technology Center                 </t>
  </si>
  <si>
    <t xml:space="preserve">Francis Tuttle Technology Center                  </t>
  </si>
  <si>
    <t xml:space="preserve">Great Plains Technology Center                    </t>
  </si>
  <si>
    <t>Met criteria for Technical Institute or College 2 in 2009-10 and 2010-11.</t>
  </si>
  <si>
    <t xml:space="preserve">Metro Technology Centers                          </t>
  </si>
  <si>
    <t xml:space="preserve">Tulsa Technology Center-Broken Arrow Campus       </t>
  </si>
  <si>
    <t xml:space="preserve">Autry Technology Center                           </t>
  </si>
  <si>
    <t>New institution in start up phase. (Met the criteria for Technical Institute 2 but they'd like it in "start up" for one more year.)</t>
  </si>
  <si>
    <t>Met the criteria for Two-year 1 in 2010-11.</t>
  </si>
  <si>
    <t>Met the criteria for Two-year 1 in 2009-10 and 2010-11.</t>
  </si>
  <si>
    <t>Met the criteria for Four-Year 2 in 2009-10 and 2010-11.</t>
  </si>
  <si>
    <t>Met the criteria for Technical Institute or College 1 in 2010-11.</t>
  </si>
  <si>
    <t>Met the criteria for Four-Year 1 in 2010-11.</t>
  </si>
  <si>
    <t>Reclassified: Met the criteria for Four-Year 3 in 2008-09, 2009-10 and 2010-11.</t>
  </si>
  <si>
    <t>Met the criteria for Four-Year 3 in 2009-10 and 2010-11.</t>
  </si>
  <si>
    <t>New fall 2009. Met the criteria for Four-Year 4 in 2010-11.</t>
  </si>
  <si>
    <t>New fall 2009. Met the criteria for Four-Year 5 in 2010-11.</t>
  </si>
  <si>
    <t>New fall 2009. No degrees yet granted.</t>
  </si>
  <si>
    <t>Reclassified: met criteria for SREB Four-Year 4 in 2008-09, 2009-10 and 2010-11.</t>
  </si>
  <si>
    <t>Mountwest Community &amp; Technical College</t>
  </si>
  <si>
    <t>Formerly Marshall Community &amp; Technical College</t>
  </si>
  <si>
    <t>Met criteria for Two-Year 2 in 2010-11.</t>
  </si>
  <si>
    <t>Met the critieria for Two-Year 2 in 2009-10 and 2010-11.</t>
  </si>
  <si>
    <t>Reclassified: met the criteria for Four-Year 5 in 2008-09, 2009-10 and 2010-11.</t>
  </si>
  <si>
    <r>
      <rPr>
        <b/>
        <sz val="8"/>
        <rFont val="Arial"/>
        <family val="2"/>
      </rPr>
      <t>Annual Leave</t>
    </r>
    <r>
      <rPr>
        <sz val="8"/>
        <rFont val="Arial"/>
        <family val="2"/>
      </rPr>
      <t xml:space="preserve"> - 12-month Faculty are eligible for 6.769 hours biweekly. 9-month faculty are not eligible for Annual Leave. 
</t>
    </r>
    <r>
      <rPr>
        <b/>
        <sz val="8"/>
        <rFont val="Arial"/>
        <family val="2"/>
      </rPr>
      <t>Sick Leave</t>
    </r>
    <r>
      <rPr>
        <sz val="8"/>
        <rFont val="Arial"/>
        <family val="2"/>
      </rPr>
      <t xml:space="preserve"> - All Faculty are eligible for 4 hours biweekly. Holidays - 9 paid holidays plus 2 floating holidays each year: New Year's Day, Dr. Martin Luther King, Jr.’s Birthday, Memorial Day, Independence Day, Labor Day, Veteran’s Day, Thanksgiving Day, Friday after Thanksgiving, Christmas Day, 2 floating holidays to be named each year. Flexible Spending Accounts (medical reimbursement and dependant day care) are available to reimburse employees on approved expenditures.  Monies for reimbursements come out on a pre-tax basis. You may contribute a minimum of $60 and a maximum of $5000 per plan year. Limited Purpose Flexible Spending Accounts (for vision, dental and preventative care only) available for those enrolled in HIHP medical plans. You may contribute a minimum of $60 and a maximum of $5000 per plan year. </t>
    </r>
    <r>
      <rPr>
        <b/>
        <sz val="8"/>
        <rFont val="Arial"/>
        <family val="2"/>
      </rPr>
      <t/>
    </r>
  </si>
  <si>
    <r>
      <rPr>
        <b/>
        <sz val="8"/>
        <rFont val="Arial"/>
        <family val="2"/>
      </rPr>
      <t>Personal Accident Insurance, and Long Term Care:</t>
    </r>
    <r>
      <rPr>
        <sz val="8"/>
        <rFont val="Arial"/>
        <family val="2"/>
      </rPr>
      <t xml:space="preserve"> all paid for by the employee.
</t>
    </r>
    <r>
      <rPr>
        <b/>
        <sz val="8"/>
        <rFont val="Arial"/>
        <family val="2"/>
      </rPr>
      <t xml:space="preserve">Employee Assistance Program </t>
    </r>
    <r>
      <rPr>
        <sz val="8"/>
        <rFont val="Arial"/>
        <family val="2"/>
      </rPr>
      <t xml:space="preserve">- Provides employees and their familes with access to short term counseling, qualified referrals, adoption information, legal consultation, financial services consultation, and wellness programs. 
</t>
    </r>
    <r>
      <rPr>
        <b/>
        <sz val="8"/>
        <rFont val="Arial"/>
        <family val="2"/>
      </rPr>
      <t xml:space="preserve">Domestic Partner Health Insurance Stipend Program </t>
    </r>
    <r>
      <rPr>
        <sz val="8"/>
        <rFont val="Arial"/>
        <family val="2"/>
      </rPr>
      <t xml:space="preserve">- Provides employees a stipend to defray the costs of health insurance for their domestic partner. This benefit is available to same sex and opposite sex partners. 
</t>
    </r>
    <r>
      <rPr>
        <b/>
        <sz val="8"/>
        <rFont val="Arial"/>
        <family val="2"/>
      </rPr>
      <t xml:space="preserve">The Advocacy Program </t>
    </r>
    <r>
      <rPr>
        <sz val="8"/>
        <rFont val="Arial"/>
        <family val="2"/>
      </rPr>
      <t xml:space="preserve">- The Advocacy Program is available to assist all who are victims of actual or threatened violence, including, but not limited to, battery, assault, stalking, sexual battery (date rape, acquaintance rape, stranger rape), and attempted sexual battery. The Advocacy Program was established to assure that victims receive whatever help is needed to deal with the trauma of being victimized. </t>
    </r>
  </si>
  <si>
    <r>
      <t xml:space="preserve">Florida Retirement System (FRS) Pension Plan: This system pays a guaranteed lifetime monthly benefit using a formula based on salary and service time. Employees vest (qualify for a benefit) after 6 years of service. Normal retirement: 30 years of service, regardless of age, or vesting at age 62. The employer makes 100% of the contributions; employees cannot contribute to this plan.  Employees may contribute to 403(b) plans. Eligibility for participation is immediate.  Florida Retirement System (FRS) Investment Plan:  Plan pays based on account balance at termination of employment, which consists of any cumulative employer contributions, dividends and interest, and investment gains or losses, less expenses. Employees vest after one year. The plan is non-contributory. Employees may contribute to </t>
    </r>
    <r>
      <rPr>
        <strike/>
        <sz val="8"/>
        <rFont val="Arial"/>
        <family val="2"/>
      </rPr>
      <t>specific</t>
    </r>
    <r>
      <rPr>
        <sz val="8"/>
        <rFont val="Arial"/>
        <family val="2"/>
      </rPr>
      <t xml:space="preserve"> 403(b) plans.  Optional Retirement Program (ORP):  For all faculty and administrative/ professional positions. Benefit based on employer contributions and employees have the option to make voluntary contributions. Employees may contribute to specific 403(b) plans. Employees are eligible for immediate participation. Immediate vesting.
</t>
    </r>
  </si>
  <si>
    <r>
      <t>Disability Insurance (30 and 90 day elimination periods) is available to employees in regularly established positions within the first 60 days of employment. Employees must work at least 20 hours per week to qualify for participation. A Short Term Disability plan</t>
    </r>
    <r>
      <rPr>
        <u/>
        <sz val="8"/>
        <rFont val="Arial"/>
        <family val="2"/>
      </rPr>
      <t xml:space="preserve"> through the State</t>
    </r>
    <r>
      <rPr>
        <sz val="8"/>
        <rFont val="Arial"/>
        <family val="2"/>
      </rPr>
      <t xml:space="preserve"> is available to Executive Service employees at no cost to the employee. Colonial Life and Accident Insurance Company offers an Accident/Disability Plan.</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</si>
  <si>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(PPO, pre-paid and indemnity options), </t>
    </r>
    <r>
      <rPr>
        <b/>
        <sz val="8"/>
        <rFont val="Arial"/>
        <family val="2"/>
      </rPr>
      <t>Vision Care Insurance</t>
    </r>
    <r>
      <rPr>
        <sz val="8"/>
        <rFont val="Arial"/>
        <family val="2"/>
      </rPr>
      <t xml:space="preserve">,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Executive Service employees pay a small portion of the health insurance cost. </t>
    </r>
  </si>
  <si>
    <r>
      <t xml:space="preserve">Florida Retirement System (FRS) Pension Plan: This system pays based on pay and service time. Employees vest after 6 years of service. Normal retirement: 30 years of service, regardless of age (25 years for Special Risk members), or vesting at age 62 (age 55 for Special Risk members). The plan is non-contributory. Eligibility for participation is immediate.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</si>
  <si>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(pre-paid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t>
    </r>
  </si>
  <si>
    <r>
      <rPr>
        <b/>
        <sz val="8"/>
        <rFont val="Arial"/>
        <family val="2"/>
      </rPr>
      <t>Florida Retirement System (FRS) Pension Plan</t>
    </r>
    <r>
      <rPr>
        <sz val="8"/>
        <rFont val="Arial"/>
        <family val="2"/>
      </rPr>
      <t xml:space="preserve">: The plan benefit is based on pay and service time. Employees vest after 6 years of service. Normal retirement: 30 years of service, regardless of age, or at age 62. The plan is non-contributory. Eligibility for participation is immediate. Vested participants may elect participation in DROP upon reaching normal retirement eligibility.  
</t>
    </r>
    <r>
      <rPr>
        <b/>
        <sz val="8"/>
        <rFont val="Arial"/>
        <family val="2"/>
      </rPr>
      <t>Optional Retirement Program (ORP)</t>
    </r>
    <r>
      <rPr>
        <sz val="8"/>
        <rFont val="Arial"/>
        <family val="2"/>
      </rPr>
      <t>: For all faculty and administrative/ professional positions. (College of Medicine faculty are mandatory participants). Immediate vesting. Employees choose a specific ORP provider company. Employees have the option to make voluntary contributions. Employees are eligible for immediate participation.</t>
    </r>
    <r>
      <rPr>
        <b/>
        <sz val="8"/>
        <rFont val="Arial"/>
        <family val="2"/>
      </rPr>
      <t xml:space="preserve"> 
Florida Retirement System (FRS) Investment Plan</t>
    </r>
    <r>
      <rPr>
        <sz val="8"/>
        <rFont val="Arial"/>
        <family val="2"/>
      </rPr>
      <t>: The plan pays based on account balance at termination of employment, which consists of any cumulative employer contributions, dividends and interest, and investment gains or losses, less expenses. Employees vest after one year. The plan is non-contributory.</t>
    </r>
  </si>
  <si>
    <r>
      <rPr>
        <b/>
        <sz val="8"/>
        <rFont val="Arial"/>
        <family val="2"/>
      </rPr>
      <t>Health</t>
    </r>
    <r>
      <rPr>
        <sz val="8"/>
        <rFont val="Arial"/>
        <family val="2"/>
      </rPr>
      <t xml:space="preserve"> 
The state offers several health plan options:  a standard PPO Plan; several standard HMO Plans; a Health Investor Health Plan (HIHP) PPO and HMO plan (High Deductible) with an option to participate in a Health Savings Account.  If the HIHP plans are chosen, the University will contribute to the employee's HSA account.  The PPO plan choices are indemnity health plans.  HMO plan choices vary by county. Plans are co-contributory; with the employee portion is tax free. Eligibility for enrollment is within 60 days of hire. 
</t>
    </r>
    <r>
      <rPr>
        <b/>
        <sz val="8"/>
        <rFont val="Arial"/>
        <family val="2"/>
      </rPr>
      <t xml:space="preserve">Dental
</t>
    </r>
    <r>
      <rPr>
        <sz val="8"/>
        <rFont val="Arial"/>
        <family val="2"/>
      </rPr>
      <t xml:space="preserve">The state offers 1 Dental PPO option , 3 Indemnity plans and 5 Dental HMO (pre-paid) plans. The employee pays 100% of the premiums, which come out on a pre-tax basis.  Eligibility for enrollment is within 60 days of hire. 
</t>
    </r>
    <r>
      <rPr>
        <b/>
        <sz val="8"/>
        <rFont val="Arial"/>
        <family val="2"/>
      </rPr>
      <t>Hospital Income Supplement</t>
    </r>
    <r>
      <rPr>
        <sz val="8"/>
        <rFont val="Arial"/>
        <family val="2"/>
      </rPr>
      <t xml:space="preserve">, </t>
    </r>
    <r>
      <rPr>
        <b/>
        <sz val="8"/>
        <rFont val="Arial"/>
        <family val="2"/>
      </rPr>
      <t>Cancer and Intensive Care Insuranc</t>
    </r>
    <r>
      <rPr>
        <sz val="8"/>
        <rFont val="Arial"/>
        <family val="2"/>
      </rPr>
      <t xml:space="preserve">e </t>
    </r>
    <r>
      <rPr>
        <b/>
        <sz val="8"/>
        <rFont val="Arial"/>
        <family val="2"/>
      </rPr>
      <t>are</t>
    </r>
    <r>
      <rPr>
        <sz val="8"/>
        <rFont val="Arial"/>
        <family val="2"/>
      </rPr>
      <t xml:space="preserve"> paid 100% by the employee. Eligibility for enrollment is within 60 days of hire. Coverage effective the first month following initial premium.  </t>
    </r>
  </si>
  <si>
    <r>
      <rPr>
        <b/>
        <sz val="8"/>
        <rFont val="Arial"/>
        <family val="2"/>
      </rPr>
      <t>Short Term</t>
    </r>
    <r>
      <rPr>
        <sz val="8"/>
        <rFont val="Arial"/>
        <family val="2"/>
      </rPr>
      <t xml:space="preserve">
Colonial Life and Accident Insurance Company offers an Accident/Disability Plan.  Benefits can be paid up to 24 months. Eligibility for enrollment is within 60 days of hire.  A Short Term Disability plan is available to Executive Service employees at no cost to the employee. 
</t>
    </r>
    <r>
      <rPr>
        <b/>
        <sz val="8"/>
        <rFont val="Arial"/>
        <family val="2"/>
      </rPr>
      <t>Long Term</t>
    </r>
    <r>
      <rPr>
        <sz val="8"/>
        <rFont val="Arial"/>
        <family val="2"/>
      </rPr>
      <t xml:space="preserve">
Gabor offers Disability Insurance (30 and 90 day elimination periods) to employees in regularly established positions within the first 60 days of employment. Employees must work at least 20 hours per week to qualify for participation. 
</t>
    </r>
  </si>
  <si>
    <t>F.I.C.A. taxes calculated at the rate effective January 1, 2010. Includes taxes for Medicare and Old-Age, Survivors and Disability Insurance (OASDI).</t>
  </si>
  <si>
    <t>Employees covered by the Public Employees' Retirement System may participate in the group medical insurance program. Premiums for this coverage are handled through payroll deduction. Eligibility is available on date of employment and upon completion of required forms.</t>
  </si>
  <si>
    <t xml:space="preserve">Mississippi Community College Board </t>
  </si>
  <si>
    <t>Teachers &amp; State Employees Retirement System (TSER) -- State contributes 9.15% of salary. Optional Retirement Plans (Teacher Insurance Annuity Association (TIAA), etc.) -- State contributes 12.26% of salary.</t>
  </si>
  <si>
    <t>State contributes $410.80 per month.</t>
  </si>
  <si>
    <t>Participation required; standard state contribution rates (6.20% of salary up to $106,800).</t>
  </si>
  <si>
    <t xml:space="preserve">Basic health, major medical, and life insurance are provided by Public Employees Insurance Agency. </t>
  </si>
  <si>
    <t>2010-11</t>
  </si>
  <si>
    <t>Heatlh</t>
  </si>
  <si>
    <t>Total for 9-10 Month Contracts</t>
  </si>
  <si>
    <t>Table 185 (cont.)</t>
  </si>
  <si>
    <t>Table 164</t>
  </si>
  <si>
    <t>NA</t>
  </si>
  <si>
    <r>
      <rPr>
        <b/>
        <sz val="8"/>
        <rFont val="Arial"/>
        <family val="2"/>
      </rPr>
      <t>Short Term</t>
    </r>
    <r>
      <rPr>
        <sz val="8"/>
        <rFont val="Arial"/>
        <family val="2"/>
      </rPr>
      <t xml:space="preserve">
Colonial Life and Accident Insurance Company offers an Accident/Disability Plan.  Benefits can be paid up to 24 months. Eligibility for enrollment is within 60 days of hire.                       A Short Term (one year) Disability plan is available to Executive Service employees at no cost to the employee. 
</t>
    </r>
    <r>
      <rPr>
        <b/>
        <sz val="8"/>
        <rFont val="Arial"/>
        <family val="2"/>
      </rPr>
      <t>Long Term</t>
    </r>
    <r>
      <rPr>
        <sz val="8"/>
        <rFont val="Arial"/>
        <family val="2"/>
      </rPr>
      <t xml:space="preserve">
Gabor offers Disability Insurance (30 and 90 day elimination periods) to employees in regularly established positions within the first 60 days of employment. Employees must work at least 20 hours per week to qualify for participation.                                            </t>
    </r>
    <r>
      <rPr>
        <b/>
        <sz val="8"/>
        <rFont val="Arial"/>
        <family val="2"/>
      </rPr>
      <t>Long Term Care</t>
    </r>
    <r>
      <rPr>
        <sz val="8"/>
        <rFont val="Arial"/>
        <family val="2"/>
      </rPr>
      <t xml:space="preserve"> (Nursing home or assisted living) Insurance premiums paid 100% by employee. 
</t>
    </r>
  </si>
  <si>
    <r>
      <t xml:space="preserve">If you were born in 1937 or earlier, you are eligible for full social security benefits at age 65. If you were born 1938 or later, your eligibility age for full social security benefits is based on your year of birth. Individuals may receive a reduced benefit at age 62.                                                                 </t>
    </r>
    <r>
      <rPr>
        <b/>
        <sz val="8"/>
        <rFont val="Arial"/>
        <family val="2"/>
      </rPr>
      <t xml:space="preserve">FICA Alternative Plan </t>
    </r>
    <r>
      <rPr>
        <sz val="8"/>
        <rFont val="Arial"/>
        <family val="2"/>
      </rPr>
      <t xml:space="preserve">for OPS employees. 7.5% deduciton to a 401(a) investment plan in lieu of standard FICA deduction. Immediate vesting. </t>
    </r>
  </si>
  <si>
    <t xml:space="preserve">Unless an employee is exempt, participation in the Teachers Retirement System of Georgia is mandatory. This defined benefit program requires a 5.53% contribution from the employee’s salary, with the employer matching at 10.28%. Vesting occurs after 10 years. Principal administrators and faculty can opt to participate in what is known as the Optional Retirement Plan (ORP). The ORP program requires a 5% employee contribution and 9.24% employer contribution. Vesting occurs immediately. </t>
  </si>
  <si>
    <t xml:space="preserve">The Board of Regents and its institutions offer a wide variety of health plans. These are  PPO, HDHP/HSA and HMO. Offerings vary from one institution to another based on availability.    </t>
  </si>
  <si>
    <t>Group life insurance of $25,000 is provided at no cost to the employee. In addition, employees also receive $25,000 in basic accidental death and dismemberment insurance, if eligible. Supplemental coverage of one, two, three, four and five times an employee’s annual salary (rounded to the nearest $1,000) is provided at the employee’s cost. Rates are dependent upon the employee’s age. When an employee purchases supplemental life insurance, the employee automatically receives the equivalent amount of insurance for accidental death and dismemberment (AD&amp;D). The monthly premium rate for supplemental life insurance includes a flat payment of $.03 per $1,000 of salary for AD&amp;D. Life insurance for dependents is available in the amount of $10,000 for a spouse and $10,000 for each dependent. The cost is $4.70/month. Additional supplemental  life insurance policies may be offered by individual  institutions.</t>
  </si>
  <si>
    <t>Participation in the Tuition Assistance Program (TAP) shall be available to full-time benefits-eligible employees who have successfully completed at least six months of employment in a benefits-eligible position as of the date of the TAP application. Full time employees may enroll in up to nine academic semester credit hours for each of the three designated semester periods: fall semester, spring semester, and summer semester. Tuition assistance is the waiver of tuition and the waiver of certain fees.</t>
  </si>
  <si>
    <r>
      <t xml:space="preserve">Florida Retirement System </t>
    </r>
    <r>
      <rPr>
        <b/>
        <sz val="8"/>
        <rFont val="Arial"/>
        <family val="2"/>
      </rPr>
      <t>(FRS) Pension Plan:</t>
    </r>
    <r>
      <rPr>
        <sz val="8"/>
        <rFont val="Arial"/>
        <family val="2"/>
      </rPr>
      <t xml:space="preserve"> This system pays based on pay and service time. Employees vest after 6 years of service. Normal retirement: 30 years of service, regardless of age, or at age 62. The plan is non-contributory. Eligibility for participation is immediate. Vested participants may elect participation in DROP  at age 62.  </t>
    </r>
    <r>
      <rPr>
        <b/>
        <sz val="8"/>
        <rFont val="Arial"/>
        <family val="2"/>
      </rPr>
      <t>Optional Retirement Program (ORP</t>
    </r>
    <r>
      <rPr>
        <sz val="8"/>
        <rFont val="Arial"/>
        <family val="2"/>
      </rPr>
      <t xml:space="preserve">): For all faculty and eligible exempt </t>
    </r>
    <r>
      <rPr>
        <sz val="8"/>
        <rFont val="Arial"/>
        <family val="2"/>
      </rPr>
      <t>positions. Immediate vesting. Employees may make voluntary contributions</t>
    </r>
    <r>
      <rPr>
        <strike/>
        <sz val="8"/>
        <rFont val="Arial"/>
        <family val="2"/>
      </rPr>
      <t>e</t>
    </r>
    <r>
      <rPr>
        <sz val="8"/>
        <rFont val="Arial"/>
        <family val="2"/>
      </rPr>
      <t xml:space="preserve"> to specific 403(b) plans. </t>
    </r>
    <r>
      <rPr>
        <sz val="8"/>
        <rFont val="Arial"/>
        <family val="2"/>
      </rPr>
      <t xml:space="preserve">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  Employer contributions are mandatory and rates are set each year by the legislature for all plans.</t>
    </r>
  </si>
  <si>
    <r>
      <rPr>
        <b/>
        <sz val="8"/>
        <rFont val="Arial"/>
        <family val="2"/>
      </rPr>
      <t xml:space="preserve">Health </t>
    </r>
    <r>
      <rPr>
        <sz val="8"/>
        <rFont val="Arial"/>
        <family val="2"/>
      </rPr>
      <t xml:space="preserve">
The state offers several health plan options:  a standard PPO Plan; </t>
    </r>
    <r>
      <rPr>
        <sz val="8"/>
        <rFont val="Arial"/>
        <family val="2"/>
      </rPr>
      <t>standard HMO Plan</t>
    </r>
    <r>
      <rPr>
        <strike/>
        <sz val="8"/>
        <rFont val="Arial"/>
        <family val="2"/>
      </rPr>
      <t>s</t>
    </r>
    <r>
      <rPr>
        <sz val="8"/>
        <rFont val="Arial"/>
        <family val="2"/>
      </rPr>
      <t xml:space="preserve">; a Point-of-Servie HMO;  Health Investor Health Plan (HIHP) PPO and (2) HMO plans (High Deductible) with an option to participate in a Health Savings Account.  If the HIHP plans are chosen, the University will contribute to the employee's HSA account.  The PPO plan choices are indemnity health plans.  HMO plan choices vary by county. Plans are co-contributory; with the employee portion is tax free. Eligibility for enrollment is within 60 days of hire. 
</t>
    </r>
    <r>
      <rPr>
        <b/>
        <sz val="8"/>
        <rFont val="Arial"/>
        <family val="2"/>
      </rPr>
      <t xml:space="preserve">Dental
</t>
    </r>
    <r>
      <rPr>
        <sz val="8"/>
        <rFont val="Arial"/>
        <family val="2"/>
      </rPr>
      <t xml:space="preserve">The state offers 1 Dental PPO option , 3 Indemnity plans and 5 Dental HMO (pre-paid) plans. The employee pays 100% of the premiums, which come out on a pre-tax basis.  Eligibility for enrollment is within 60 days of hire. 
</t>
    </r>
    <r>
      <rPr>
        <b/>
        <sz val="8"/>
        <rFont val="Arial"/>
        <family val="2"/>
      </rPr>
      <t>Hospital Income Supplement</t>
    </r>
    <r>
      <rPr>
        <sz val="8"/>
        <rFont val="Arial"/>
        <family val="2"/>
      </rPr>
      <t xml:space="preserve">, </t>
    </r>
    <r>
      <rPr>
        <b/>
        <sz val="8"/>
        <rFont val="Arial"/>
        <family val="2"/>
      </rPr>
      <t>Cancer and Intensive Care Insuranc</t>
    </r>
    <r>
      <rPr>
        <sz val="8"/>
        <rFont val="Arial"/>
        <family val="2"/>
      </rPr>
      <t xml:space="preserve">e </t>
    </r>
    <r>
      <rPr>
        <b/>
        <sz val="8"/>
        <rFont val="Arial"/>
        <family val="2"/>
      </rPr>
      <t>are</t>
    </r>
    <r>
      <rPr>
        <sz val="8"/>
        <rFont val="Arial"/>
        <family val="2"/>
      </rPr>
      <t xml:space="preserve"> paid 100% by the employee. Eligibility for enrollment is within 60 days of hire. Coverage effective the first month following initial premium. </t>
    </r>
  </si>
  <si>
    <t>Descriptions of Benefits Public Institutions, 2010-11</t>
  </si>
  <si>
    <r>
      <t>Basic Life (State Term Plan- Offered through Minnesota Life Insurance Company): Provides</t>
    </r>
    <r>
      <rPr>
        <u/>
        <sz val="8"/>
        <rFont val="Arial"/>
        <family val="2"/>
      </rPr>
      <t xml:space="preserve"> $25,000 </t>
    </r>
    <r>
      <rPr>
        <sz val="8"/>
        <rFont val="Arial"/>
        <family val="2"/>
      </rPr>
      <t xml:space="preserve">term life insurance and accidental death/ dismemberment insurance </t>
    </r>
    <r>
      <rPr>
        <u/>
        <sz val="8"/>
        <rFont val="Arial"/>
        <family val="2"/>
      </rPr>
      <t xml:space="preserve">at no cost for full fime employees. Prorated (based on FTE) contribution for part time employees who voluntarily elect the benefit. </t>
    </r>
    <r>
      <rPr>
        <sz val="8"/>
        <rFont val="Arial"/>
        <family val="2"/>
      </rPr>
      <t xml:space="preserve"> </t>
    </r>
    <r>
      <rPr>
        <sz val="8"/>
        <rFont val="Arial"/>
        <family val="2"/>
      </rPr>
      <t xml:space="preserve">Optional Term Life: Provides supplemental life insurance and accidental death/dismemberment insurance based on salary and age. Benefit is post-tax and premium is paid 100% by employee. Eligibility for enrollment is within 60 days of employment. Effective the first month following initial premium. </t>
    </r>
    <r>
      <rPr>
        <sz val="8"/>
        <rFont val="Arial"/>
        <family val="2"/>
      </rPr>
      <t>The Gabor Agency also offers three post-tax life insurance options to employees: Cash Value Life Insurance, Group Term Life Insurance and Universal Life Insurance. Gabor Universal Life and Group Term Life may also be purchased for the spouse and dependent children of employee.</t>
    </r>
  </si>
  <si>
    <t>Compensation for time lost and medical expenses for on the job injuries or death. If employment has restrictions or limitations, employee must notify supervisor.  Employee must notify supervisor if involved in a work-related accident.  Eligibility for Temporary Total Disability (TTD) An authorized medical care provider must keep an employee in "no work" status for more than 7 days for the employee to be eligible for this benefit. Note: This benefit is not payable if an employee is receiving unemployment compensation benefits.  TTD benefits equal 66 2/3 percent of the injured employee's average weekly wage up to a maximum established by the Legislature. This benefit is paid bi-weekly and can last for up to 104 weeks in combination with TPD benefits or until the employee reaches Maximum Medical Improvement, whichever comes first.  TTD benefits can be received for up to 104 weeks in combination with TPD benefits or until the employee reaches Maximum Medical Improvement, whichever comes first. Eligibility for Temporary Total Disability at 80 percent (TT@80%) An</t>
  </si>
  <si>
    <t xml:space="preserve"> authorized medical care provider must keep an employee in "no work" status for 7 days and indicate that the employee cannot work at all after that due to one of the following conditions: loss of arm, leg, hand, or foot, paraplegic, paraparetic, quadriplegic or blindness. Note: This benefit is not payable if an employee is receiving unemployment compensation benefits. TT@80 percent benefits equal 80 percent of the injured employee's average weekly wage up to a $700 maximum and are paid bi-weekly, not to exceed six (6) months from the date of accident. This benefit may be received for up to 26 weeks and then it reverts to TTD.  This benefit may be received for up to 26 weeks and then it reverts to TTD.  Temporary Partial Disability (TPD) An authorized medical care provider must keep an employee in "no work" status for more than 7 days for the employee to be eligible for this benefit. Then, after at least 7 days of "no work" status, the authorized medical provider releases the employee to return to work with restrictions.  TPD benefits are paid bi-weekly and are payable if an employee is earning less than </t>
  </si>
  <si>
    <t>80 percent of 80 percent of his/her average weekly wage and may not exceed 2/3 of his/her average weekly wage on date of accident. This benefit is payable until the employee reaches MMI. Unemployment compensation benefits may reduce this benefit.  This benefit is payable until the employee is no longer TPD and is subject to offset for Social Security Disability and Unemployment Compensation benefits. Death Benefits (DB) - Death Benefits are payable after the death of a person eligible for workers' compensation and when dependency is proven. Death must be a result of the workplace accident and be within one (1) year of the accident or death must be within five (5) years of the accident if the employee was on continuous disability. This benefit provides funeral expenses of up to $7,500 and monetary benefits of up $150,000 based on the deceased's average weekly wage and the dependent(s) receiving the compensation.</t>
  </si>
  <si>
    <r>
      <rPr>
        <b/>
        <sz val="8"/>
        <rFont val="Arial"/>
        <family val="2"/>
      </rPr>
      <t xml:space="preserve">Basic Life </t>
    </r>
    <r>
      <rPr>
        <sz val="8"/>
        <rFont val="Arial"/>
        <family val="2"/>
      </rPr>
      <t xml:space="preserve">
State Group Life Insurance is available through Minnesota Life Insurance Company.  Provides term life insurance and accidental death/ dismemberment insurance that is fully funded by the employer. Basic term insurance is equal to a flat $25,000. The plan is provided to all full-time benefit eligible class employees. Part-time benefit eligible class employees pay a protion of the premium based on their FTE.
</t>
    </r>
    <r>
      <rPr>
        <b/>
        <sz val="8"/>
        <rFont val="Arial"/>
        <family val="2"/>
      </rPr>
      <t xml:space="preserve">Optional Term Life
</t>
    </r>
    <r>
      <rPr>
        <sz val="8"/>
        <rFont val="Arial"/>
        <family val="2"/>
      </rPr>
      <t xml:space="preserve">Provides supplemental life insurance and accidental death/dismemberment insurance based on salary and age. The employee may elect up to 7 times their salary. Benefit is post-tax and premium is paid 100% by employee. Eligibility for enrollment is within 60 days of employment. Effective the first month following initial premium.           
</t>
    </r>
    <r>
      <rPr>
        <b/>
        <sz val="8"/>
        <rFont val="Arial"/>
        <family val="2"/>
      </rPr>
      <t>Additional Life Insurance</t>
    </r>
    <r>
      <rPr>
        <sz val="8"/>
        <rFont val="Arial"/>
        <family val="2"/>
      </rPr>
      <t xml:space="preserve">                    The Gabor Agency also offers three post-tax life insurance options to employees: Cash Value Life Insurance, Group Term Life Insurance and Universal Life Insurance. Gabor Universal Life and Group Term </t>
    </r>
  </si>
  <si>
    <t>Life may also be purchased for the spouse and dependent children of employee.</t>
  </si>
  <si>
    <r>
      <t xml:space="preserve">Workers' Compensation </t>
    </r>
    <r>
      <rPr>
        <sz val="8"/>
        <rFont val="Arial"/>
        <family val="2"/>
      </rPr>
      <t xml:space="preserve">covers all work related injuries when involved in a work-related task, at the place of employment, during regular work hours. All employees must notify their supervisor immediately if involved in a work related accident. There are five </t>
    </r>
    <r>
      <rPr>
        <b/>
        <sz val="8"/>
        <rFont val="Arial"/>
        <family val="2"/>
      </rPr>
      <t xml:space="preserve">benefits provided by Workers' Compensation, </t>
    </r>
    <r>
      <rPr>
        <sz val="8"/>
        <rFont val="Arial"/>
        <family val="2"/>
      </rPr>
      <t xml:space="preserve">which are medical treatment, light duty, disability leave, impairment benefits and attendant care. If the employee has restrictions or limitations, the Supervisor/Department will utilize the </t>
    </r>
    <r>
      <rPr>
        <b/>
        <sz val="8"/>
        <rFont val="Arial"/>
        <family val="2"/>
      </rPr>
      <t xml:space="preserve">Return to Work Program </t>
    </r>
    <r>
      <rPr>
        <sz val="8"/>
        <rFont val="Arial"/>
        <family val="2"/>
      </rPr>
      <t xml:space="preserve">and provide light duty to accommodate the restrictions and or limitations for the employee based on the medical documentation (DWC 25). Injured employees may be entitled to </t>
    </r>
    <r>
      <rPr>
        <b/>
        <sz val="8"/>
        <rFont val="Arial"/>
        <family val="2"/>
      </rPr>
      <t xml:space="preserve">Compensation </t>
    </r>
    <r>
      <rPr>
        <sz val="8"/>
        <rFont val="Arial"/>
        <family val="2"/>
      </rPr>
      <t xml:space="preserve">for time lost and medical expenses for on the job injuries or death. Eligibility for Temporary Total Disability (TTD) an authorized medical care provider must have certified in writing the employee is unable to work and the employee has exhausted the 40 hours of disability leave. TTD benefits equal 66 2/3 percent of the injured employee's average weekly wage up to a maximum </t>
    </r>
  </si>
  <si>
    <t xml:space="preserve">established by the Legislature. This benefit is paid bi-weekly and can last for up to 104 weeks in combination with TPD benefits or until the employee reaches Maximum Medical Improvement, whichever comes first. </t>
  </si>
  <si>
    <t>Florida College System</t>
  </si>
  <si>
    <t xml:space="preserve"> September 2012</t>
  </si>
  <si>
    <t>Public Institutions, SREB States, 2009-10</t>
  </si>
</sst>
</file>

<file path=xl/styles.xml><?xml version="1.0" encoding="utf-8"?>
<styleSheet xmlns="http://schemas.openxmlformats.org/spreadsheetml/2006/main">
  <numFmts count="13">
    <numFmt numFmtId="5" formatCode="&quot;$&quot;#,##0_);\(&quot;$&quot;#,##0\)"/>
    <numFmt numFmtId="43" formatCode="_(* #,##0.00_);_(* \(#,##0.00\);_(* &quot;-&quot;??_);_(@_)"/>
    <numFmt numFmtId="164" formatCode="0_)"/>
    <numFmt numFmtId="165" formatCode="_(* #,##0.0_);_(* \(#,##0.0\);_(* &quot;-&quot;??_);_(@_)"/>
    <numFmt numFmtId="166" formatCode="_(* #,##0_);_(* \(#,##0\);_(* &quot;-&quot;??_);_(@_)"/>
    <numFmt numFmtId="167" formatCode="&quot;$&quot;#,##0"/>
    <numFmt numFmtId="168" formatCode="0.0_)"/>
    <numFmt numFmtId="169" formatCode="0.0"/>
    <numFmt numFmtId="170" formatCode="#,##0.0"/>
    <numFmt numFmtId="171" formatCode="0.0%"/>
    <numFmt numFmtId="172" formatCode="0.000"/>
    <numFmt numFmtId="173" formatCode="#,##0.000_);\(#,##0.000\)"/>
    <numFmt numFmtId="174" formatCode="0.00_)"/>
  </numFmts>
  <fonts count="51">
    <font>
      <sz val="12"/>
      <name val="AGaramond"/>
    </font>
    <font>
      <sz val="10"/>
      <color theme="1"/>
      <name val="Arial"/>
      <family val="2"/>
    </font>
    <font>
      <sz val="12"/>
      <name val="AGaramond"/>
      <family val="3"/>
    </font>
    <font>
      <sz val="12"/>
      <name val="AGaramond"/>
      <family val="1"/>
    </font>
    <font>
      <sz val="8"/>
      <name val="Arial"/>
      <family val="2"/>
    </font>
    <font>
      <b/>
      <sz val="14"/>
      <name val="Arial"/>
      <family val="2"/>
    </font>
    <font>
      <sz val="10"/>
      <name val="Arial"/>
      <family val="2"/>
    </font>
    <font>
      <b/>
      <sz val="9"/>
      <name val="Arial"/>
      <family val="2"/>
    </font>
    <font>
      <b/>
      <sz val="12"/>
      <name val="Arial"/>
      <family val="2"/>
    </font>
    <font>
      <b/>
      <sz val="14"/>
      <color indexed="8"/>
      <name val="Arial"/>
      <family val="2"/>
    </font>
    <font>
      <vertAlign val="superscript"/>
      <sz val="8"/>
      <name val="Arial"/>
      <family val="2"/>
    </font>
    <font>
      <b/>
      <vertAlign val="superscript"/>
      <sz val="9"/>
      <name val="Arial"/>
      <family val="2"/>
    </font>
    <font>
      <sz val="8"/>
      <name val="AGaramond"/>
      <family val="1"/>
    </font>
    <font>
      <sz val="10"/>
      <color indexed="81"/>
      <name val="Tahoma"/>
      <family val="2"/>
    </font>
    <font>
      <b/>
      <sz val="10"/>
      <color indexed="81"/>
      <name val="Tahoma"/>
      <family val="2"/>
    </font>
    <font>
      <b/>
      <sz val="10"/>
      <color indexed="12"/>
      <name val="Arial"/>
      <family val="2"/>
    </font>
    <font>
      <sz val="12"/>
      <color indexed="8"/>
      <name val="Arial"/>
      <family val="2"/>
    </font>
    <font>
      <sz val="12"/>
      <name val="Arial"/>
      <family val="2"/>
    </font>
    <font>
      <sz val="14"/>
      <name val="Arial"/>
      <family val="2"/>
    </font>
    <font>
      <sz val="10"/>
      <color indexed="8"/>
      <name val="Arial"/>
      <family val="2"/>
    </font>
    <font>
      <b/>
      <sz val="10"/>
      <color indexed="10"/>
      <name val="ARIAL"/>
      <family val="2"/>
    </font>
    <font>
      <b/>
      <sz val="10"/>
      <name val="Arial"/>
      <family val="2"/>
    </font>
    <font>
      <sz val="10"/>
      <color indexed="12"/>
      <name val="Arial"/>
      <family val="2"/>
    </font>
    <font>
      <vertAlign val="superscript"/>
      <sz val="10"/>
      <name val="Arial"/>
      <family val="2"/>
    </font>
    <font>
      <b/>
      <sz val="8"/>
      <color indexed="81"/>
      <name val="Tahoma"/>
      <family val="2"/>
    </font>
    <font>
      <sz val="12"/>
      <color indexed="16"/>
      <name val="AGaramond"/>
      <family val="1"/>
    </font>
    <font>
      <b/>
      <sz val="12"/>
      <color indexed="10"/>
      <name val="AGaramond"/>
      <family val="1"/>
    </font>
    <font>
      <sz val="8"/>
      <color indexed="81"/>
      <name val="Tahoma"/>
      <family val="2"/>
    </font>
    <font>
      <b/>
      <i/>
      <sz val="10"/>
      <color indexed="12"/>
      <name val="Arial"/>
      <family val="2"/>
    </font>
    <font>
      <b/>
      <i/>
      <sz val="10"/>
      <color indexed="10"/>
      <name val="ARIAL"/>
      <family val="2"/>
    </font>
    <font>
      <sz val="10"/>
      <color indexed="10"/>
      <name val="Arial"/>
      <family val="2"/>
    </font>
    <font>
      <sz val="10"/>
      <color indexed="17"/>
      <name val="Arial"/>
      <family val="2"/>
    </font>
    <font>
      <b/>
      <sz val="8"/>
      <name val="Arial"/>
      <family val="2"/>
    </font>
    <font>
      <sz val="8"/>
      <name val="Arial"/>
      <family val="2"/>
    </font>
    <font>
      <sz val="12"/>
      <name val="AGaramond"/>
      <family val="3"/>
    </font>
    <font>
      <i/>
      <sz val="8"/>
      <name val="Arial"/>
      <family val="2"/>
    </font>
    <font>
      <b/>
      <i/>
      <sz val="8"/>
      <name val="Arial"/>
      <family val="2"/>
    </font>
    <font>
      <sz val="9"/>
      <name val="Arial"/>
      <family val="2"/>
    </font>
    <font>
      <b/>
      <sz val="10"/>
      <color rgb="FFC00000"/>
      <name val="Arial"/>
      <family val="2"/>
    </font>
    <font>
      <sz val="8"/>
      <color indexed="8"/>
      <name val="Tahoma"/>
      <family val="2"/>
    </font>
    <font>
      <sz val="10"/>
      <color rgb="FF0000FF"/>
      <name val="Arial"/>
      <family val="2"/>
    </font>
    <font>
      <b/>
      <sz val="10"/>
      <color rgb="FF0000FF"/>
      <name val="Arial"/>
      <family val="2"/>
    </font>
    <font>
      <sz val="11"/>
      <color theme="1"/>
      <name val="Calibri"/>
      <family val="2"/>
      <scheme val="minor"/>
    </font>
    <font>
      <sz val="8"/>
      <color theme="1"/>
      <name val="Calibri"/>
      <family val="2"/>
      <scheme val="minor"/>
    </font>
    <font>
      <sz val="8"/>
      <color theme="1"/>
      <name val="Arial"/>
      <family val="2"/>
    </font>
    <font>
      <b/>
      <i/>
      <sz val="10"/>
      <name val="Times New Roman"/>
      <family val="1"/>
    </font>
    <font>
      <b/>
      <i/>
      <sz val="10"/>
      <name val="Arial"/>
      <family val="2"/>
    </font>
    <font>
      <b/>
      <i/>
      <sz val="10"/>
      <color rgb="FFC00000"/>
      <name val="Arial"/>
      <family val="2"/>
    </font>
    <font>
      <b/>
      <i/>
      <sz val="10"/>
      <color rgb="FFC00000"/>
      <name val="Times New Roman"/>
      <family val="1"/>
    </font>
    <font>
      <u/>
      <sz val="8"/>
      <name val="Arial"/>
      <family val="2"/>
    </font>
    <font>
      <strike/>
      <sz val="8"/>
      <name val="Arial"/>
      <family val="2"/>
    </font>
  </fonts>
  <fills count="2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6"/>
        <bgColor indexed="64"/>
      </patternFill>
    </fill>
    <fill>
      <patternFill patternType="solid">
        <fgColor indexed="44"/>
        <bgColor indexed="64"/>
      </patternFill>
    </fill>
    <fill>
      <patternFill patternType="solid">
        <fgColor indexed="44"/>
        <bgColor indexed="42"/>
      </patternFill>
    </fill>
    <fill>
      <patternFill patternType="solid">
        <fgColor indexed="42"/>
        <bgColor indexed="64"/>
      </patternFill>
    </fill>
    <fill>
      <patternFill patternType="solid">
        <fgColor indexed="15"/>
        <bgColor indexed="64"/>
      </patternFill>
    </fill>
    <fill>
      <patternFill patternType="solid">
        <fgColor indexed="47"/>
        <bgColor indexed="42"/>
      </patternFill>
    </fill>
    <fill>
      <patternFill patternType="solid">
        <fgColor indexed="45"/>
        <bgColor indexed="64"/>
      </patternFill>
    </fill>
    <fill>
      <patternFill patternType="solid">
        <fgColor indexed="15"/>
        <bgColor indexed="42"/>
      </patternFill>
    </fill>
    <fill>
      <patternFill patternType="solid">
        <fgColor indexed="45"/>
        <bgColor indexed="42"/>
      </patternFill>
    </fill>
    <fill>
      <patternFill patternType="solid">
        <fgColor indexed="51"/>
        <bgColor indexed="64"/>
      </patternFill>
    </fill>
    <fill>
      <patternFill patternType="solid">
        <fgColor indexed="43"/>
        <bgColor indexed="64"/>
      </patternFill>
    </fill>
    <fill>
      <patternFill patternType="solid">
        <fgColor indexed="43"/>
        <bgColor indexed="42"/>
      </patternFill>
    </fill>
    <fill>
      <patternFill patternType="solid">
        <fgColor indexed="41"/>
        <bgColor indexed="64"/>
      </patternFill>
    </fill>
    <fill>
      <patternFill patternType="solid">
        <fgColor indexed="42"/>
        <bgColor indexed="42"/>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C00"/>
        <bgColor indexed="64"/>
      </patternFill>
    </fill>
    <fill>
      <patternFill patternType="solid">
        <fgColor rgb="FFFF99CC"/>
        <bgColor indexed="64"/>
      </patternFill>
    </fill>
  </fills>
  <borders count="59">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top/>
      <bottom style="thin">
        <color indexed="64"/>
      </bottom>
      <diagonal/>
    </border>
    <border>
      <left/>
      <right style="thin">
        <color indexed="8"/>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top style="thin">
        <color indexed="65"/>
      </top>
      <bottom/>
      <diagonal/>
    </border>
    <border>
      <left/>
      <right/>
      <top style="thin">
        <color indexed="64"/>
      </top>
      <bottom/>
      <diagonal/>
    </border>
    <border>
      <left/>
      <right style="thin">
        <color indexed="64"/>
      </right>
      <top/>
      <bottom/>
      <diagonal/>
    </border>
    <border>
      <left style="thin">
        <color indexed="8"/>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65"/>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65"/>
      </top>
      <bottom style="thin">
        <color indexed="64"/>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style="thin">
        <color indexed="65"/>
      </left>
      <right style="thin">
        <color indexed="8"/>
      </right>
      <top style="thin">
        <color indexed="8"/>
      </top>
      <bottom/>
      <diagonal/>
    </border>
    <border>
      <left style="thin">
        <color indexed="8"/>
      </left>
      <right style="thin">
        <color indexed="64"/>
      </right>
      <top style="thin">
        <color indexed="65"/>
      </top>
      <bottom/>
      <diagonal/>
    </border>
    <border>
      <left/>
      <right style="thin">
        <color indexed="65"/>
      </right>
      <top style="thin">
        <color indexed="8"/>
      </top>
      <bottom style="thin">
        <color indexed="8"/>
      </bottom>
      <diagonal/>
    </border>
    <border>
      <left/>
      <right style="thin">
        <color indexed="8"/>
      </right>
      <top style="thin">
        <color indexed="64"/>
      </top>
      <bottom/>
      <diagonal/>
    </border>
    <border>
      <left style="thin">
        <color indexed="8"/>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bottom/>
      <diagonal/>
    </border>
    <border>
      <left style="medium">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medium">
        <color indexed="64"/>
      </right>
      <top style="thin">
        <color indexed="64"/>
      </top>
      <bottom/>
      <diagonal/>
    </border>
  </borders>
  <cellStyleXfs count="45">
    <xf numFmtId="164" fontId="0" fillId="0" borderId="0"/>
    <xf numFmtId="43" fontId="3" fillId="0" borderId="0" applyFont="0" applyFill="0" applyBorder="0" applyAlignment="0" applyProtection="0"/>
    <xf numFmtId="43" fontId="2" fillId="0" borderId="0" applyFont="0" applyFill="0" applyBorder="0" applyAlignment="0" applyProtection="0"/>
    <xf numFmtId="173" fontId="2" fillId="0" borderId="0"/>
    <xf numFmtId="173" fontId="34" fillId="0" borderId="0"/>
    <xf numFmtId="173" fontId="34" fillId="0" borderId="0"/>
    <xf numFmtId="3" fontId="4" fillId="0" borderId="0"/>
    <xf numFmtId="164" fontId="2" fillId="0" borderId="0"/>
    <xf numFmtId="164" fontId="2" fillId="0" borderId="0"/>
    <xf numFmtId="164" fontId="2" fillId="0" borderId="0"/>
    <xf numFmtId="3" fontId="4" fillId="0" borderId="0"/>
    <xf numFmtId="164" fontId="2" fillId="0" borderId="0"/>
    <xf numFmtId="164" fontId="2" fillId="0" borderId="0"/>
    <xf numFmtId="37" fontId="33" fillId="0" borderId="0"/>
    <xf numFmtId="9" fontId="3" fillId="0" borderId="0" applyFont="0" applyFill="0" applyBorder="0" applyAlignment="0" applyProtection="0"/>
    <xf numFmtId="3" fontId="6" fillId="0" borderId="1" applyFont="0"/>
    <xf numFmtId="164" fontId="21" fillId="0" borderId="2" applyNumberFormat="0" applyFont="0" applyBorder="0" applyAlignment="0"/>
    <xf numFmtId="164" fontId="3" fillId="0" borderId="0"/>
    <xf numFmtId="173" fontId="2" fillId="0" borderId="0"/>
    <xf numFmtId="173" fontId="2" fillId="0" borderId="0"/>
    <xf numFmtId="43" fontId="3" fillId="0" borderId="0" applyFont="0" applyFill="0" applyBorder="0" applyAlignment="0" applyProtection="0"/>
    <xf numFmtId="164" fontId="3" fillId="0" borderId="0"/>
    <xf numFmtId="164" fontId="2"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4" fillId="0" borderId="0"/>
    <xf numFmtId="0" fontId="42" fillId="0" borderId="0"/>
    <xf numFmtId="164" fontId="2" fillId="0" borderId="0"/>
  </cellStyleXfs>
  <cellXfs count="656">
    <xf numFmtId="164" fontId="0" fillId="0" borderId="0" xfId="0"/>
    <xf numFmtId="164" fontId="6" fillId="0" borderId="0" xfId="0" applyFont="1"/>
    <xf numFmtId="37" fontId="7" fillId="0" borderId="3" xfId="0" applyNumberFormat="1" applyFont="1" applyBorder="1" applyAlignment="1" applyProtection="1">
      <alignment horizontal="center"/>
    </xf>
    <xf numFmtId="164" fontId="7" fillId="0" borderId="3" xfId="0" applyFont="1" applyBorder="1" applyAlignment="1" applyProtection="1">
      <alignment horizontal="center"/>
    </xf>
    <xf numFmtId="37" fontId="7" fillId="0" borderId="0" xfId="0" applyNumberFormat="1" applyFont="1" applyAlignment="1" applyProtection="1">
      <alignment horizontal="center"/>
    </xf>
    <xf numFmtId="37" fontId="6" fillId="0" borderId="0" xfId="0" applyNumberFormat="1" applyFont="1" applyAlignment="1" applyProtection="1">
      <alignment horizontal="left"/>
    </xf>
    <xf numFmtId="164" fontId="6" fillId="0" borderId="0" xfId="0" applyFont="1" applyAlignment="1" applyProtection="1">
      <alignment horizontal="left"/>
    </xf>
    <xf numFmtId="164" fontId="4" fillId="0" borderId="0" xfId="0" applyFont="1" applyAlignment="1" applyProtection="1">
      <alignment horizontal="left"/>
    </xf>
    <xf numFmtId="164" fontId="7" fillId="0" borderId="4" xfId="0" applyFont="1" applyBorder="1" applyAlignment="1" applyProtection="1">
      <alignment horizontal="center"/>
    </xf>
    <xf numFmtId="37" fontId="7" fillId="0" borderId="0" xfId="0" applyNumberFormat="1" applyFont="1" applyBorder="1" applyAlignment="1" applyProtection="1">
      <alignment horizontal="center"/>
    </xf>
    <xf numFmtId="164" fontId="7" fillId="0" borderId="5" xfId="0" applyFont="1" applyBorder="1" applyAlignment="1" applyProtection="1">
      <alignment horizontal="center"/>
    </xf>
    <xf numFmtId="168" fontId="7" fillId="0" borderId="4" xfId="0" applyNumberFormat="1" applyFont="1" applyBorder="1" applyAlignment="1" applyProtection="1">
      <alignment horizontal="center"/>
    </xf>
    <xf numFmtId="168" fontId="7" fillId="0" borderId="5" xfId="0" applyNumberFormat="1" applyFont="1" applyBorder="1" applyAlignment="1" applyProtection="1">
      <alignment horizontal="center"/>
    </xf>
    <xf numFmtId="164" fontId="6" fillId="0" borderId="3" xfId="0" applyFont="1" applyBorder="1" applyAlignment="1" applyProtection="1">
      <alignment horizontal="left"/>
    </xf>
    <xf numFmtId="164" fontId="6" fillId="0" borderId="6" xfId="0" applyFont="1" applyBorder="1" applyAlignment="1" applyProtection="1">
      <alignment horizontal="left"/>
    </xf>
    <xf numFmtId="37" fontId="7" fillId="0" borderId="6" xfId="0" applyNumberFormat="1" applyFont="1" applyBorder="1" applyAlignment="1" applyProtection="1">
      <alignment horizontal="center"/>
    </xf>
    <xf numFmtId="164" fontId="7" fillId="0" borderId="6" xfId="0" applyFont="1" applyBorder="1" applyAlignment="1" applyProtection="1">
      <alignment horizontal="center"/>
    </xf>
    <xf numFmtId="164" fontId="7" fillId="0" borderId="7" xfId="0" applyFont="1" applyBorder="1" applyAlignment="1" applyProtection="1">
      <alignment horizontal="center"/>
    </xf>
    <xf numFmtId="37" fontId="7" fillId="0" borderId="7" xfId="0" applyNumberFormat="1" applyFont="1" applyBorder="1" applyAlignment="1" applyProtection="1">
      <alignment horizontal="center"/>
    </xf>
    <xf numFmtId="164" fontId="7" fillId="0" borderId="8" xfId="0" applyFont="1" applyBorder="1" applyAlignment="1" applyProtection="1">
      <alignment horizontal="center"/>
    </xf>
    <xf numFmtId="168" fontId="7" fillId="0" borderId="8" xfId="0" applyNumberFormat="1" applyFont="1" applyBorder="1" applyAlignment="1" applyProtection="1">
      <alignment horizontal="center"/>
    </xf>
    <xf numFmtId="37" fontId="7" fillId="0" borderId="9" xfId="0" applyNumberFormat="1" applyFont="1" applyBorder="1" applyAlignment="1" applyProtection="1">
      <alignment horizontal="center"/>
    </xf>
    <xf numFmtId="37" fontId="7" fillId="0" borderId="10" xfId="0" applyNumberFormat="1" applyFont="1" applyBorder="1" applyAlignment="1" applyProtection="1">
      <alignment horizontal="center"/>
    </xf>
    <xf numFmtId="37" fontId="7" fillId="0" borderId="11" xfId="0" applyNumberFormat="1" applyFont="1" applyBorder="1" applyAlignment="1" applyProtection="1">
      <alignment horizontal="center"/>
    </xf>
    <xf numFmtId="164" fontId="7" fillId="0" borderId="0" xfId="0" applyFont="1" applyBorder="1" applyAlignment="1" applyProtection="1">
      <alignment horizontal="center"/>
    </xf>
    <xf numFmtId="164" fontId="6" fillId="0" borderId="0" xfId="0" applyFont="1" applyBorder="1" applyAlignment="1" applyProtection="1">
      <alignment horizontal="left"/>
    </xf>
    <xf numFmtId="37" fontId="7" fillId="0" borderId="12" xfId="0" applyNumberFormat="1" applyFont="1" applyBorder="1" applyAlignment="1" applyProtection="1">
      <alignment horizontal="centerContinuous"/>
    </xf>
    <xf numFmtId="169" fontId="6" fillId="0" borderId="5" xfId="1" applyNumberFormat="1" applyFont="1" applyBorder="1" applyAlignment="1" applyProtection="1">
      <alignment horizontal="right"/>
    </xf>
    <xf numFmtId="169" fontId="6" fillId="0" borderId="0" xfId="1" applyNumberFormat="1" applyFont="1" applyBorder="1" applyAlignment="1" applyProtection="1">
      <alignment horizontal="right"/>
    </xf>
    <xf numFmtId="169" fontId="6" fillId="0" borderId="8" xfId="1" applyNumberFormat="1" applyFont="1" applyBorder="1" applyAlignment="1" applyProtection="1">
      <alignment horizontal="right"/>
    </xf>
    <xf numFmtId="169" fontId="6" fillId="0" borderId="7" xfId="1" applyNumberFormat="1" applyFont="1" applyBorder="1" applyAlignment="1" applyProtection="1">
      <alignment horizontal="right"/>
    </xf>
    <xf numFmtId="167" fontId="6" fillId="0" borderId="0" xfId="0" applyNumberFormat="1" applyFont="1" applyBorder="1" applyAlignment="1" applyProtection="1">
      <alignment horizontal="right"/>
    </xf>
    <xf numFmtId="169" fontId="6" fillId="0" borderId="0" xfId="1" applyNumberFormat="1" applyFont="1" applyAlignment="1" applyProtection="1">
      <alignment horizontal="right"/>
    </xf>
    <xf numFmtId="167" fontId="6" fillId="0" borderId="3" xfId="0" applyNumberFormat="1" applyFont="1" applyBorder="1" applyAlignment="1" applyProtection="1">
      <alignment horizontal="right"/>
    </xf>
    <xf numFmtId="169" fontId="6" fillId="0" borderId="0" xfId="14" applyNumberFormat="1" applyFont="1" applyAlignment="1" applyProtection="1">
      <alignment horizontal="right"/>
    </xf>
    <xf numFmtId="172" fontId="6" fillId="0" borderId="0" xfId="1" applyNumberFormat="1" applyFont="1" applyAlignment="1" applyProtection="1">
      <alignment horizontal="right"/>
    </xf>
    <xf numFmtId="164" fontId="17" fillId="0" borderId="0" xfId="0" applyFont="1"/>
    <xf numFmtId="164" fontId="17" fillId="0" borderId="0" xfId="0" applyFont="1" applyAlignment="1" applyProtection="1">
      <alignment horizontal="centerContinuous"/>
    </xf>
    <xf numFmtId="164" fontId="17" fillId="0" borderId="0" xfId="0" applyFont="1" applyAlignment="1" applyProtection="1">
      <alignment horizontal="center"/>
    </xf>
    <xf numFmtId="164" fontId="4" fillId="0" borderId="3" xfId="0" applyFont="1" applyBorder="1" applyProtection="1"/>
    <xf numFmtId="164" fontId="4" fillId="0" borderId="0" xfId="0" applyFont="1" applyProtection="1"/>
    <xf numFmtId="164" fontId="4" fillId="0" borderId="0" xfId="0" applyFont="1" applyAlignment="1" applyProtection="1">
      <alignment horizontal="center"/>
    </xf>
    <xf numFmtId="164" fontId="18" fillId="0" borderId="0" xfId="0" applyFont="1" applyAlignment="1" applyProtection="1">
      <alignment horizontal="centerContinuous"/>
    </xf>
    <xf numFmtId="164" fontId="18" fillId="0" borderId="0" xfId="0" applyFont="1" applyAlignment="1" applyProtection="1">
      <alignment horizontal="center"/>
    </xf>
    <xf numFmtId="37" fontId="4" fillId="0" borderId="0" xfId="0" applyNumberFormat="1" applyFont="1" applyProtection="1"/>
    <xf numFmtId="37" fontId="6" fillId="0" borderId="0" xfId="0" applyNumberFormat="1" applyFont="1" applyAlignment="1" applyProtection="1">
      <alignment horizontal="center"/>
    </xf>
    <xf numFmtId="164" fontId="6" fillId="0" borderId="0" xfId="0" applyNumberFormat="1" applyFont="1" applyAlignment="1" applyProtection="1">
      <alignment horizontal="center"/>
    </xf>
    <xf numFmtId="168" fontId="6" fillId="0" borderId="0" xfId="0" applyNumberFormat="1" applyFont="1" applyAlignment="1" applyProtection="1">
      <alignment horizontal="center"/>
    </xf>
    <xf numFmtId="164" fontId="17" fillId="0" borderId="0" xfId="0" applyFont="1" applyAlignment="1">
      <alignment horizontal="centerContinuous"/>
    </xf>
    <xf numFmtId="164" fontId="6" fillId="0" borderId="0" xfId="0" applyFont="1" applyAlignment="1" applyProtection="1">
      <alignment horizontal="centerContinuous"/>
    </xf>
    <xf numFmtId="37" fontId="6" fillId="0" borderId="0" xfId="0" applyNumberFormat="1" applyFont="1" applyAlignment="1" applyProtection="1">
      <alignment horizontal="centerContinuous"/>
    </xf>
    <xf numFmtId="164" fontId="6" fillId="0" borderId="0" xfId="0" applyFont="1" applyProtection="1"/>
    <xf numFmtId="37" fontId="6" fillId="0" borderId="0" xfId="0" applyNumberFormat="1" applyFont="1" applyProtection="1"/>
    <xf numFmtId="164" fontId="17" fillId="0" borderId="0" xfId="0" applyFont="1" applyBorder="1"/>
    <xf numFmtId="164" fontId="6" fillId="0" borderId="0" xfId="0" applyFont="1" applyAlignment="1" applyProtection="1">
      <alignment horizontal="center"/>
    </xf>
    <xf numFmtId="37" fontId="17" fillId="0" borderId="0" xfId="0" applyNumberFormat="1" applyFont="1" applyAlignment="1" applyProtection="1">
      <alignment horizontal="center"/>
    </xf>
    <xf numFmtId="2" fontId="6" fillId="0" borderId="0" xfId="1" applyNumberFormat="1" applyFont="1" applyAlignment="1" applyProtection="1">
      <alignment horizontal="right"/>
    </xf>
    <xf numFmtId="164" fontId="17" fillId="0" borderId="0" xfId="0" applyFont="1" applyBorder="1" applyAlignment="1"/>
    <xf numFmtId="2" fontId="6" fillId="0" borderId="0" xfId="1" applyNumberFormat="1" applyFont="1" applyBorder="1" applyAlignment="1" applyProtection="1">
      <alignment horizontal="right"/>
    </xf>
    <xf numFmtId="37" fontId="6" fillId="0" borderId="7" xfId="0" applyNumberFormat="1" applyFont="1" applyBorder="1" applyAlignment="1" applyProtection="1">
      <alignment horizontal="left"/>
    </xf>
    <xf numFmtId="164" fontId="0" fillId="0" borderId="0" xfId="0" applyAlignment="1">
      <alignment horizontal="centerContinuous"/>
    </xf>
    <xf numFmtId="37" fontId="7" fillId="0" borderId="12" xfId="0" applyNumberFormat="1" applyFont="1" applyBorder="1" applyAlignment="1" applyProtection="1">
      <alignment horizontal="centerContinuous" wrapText="1"/>
    </xf>
    <xf numFmtId="164" fontId="7" fillId="0" borderId="12" xfId="0" applyFont="1" applyBorder="1" applyAlignment="1" applyProtection="1">
      <alignment horizontal="centerContinuous" wrapText="1"/>
    </xf>
    <xf numFmtId="164" fontId="7" fillId="0" borderId="12" xfId="0" applyFont="1" applyBorder="1" applyAlignment="1" applyProtection="1">
      <alignment horizontal="centerContinuous"/>
    </xf>
    <xf numFmtId="37" fontId="7" fillId="0" borderId="13" xfId="0" applyNumberFormat="1" applyFont="1" applyBorder="1" applyAlignment="1" applyProtection="1">
      <alignment horizontal="centerContinuous"/>
    </xf>
    <xf numFmtId="164" fontId="17" fillId="0" borderId="0" xfId="0" applyFont="1" applyBorder="1" applyAlignment="1">
      <alignment horizontal="centerContinuous"/>
    </xf>
    <xf numFmtId="37" fontId="18" fillId="0" borderId="0" xfId="0" applyNumberFormat="1" applyFont="1" applyAlignment="1" applyProtection="1">
      <alignment horizontal="centerContinuous"/>
    </xf>
    <xf numFmtId="37" fontId="7" fillId="0" borderId="13" xfId="0" applyNumberFormat="1" applyFont="1" applyBorder="1" applyAlignment="1" applyProtection="1">
      <alignment horizontal="centerContinuous" wrapText="1"/>
    </xf>
    <xf numFmtId="164" fontId="7" fillId="0" borderId="14" xfId="0" applyFont="1" applyBorder="1" applyAlignment="1" applyProtection="1">
      <alignment horizontal="centerContinuous"/>
    </xf>
    <xf numFmtId="164" fontId="7" fillId="0" borderId="10" xfId="0" applyFont="1" applyBorder="1" applyAlignment="1" applyProtection="1">
      <alignment horizontal="center"/>
    </xf>
    <xf numFmtId="164" fontId="7" fillId="0" borderId="11" xfId="0" applyFont="1" applyBorder="1" applyAlignment="1" applyProtection="1">
      <alignment horizontal="center"/>
    </xf>
    <xf numFmtId="164" fontId="4" fillId="0" borderId="7" xfId="0" applyFont="1" applyBorder="1" applyProtection="1"/>
    <xf numFmtId="164" fontId="7" fillId="0" borderId="0" xfId="0" applyFont="1" applyBorder="1" applyAlignment="1" applyProtection="1">
      <alignment horizontal="centerContinuous"/>
    </xf>
    <xf numFmtId="5" fontId="6" fillId="0" borderId="17" xfId="1" applyNumberFormat="1" applyFont="1" applyFill="1" applyBorder="1" applyAlignment="1" applyProtection="1">
      <alignment horizontal="right"/>
    </xf>
    <xf numFmtId="5" fontId="6" fillId="0" borderId="0" xfId="1" applyNumberFormat="1" applyFont="1" applyFill="1" applyBorder="1" applyAlignment="1" applyProtection="1">
      <alignment horizontal="right"/>
    </xf>
    <xf numFmtId="164" fontId="0" fillId="0" borderId="0" xfId="0" applyBorder="1" applyAlignment="1">
      <alignment horizontal="centerContinuous"/>
    </xf>
    <xf numFmtId="164" fontId="7" fillId="0" borderId="14" xfId="0" applyFont="1" applyBorder="1" applyAlignment="1" applyProtection="1">
      <alignment horizontal="centerContinuous" wrapText="1"/>
    </xf>
    <xf numFmtId="168" fontId="6" fillId="0" borderId="0" xfId="0" applyNumberFormat="1" applyFont="1" applyFill="1" applyAlignment="1" applyProtection="1">
      <alignment horizontal="center"/>
    </xf>
    <xf numFmtId="37" fontId="9" fillId="0" borderId="0" xfId="0" applyNumberFormat="1" applyFont="1" applyAlignment="1" applyProtection="1"/>
    <xf numFmtId="166" fontId="6" fillId="0" borderId="0" xfId="1" applyNumberFormat="1" applyFont="1" applyFill="1" applyBorder="1"/>
    <xf numFmtId="166" fontId="21" fillId="0" borderId="0" xfId="1" applyNumberFormat="1" applyFont="1" applyFill="1" applyBorder="1"/>
    <xf numFmtId="164" fontId="6" fillId="0" borderId="7" xfId="0" applyFont="1" applyBorder="1" applyAlignment="1" applyProtection="1">
      <alignment horizontal="left"/>
    </xf>
    <xf numFmtId="164" fontId="4" fillId="0" borderId="0" xfId="0" applyFont="1" applyBorder="1" applyAlignment="1" applyProtection="1">
      <alignment horizontal="left"/>
    </xf>
    <xf numFmtId="164" fontId="4" fillId="0" borderId="0" xfId="0" applyFont="1"/>
    <xf numFmtId="164" fontId="4" fillId="0" borderId="0" xfId="0" applyFont="1" applyBorder="1"/>
    <xf numFmtId="1" fontId="6" fillId="0" borderId="0" xfId="1" applyNumberFormat="1" applyFont="1" applyAlignment="1" applyProtection="1">
      <alignment horizontal="right"/>
    </xf>
    <xf numFmtId="169" fontId="6" fillId="0" borderId="0" xfId="1" applyNumberFormat="1" applyFont="1" applyFill="1" applyBorder="1" applyAlignment="1" applyProtection="1">
      <alignment horizontal="right"/>
    </xf>
    <xf numFmtId="49" fontId="10" fillId="0" borderId="0" xfId="1" applyNumberFormat="1" applyFont="1" applyFill="1" applyBorder="1" applyAlignment="1" applyProtection="1">
      <alignment horizontal="left"/>
    </xf>
    <xf numFmtId="3" fontId="6" fillId="0" borderId="0" xfId="1" applyNumberFormat="1" applyFont="1" applyFill="1" applyBorder="1" applyAlignment="1">
      <alignment horizontal="center"/>
    </xf>
    <xf numFmtId="169" fontId="6" fillId="4" borderId="0" xfId="1" applyNumberFormat="1" applyFont="1" applyFill="1" applyAlignment="1" applyProtection="1">
      <alignment horizontal="right"/>
    </xf>
    <xf numFmtId="169" fontId="6" fillId="0" borderId="0" xfId="1" applyNumberFormat="1" applyFont="1" applyFill="1" applyAlignment="1" applyProtection="1">
      <alignment horizontal="right"/>
    </xf>
    <xf numFmtId="1" fontId="23" fillId="0" borderId="0" xfId="1" applyNumberFormat="1" applyFont="1" applyFill="1" applyAlignment="1" applyProtection="1">
      <alignment horizontal="left"/>
    </xf>
    <xf numFmtId="166" fontId="15" fillId="0" borderId="0" xfId="1" applyNumberFormat="1" applyFont="1" applyFill="1" applyBorder="1" applyAlignment="1">
      <alignment horizontal="center"/>
    </xf>
    <xf numFmtId="0" fontId="6" fillId="0" borderId="0" xfId="1" applyNumberFormat="1" applyFont="1" applyFill="1" applyBorder="1" applyAlignment="1">
      <alignment horizontal="center"/>
    </xf>
    <xf numFmtId="3" fontId="6" fillId="0" borderId="17" xfId="0" applyNumberFormat="1" applyFont="1" applyFill="1" applyBorder="1"/>
    <xf numFmtId="3" fontId="6" fillId="0" borderId="17" xfId="0" applyNumberFormat="1" applyFont="1" applyFill="1" applyBorder="1" applyAlignment="1" applyProtection="1"/>
    <xf numFmtId="169" fontId="6" fillId="0" borderId="37" xfId="1" applyNumberFormat="1" applyFont="1" applyBorder="1" applyAlignment="1" applyProtection="1">
      <alignment horizontal="right"/>
    </xf>
    <xf numFmtId="5" fontId="6" fillId="0" borderId="7" xfId="1" applyNumberFormat="1" applyFont="1" applyFill="1" applyBorder="1" applyAlignment="1" applyProtection="1">
      <alignment horizontal="right"/>
    </xf>
    <xf numFmtId="49" fontId="23" fillId="0" borderId="0" xfId="1" applyNumberFormat="1" applyFont="1" applyAlignment="1" applyProtection="1">
      <alignment horizontal="left"/>
    </xf>
    <xf numFmtId="164" fontId="17" fillId="0" borderId="0" xfId="0" applyFont="1" applyAlignment="1">
      <alignment horizontal="center"/>
    </xf>
    <xf numFmtId="164" fontId="6" fillId="0" borderId="0" xfId="0" applyFont="1" applyAlignment="1">
      <alignment horizontal="center"/>
    </xf>
    <xf numFmtId="166" fontId="6" fillId="0" borderId="0" xfId="1" applyNumberFormat="1" applyFont="1" applyAlignment="1">
      <alignment horizontal="center"/>
    </xf>
    <xf numFmtId="170" fontId="6" fillId="0" borderId="0" xfId="1" applyNumberFormat="1" applyFont="1" applyBorder="1" applyAlignment="1" applyProtection="1">
      <alignment horizontal="center"/>
    </xf>
    <xf numFmtId="165" fontId="6" fillId="0" borderId="0" xfId="1" applyNumberFormat="1" applyFont="1" applyBorder="1" applyAlignment="1" applyProtection="1">
      <alignment horizontal="center"/>
    </xf>
    <xf numFmtId="169" fontId="17" fillId="0" borderId="0" xfId="0" applyNumberFormat="1" applyFont="1" applyAlignment="1">
      <alignment horizontal="center"/>
    </xf>
    <xf numFmtId="169" fontId="6" fillId="0" borderId="37" xfId="1" applyNumberFormat="1" applyFont="1" applyFill="1" applyBorder="1" applyAlignment="1" applyProtection="1">
      <alignment horizontal="right"/>
    </xf>
    <xf numFmtId="169" fontId="6" fillId="0" borderId="5" xfId="1" applyNumberFormat="1" applyFont="1" applyFill="1" applyBorder="1" applyAlignment="1" applyProtection="1">
      <alignment horizontal="right"/>
    </xf>
    <xf numFmtId="170" fontId="6" fillId="0" borderId="0" xfId="1" applyNumberFormat="1" applyFont="1" applyAlignment="1" applyProtection="1">
      <alignment horizontal="center"/>
    </xf>
    <xf numFmtId="170" fontId="6" fillId="0" borderId="0" xfId="1" applyNumberFormat="1" applyFont="1" applyFill="1" applyBorder="1" applyAlignment="1" applyProtection="1">
      <alignment horizontal="center"/>
    </xf>
    <xf numFmtId="170" fontId="6" fillId="0" borderId="7" xfId="1" applyNumberFormat="1" applyFont="1" applyBorder="1" applyAlignment="1" applyProtection="1">
      <alignment horizontal="center"/>
    </xf>
    <xf numFmtId="169" fontId="6" fillId="0" borderId="8" xfId="1" applyNumberFormat="1" applyFont="1" applyFill="1" applyBorder="1" applyAlignment="1" applyProtection="1">
      <alignment horizontal="right"/>
    </xf>
    <xf numFmtId="167" fontId="6" fillId="0" borderId="7" xfId="0" applyNumberFormat="1" applyFont="1" applyBorder="1" applyAlignment="1" applyProtection="1">
      <alignment horizontal="right"/>
    </xf>
    <xf numFmtId="164" fontId="25" fillId="0" borderId="0" xfId="0" applyFont="1"/>
    <xf numFmtId="169" fontId="6" fillId="0" borderId="0" xfId="14" applyNumberFormat="1" applyFont="1" applyFill="1" applyAlignment="1" applyProtection="1">
      <alignment horizontal="right"/>
    </xf>
    <xf numFmtId="2" fontId="6" fillId="0" borderId="0" xfId="1" applyNumberFormat="1" applyFont="1" applyFill="1" applyAlignment="1" applyProtection="1">
      <alignment horizontal="right"/>
    </xf>
    <xf numFmtId="169" fontId="6" fillId="0" borderId="7" xfId="1" applyNumberFormat="1" applyFont="1" applyFill="1" applyBorder="1" applyAlignment="1" applyProtection="1">
      <alignment horizontal="right"/>
    </xf>
    <xf numFmtId="166" fontId="22" fillId="0" borderId="0" xfId="1" applyNumberFormat="1" applyFont="1" applyAlignment="1">
      <alignment horizontal="center"/>
    </xf>
    <xf numFmtId="168" fontId="17" fillId="0" borderId="0" xfId="0" applyNumberFormat="1" applyFont="1"/>
    <xf numFmtId="169" fontId="6" fillId="0" borderId="0" xfId="1" quotePrefix="1" applyNumberFormat="1" applyFont="1" applyBorder="1" applyAlignment="1" applyProtection="1">
      <alignment horizontal="right"/>
    </xf>
    <xf numFmtId="169" fontId="6" fillId="4" borderId="0" xfId="1" applyNumberFormat="1" applyFont="1" applyFill="1" applyAlignment="1" applyProtection="1">
      <alignment horizontal="left"/>
    </xf>
    <xf numFmtId="169" fontId="6" fillId="0" borderId="0" xfId="1" quotePrefix="1" applyNumberFormat="1" applyFont="1" applyFill="1" applyAlignment="1" applyProtection="1">
      <alignment horizontal="right"/>
    </xf>
    <xf numFmtId="169" fontId="6" fillId="4" borderId="0" xfId="1" quotePrefix="1" applyNumberFormat="1" applyFont="1" applyFill="1" applyAlignment="1" applyProtection="1">
      <alignment horizontal="right"/>
    </xf>
    <xf numFmtId="169" fontId="6" fillId="0" borderId="0" xfId="1" quotePrefix="1" applyNumberFormat="1" applyFont="1" applyFill="1" applyAlignment="1" applyProtection="1">
      <alignment horizontal="left"/>
    </xf>
    <xf numFmtId="164" fontId="17" fillId="0" borderId="0" xfId="0" applyFont="1" applyFill="1" applyBorder="1"/>
    <xf numFmtId="164" fontId="7" fillId="0" borderId="3" xfId="0" applyFont="1" applyFill="1" applyBorder="1" applyAlignment="1" applyProtection="1">
      <alignment horizontal="center"/>
    </xf>
    <xf numFmtId="168" fontId="7" fillId="0" borderId="0" xfId="0" applyNumberFormat="1" applyFont="1" applyFill="1" applyBorder="1" applyAlignment="1" applyProtection="1">
      <alignment horizontal="center"/>
    </xf>
    <xf numFmtId="168" fontId="7" fillId="0" borderId="7" xfId="0" applyNumberFormat="1" applyFont="1" applyFill="1" applyBorder="1" applyAlignment="1" applyProtection="1">
      <alignment horizontal="center"/>
    </xf>
    <xf numFmtId="169" fontId="6" fillId="0" borderId="17" xfId="1" applyNumberFormat="1" applyFont="1" applyFill="1" applyBorder="1" applyAlignment="1" applyProtection="1">
      <alignment horizontal="right"/>
    </xf>
    <xf numFmtId="37" fontId="9" fillId="0" borderId="0" xfId="0" applyNumberFormat="1" applyFont="1" applyFill="1" applyAlignment="1" applyProtection="1"/>
    <xf numFmtId="164" fontId="4" fillId="0" borderId="0" xfId="0" applyFont="1" applyFill="1" applyBorder="1"/>
    <xf numFmtId="164" fontId="17" fillId="0" borderId="0" xfId="0" applyFont="1" applyFill="1" applyAlignment="1" applyProtection="1">
      <alignment horizontal="center"/>
    </xf>
    <xf numFmtId="164" fontId="7" fillId="0" borderId="7" xfId="0" applyFont="1" applyFill="1" applyBorder="1" applyAlignment="1" applyProtection="1">
      <alignment horizontal="center"/>
    </xf>
    <xf numFmtId="170" fontId="6" fillId="0" borderId="0" xfId="1" applyNumberFormat="1" applyFont="1" applyFill="1" applyAlignment="1" applyProtection="1">
      <alignment horizontal="center"/>
    </xf>
    <xf numFmtId="170" fontId="6" fillId="0" borderId="7" xfId="1" applyNumberFormat="1" applyFont="1" applyFill="1" applyBorder="1" applyAlignment="1" applyProtection="1">
      <alignment horizontal="center"/>
    </xf>
    <xf numFmtId="49" fontId="4" fillId="0" borderId="0" xfId="0" quotePrefix="1" applyNumberFormat="1" applyFont="1" applyFill="1" applyAlignment="1">
      <alignment horizontal="right"/>
    </xf>
    <xf numFmtId="164" fontId="17" fillId="0" borderId="0" xfId="0" applyFont="1" applyFill="1"/>
    <xf numFmtId="164" fontId="7" fillId="0" borderId="12" xfId="0" applyFont="1" applyFill="1" applyBorder="1" applyAlignment="1" applyProtection="1">
      <alignment horizontal="centerContinuous"/>
    </xf>
    <xf numFmtId="164" fontId="7" fillId="0" borderId="0" xfId="0" applyFont="1" applyFill="1" applyBorder="1" applyAlignment="1" applyProtection="1">
      <alignment horizontal="centerContinuous"/>
    </xf>
    <xf numFmtId="164" fontId="7" fillId="0" borderId="0" xfId="0" applyFont="1" applyFill="1" applyBorder="1" applyAlignment="1" applyProtection="1">
      <alignment horizontal="center"/>
    </xf>
    <xf numFmtId="164" fontId="4" fillId="0" borderId="0" xfId="0" applyFont="1" applyFill="1"/>
    <xf numFmtId="164" fontId="7" fillId="0" borderId="4" xfId="0" applyFont="1" applyFill="1" applyBorder="1" applyAlignment="1" applyProtection="1">
      <alignment horizontal="center"/>
    </xf>
    <xf numFmtId="164" fontId="7" fillId="0" borderId="5" xfId="0" applyFont="1" applyFill="1" applyBorder="1" applyAlignment="1" applyProtection="1">
      <alignment horizontal="center"/>
    </xf>
    <xf numFmtId="164" fontId="7" fillId="0" borderId="8" xfId="0" applyFont="1" applyFill="1" applyBorder="1" applyAlignment="1" applyProtection="1">
      <alignment horizontal="center"/>
    </xf>
    <xf numFmtId="164" fontId="17" fillId="0" borderId="0" xfId="0" applyFont="1" applyFill="1" applyBorder="1" applyAlignment="1">
      <alignment horizontal="centerContinuous"/>
    </xf>
    <xf numFmtId="164" fontId="0" fillId="0" borderId="0" xfId="0" applyFill="1" applyAlignment="1">
      <alignment horizontal="centerContinuous"/>
    </xf>
    <xf numFmtId="164" fontId="6" fillId="0" borderId="0" xfId="0" applyFont="1" applyFill="1" applyAlignment="1" applyProtection="1">
      <alignment horizontal="center"/>
    </xf>
    <xf numFmtId="164" fontId="7" fillId="0" borderId="6" xfId="0" applyFont="1" applyFill="1" applyBorder="1" applyAlignment="1" applyProtection="1">
      <alignment horizontal="center"/>
    </xf>
    <xf numFmtId="164" fontId="17" fillId="0" borderId="0" xfId="0" applyFont="1" applyFill="1" applyAlignment="1">
      <alignment horizontal="centerContinuous"/>
    </xf>
    <xf numFmtId="164" fontId="6" fillId="0" borderId="0" xfId="0" applyFont="1" applyFill="1" applyAlignment="1" applyProtection="1">
      <alignment horizontal="centerContinuous"/>
    </xf>
    <xf numFmtId="164" fontId="6" fillId="0" borderId="0" xfId="0" applyFont="1" applyFill="1" applyAlignment="1" applyProtection="1">
      <alignment horizontal="left"/>
    </xf>
    <xf numFmtId="168" fontId="17" fillId="0" borderId="0" xfId="0" applyNumberFormat="1" applyFont="1" applyFill="1"/>
    <xf numFmtId="164" fontId="26" fillId="0" borderId="0" xfId="0" applyFont="1"/>
    <xf numFmtId="169" fontId="6" fillId="0" borderId="0" xfId="1" quotePrefix="1" applyNumberFormat="1" applyFont="1" applyBorder="1" applyAlignment="1" applyProtection="1">
      <alignment horizontal="left"/>
    </xf>
    <xf numFmtId="169" fontId="6" fillId="0" borderId="0" xfId="1" applyNumberFormat="1" applyFont="1" applyBorder="1" applyAlignment="1" applyProtection="1">
      <alignment horizontal="left"/>
    </xf>
    <xf numFmtId="169" fontId="6" fillId="0" borderId="0" xfId="1" quotePrefix="1" applyNumberFormat="1" applyFont="1" applyFill="1" applyBorder="1" applyAlignment="1" applyProtection="1">
      <alignment horizontal="left"/>
    </xf>
    <xf numFmtId="5" fontId="6" fillId="0" borderId="38" xfId="1" applyNumberFormat="1" applyFont="1" applyFill="1" applyBorder="1" applyAlignment="1" applyProtection="1">
      <alignment horizontal="right"/>
    </xf>
    <xf numFmtId="5" fontId="6" fillId="0" borderId="10" xfId="1" applyNumberFormat="1" applyFont="1" applyFill="1" applyBorder="1" applyAlignment="1" applyProtection="1">
      <alignment horizontal="right"/>
    </xf>
    <xf numFmtId="5" fontId="6" fillId="0" borderId="0" xfId="1" quotePrefix="1" applyNumberFormat="1" applyFont="1" applyFill="1" applyBorder="1" applyAlignment="1" applyProtection="1">
      <alignment horizontal="left"/>
    </xf>
    <xf numFmtId="164" fontId="17" fillId="0" borderId="7" xfId="0" applyFont="1" applyBorder="1"/>
    <xf numFmtId="37" fontId="6" fillId="0" borderId="0" xfId="0" applyNumberFormat="1" applyFont="1" applyBorder="1" applyAlignment="1" applyProtection="1">
      <alignment horizontal="left"/>
    </xf>
    <xf numFmtId="164" fontId="25" fillId="0" borderId="0" xfId="0" applyFont="1" applyBorder="1"/>
    <xf numFmtId="169" fontId="6" fillId="0" borderId="0" xfId="1" quotePrefix="1" applyNumberFormat="1" applyFont="1" applyFill="1" applyBorder="1" applyAlignment="1" applyProtection="1">
      <alignment horizontal="right"/>
    </xf>
    <xf numFmtId="166" fontId="6" fillId="0" borderId="0" xfId="1" applyNumberFormat="1" applyFont="1" applyFill="1" applyBorder="1" applyAlignment="1">
      <alignment horizontal="left" wrapText="1"/>
    </xf>
    <xf numFmtId="49" fontId="6" fillId="0" borderId="0" xfId="1" applyNumberFormat="1" applyFont="1" applyFill="1" applyBorder="1" applyAlignment="1">
      <alignment horizontal="center"/>
    </xf>
    <xf numFmtId="49" fontId="6" fillId="0" borderId="0" xfId="1" applyNumberFormat="1" applyFont="1" applyFill="1" applyBorder="1" applyAlignment="1"/>
    <xf numFmtId="166" fontId="31" fillId="0" borderId="0" xfId="1" applyNumberFormat="1" applyFont="1" applyAlignment="1">
      <alignment horizontal="center"/>
    </xf>
    <xf numFmtId="166" fontId="31" fillId="0" borderId="0" xfId="1" applyNumberFormat="1" applyFont="1" applyFill="1" applyAlignment="1">
      <alignment horizontal="center"/>
    </xf>
    <xf numFmtId="165" fontId="22" fillId="0" borderId="0" xfId="1" applyNumberFormat="1" applyFont="1" applyBorder="1" applyAlignment="1" applyProtection="1">
      <alignment horizontal="center"/>
    </xf>
    <xf numFmtId="170" fontId="22" fillId="0" borderId="0" xfId="1" applyNumberFormat="1" applyFont="1" applyBorder="1" applyAlignment="1" applyProtection="1">
      <alignment horizontal="center"/>
    </xf>
    <xf numFmtId="4" fontId="22" fillId="0" borderId="0" xfId="1" applyNumberFormat="1" applyFont="1" applyBorder="1" applyAlignment="1" applyProtection="1">
      <alignment horizontal="center"/>
    </xf>
    <xf numFmtId="164" fontId="6" fillId="0" borderId="0" xfId="0" applyFont="1" applyFill="1"/>
    <xf numFmtId="171" fontId="30" fillId="0" borderId="0" xfId="14" applyNumberFormat="1" applyFont="1"/>
    <xf numFmtId="49" fontId="6" fillId="0" borderId="0" xfId="0" applyNumberFormat="1" applyFont="1" applyAlignment="1">
      <alignment horizontal="right"/>
    </xf>
    <xf numFmtId="164" fontId="18" fillId="0" borderId="0" xfId="0" applyFont="1" applyFill="1"/>
    <xf numFmtId="164" fontId="4" fillId="0" borderId="0" xfId="0" applyFont="1" applyFill="1" applyAlignment="1">
      <alignment horizontal="center"/>
    </xf>
    <xf numFmtId="164" fontId="32" fillId="0" borderId="44" xfId="0" applyFont="1" applyFill="1" applyBorder="1" applyAlignment="1">
      <alignment horizontal="center" wrapText="1"/>
    </xf>
    <xf numFmtId="164" fontId="32" fillId="0" borderId="44" xfId="0" applyFont="1" applyFill="1" applyBorder="1" applyAlignment="1" applyProtection="1">
      <alignment horizontal="center" wrapText="1"/>
    </xf>
    <xf numFmtId="164" fontId="4" fillId="0" borderId="0" xfId="0" applyFont="1" applyFill="1" applyAlignment="1">
      <alignment horizontal="center" wrapText="1"/>
    </xf>
    <xf numFmtId="164" fontId="4" fillId="0" borderId="14" xfId="0" applyFont="1" applyFill="1" applyBorder="1" applyAlignment="1">
      <alignment horizontal="left" vertical="top" wrapText="1"/>
    </xf>
    <xf numFmtId="164" fontId="4" fillId="0" borderId="44" xfId="0" applyFont="1" applyFill="1" applyBorder="1" applyAlignment="1">
      <alignment horizontal="left" vertical="top" wrapText="1"/>
    </xf>
    <xf numFmtId="164" fontId="37" fillId="0" borderId="0" xfId="0" applyFont="1" applyFill="1"/>
    <xf numFmtId="164" fontId="4" fillId="0" borderId="14" xfId="17" applyFont="1" applyFill="1" applyBorder="1" applyAlignment="1">
      <alignment horizontal="left" vertical="top" wrapText="1"/>
    </xf>
    <xf numFmtId="164" fontId="4" fillId="0" borderId="44" xfId="17" applyFont="1" applyFill="1" applyBorder="1" applyAlignment="1">
      <alignment horizontal="left" vertical="top" wrapText="1"/>
    </xf>
    <xf numFmtId="164" fontId="4" fillId="0" borderId="12" xfId="17" applyFont="1" applyFill="1" applyBorder="1" applyAlignment="1">
      <alignment horizontal="left" vertical="top" wrapText="1"/>
    </xf>
    <xf numFmtId="49" fontId="6" fillId="0" borderId="7" xfId="20" applyNumberFormat="1" applyFont="1" applyFill="1" applyBorder="1" applyAlignment="1">
      <alignment horizontal="center"/>
    </xf>
    <xf numFmtId="49" fontId="6" fillId="0" borderId="7" xfId="20" applyNumberFormat="1" applyFont="1" applyFill="1" applyBorder="1" applyAlignment="1" applyProtection="1"/>
    <xf numFmtId="0" fontId="6" fillId="0" borderId="7" xfId="20" applyNumberFormat="1" applyFont="1" applyFill="1" applyBorder="1" applyAlignment="1" applyProtection="1">
      <alignment horizontal="center"/>
    </xf>
    <xf numFmtId="3" fontId="6" fillId="0" borderId="42" xfId="20" applyNumberFormat="1" applyFont="1" applyFill="1" applyBorder="1" applyAlignment="1" applyProtection="1">
      <alignment horizontal="center"/>
    </xf>
    <xf numFmtId="166" fontId="21" fillId="0" borderId="39" xfId="20" applyNumberFormat="1" applyFont="1" applyFill="1" applyBorder="1"/>
    <xf numFmtId="166" fontId="21" fillId="0" borderId="7" xfId="20" applyNumberFormat="1" applyFont="1" applyFill="1" applyBorder="1" applyProtection="1"/>
    <xf numFmtId="166" fontId="15" fillId="0" borderId="32" xfId="20" applyNumberFormat="1" applyFont="1" applyFill="1" applyBorder="1"/>
    <xf numFmtId="166" fontId="15" fillId="0" borderId="7" xfId="20" applyNumberFormat="1" applyFont="1" applyFill="1" applyBorder="1" applyAlignment="1" applyProtection="1">
      <alignment horizontal="center"/>
    </xf>
    <xf numFmtId="166" fontId="28" fillId="5" borderId="41" xfId="20" applyNumberFormat="1" applyFont="1" applyFill="1" applyBorder="1" applyProtection="1"/>
    <xf numFmtId="166" fontId="28" fillId="5" borderId="0" xfId="20" applyNumberFormat="1" applyFont="1" applyFill="1" applyBorder="1" applyProtection="1"/>
    <xf numFmtId="166" fontId="28" fillId="3" borderId="28" xfId="20" applyNumberFormat="1" applyFont="1" applyFill="1" applyBorder="1" applyProtection="1"/>
    <xf numFmtId="166" fontId="20" fillId="3" borderId="0" xfId="20" applyNumberFormat="1" applyFont="1" applyFill="1" applyBorder="1" applyProtection="1"/>
    <xf numFmtId="49" fontId="20" fillId="0" borderId="17" xfId="20" applyNumberFormat="1" applyFont="1" applyFill="1" applyBorder="1" applyAlignment="1">
      <alignment horizontal="center"/>
    </xf>
    <xf numFmtId="49" fontId="20" fillId="0" borderId="17" xfId="17" applyNumberFormat="1" applyFont="1" applyFill="1" applyBorder="1" applyAlignment="1">
      <alignment horizontal="left"/>
    </xf>
    <xf numFmtId="0" fontId="6" fillId="0" borderId="0" xfId="20" applyNumberFormat="1" applyFont="1" applyFill="1" applyBorder="1" applyAlignment="1" applyProtection="1">
      <alignment horizontal="center"/>
    </xf>
    <xf numFmtId="3" fontId="6" fillId="0" borderId="0" xfId="20" applyNumberFormat="1" applyFont="1" applyFill="1" applyBorder="1" applyAlignment="1" applyProtection="1">
      <alignment horizontal="center"/>
    </xf>
    <xf numFmtId="166" fontId="6" fillId="5" borderId="41" xfId="20" applyNumberFormat="1" applyFont="1" applyFill="1" applyBorder="1" applyAlignment="1" applyProtection="1">
      <alignment horizontal="left"/>
    </xf>
    <xf numFmtId="166" fontId="6" fillId="5" borderId="0" xfId="20" applyNumberFormat="1" applyFont="1" applyFill="1" applyBorder="1" applyAlignment="1" applyProtection="1">
      <alignment horizontal="centerContinuous"/>
    </xf>
    <xf numFmtId="166" fontId="15" fillId="3" borderId="28" xfId="20" applyNumberFormat="1" applyFont="1" applyFill="1" applyBorder="1" applyAlignment="1" applyProtection="1">
      <alignment horizontal="left"/>
    </xf>
    <xf numFmtId="166" fontId="15" fillId="3" borderId="0" xfId="20" applyNumberFormat="1" applyFont="1" applyFill="1" applyBorder="1" applyAlignment="1" applyProtection="1">
      <alignment horizontal="center"/>
    </xf>
    <xf numFmtId="49" fontId="20" fillId="0" borderId="0" xfId="20" applyNumberFormat="1" applyFont="1" applyFill="1" applyBorder="1" applyAlignment="1">
      <alignment horizontal="center"/>
    </xf>
    <xf numFmtId="49" fontId="20" fillId="0" borderId="0" xfId="17" applyNumberFormat="1" applyFont="1" applyFill="1" applyBorder="1" applyAlignment="1">
      <alignment horizontal="left"/>
    </xf>
    <xf numFmtId="0" fontId="6" fillId="0" borderId="7" xfId="20" applyNumberFormat="1" applyFont="1" applyFill="1" applyBorder="1" applyAlignment="1">
      <alignment horizontal="center"/>
    </xf>
    <xf numFmtId="3" fontId="6" fillId="0" borderId="7" xfId="20" applyNumberFormat="1" applyFont="1" applyFill="1" applyBorder="1" applyAlignment="1" applyProtection="1">
      <alignment horizontal="center"/>
    </xf>
    <xf numFmtId="49" fontId="6" fillId="17" borderId="0" xfId="20" applyNumberFormat="1" applyFont="1" applyFill="1" applyBorder="1" applyAlignment="1" applyProtection="1">
      <alignment horizontal="center"/>
    </xf>
    <xf numFmtId="49" fontId="6" fillId="17" borderId="0" xfId="20" applyNumberFormat="1" applyFont="1" applyFill="1" applyBorder="1" applyAlignment="1" applyProtection="1"/>
    <xf numFmtId="0" fontId="6" fillId="17" borderId="0" xfId="20" applyNumberFormat="1" applyFont="1" applyFill="1" applyBorder="1" applyAlignment="1" applyProtection="1">
      <alignment horizontal="center"/>
    </xf>
    <xf numFmtId="3" fontId="6" fillId="17" borderId="0" xfId="20" applyNumberFormat="1" applyFont="1" applyFill="1" applyBorder="1" applyAlignment="1" applyProtection="1">
      <alignment horizontal="center"/>
    </xf>
    <xf numFmtId="166" fontId="6" fillId="5" borderId="40" xfId="20" applyNumberFormat="1" applyFont="1" applyFill="1" applyBorder="1" applyAlignment="1" applyProtection="1">
      <alignment horizontal="centerContinuous"/>
    </xf>
    <xf numFmtId="166" fontId="6" fillId="5" borderId="20" xfId="20" applyNumberFormat="1" applyFont="1" applyFill="1" applyBorder="1" applyAlignment="1" applyProtection="1">
      <alignment horizontal="centerContinuous"/>
    </xf>
    <xf numFmtId="166" fontId="15" fillId="3" borderId="33" xfId="20" applyNumberFormat="1" applyFont="1" applyFill="1" applyBorder="1" applyAlignment="1" applyProtection="1">
      <alignment horizontal="center"/>
    </xf>
    <xf numFmtId="166" fontId="15" fillId="3" borderId="17" xfId="20" applyNumberFormat="1" applyFont="1" applyFill="1" applyBorder="1" applyAlignment="1" applyProtection="1">
      <alignment horizontal="center"/>
    </xf>
    <xf numFmtId="49" fontId="6" fillId="4" borderId="0" xfId="20" applyNumberFormat="1" applyFont="1" applyFill="1" applyBorder="1" applyAlignment="1" applyProtection="1">
      <alignment horizontal="center"/>
    </xf>
    <xf numFmtId="49" fontId="6" fillId="4" borderId="0" xfId="20" applyNumberFormat="1" applyFont="1" applyFill="1" applyBorder="1" applyAlignment="1" applyProtection="1"/>
    <xf numFmtId="0" fontId="6" fillId="4" borderId="0" xfId="20" applyNumberFormat="1" applyFont="1" applyFill="1" applyBorder="1" applyAlignment="1" applyProtection="1">
      <alignment horizontal="center" wrapText="1"/>
    </xf>
    <xf numFmtId="3" fontId="6" fillId="4" borderId="0" xfId="20" applyNumberFormat="1" applyFont="1" applyFill="1" applyBorder="1" applyAlignment="1" applyProtection="1">
      <alignment horizontal="center" wrapText="1"/>
    </xf>
    <xf numFmtId="166" fontId="6" fillId="4" borderId="0" xfId="20" applyNumberFormat="1" applyFont="1" applyFill="1" applyBorder="1" applyAlignment="1">
      <alignment horizontal="left" wrapText="1"/>
    </xf>
    <xf numFmtId="166" fontId="6" fillId="4" borderId="0" xfId="20" applyNumberFormat="1" applyFont="1" applyFill="1" applyBorder="1" applyAlignment="1" applyProtection="1">
      <alignment horizontal="left" wrapText="1"/>
    </xf>
    <xf numFmtId="164" fontId="4" fillId="0" borderId="49" xfId="17" applyFont="1" applyFill="1" applyBorder="1" applyAlignment="1" applyProtection="1">
      <alignment horizontal="left" vertical="top" wrapText="1"/>
      <protection locked="0"/>
    </xf>
    <xf numFmtId="164" fontId="4" fillId="0" borderId="48" xfId="17" applyFont="1" applyFill="1" applyBorder="1" applyAlignment="1" applyProtection="1">
      <alignment horizontal="left" vertical="top" wrapText="1"/>
      <protection locked="0"/>
    </xf>
    <xf numFmtId="164" fontId="4" fillId="0" borderId="49" xfId="17" applyFont="1" applyFill="1" applyBorder="1" applyAlignment="1">
      <alignment horizontal="left" vertical="top" wrapText="1"/>
    </xf>
    <xf numFmtId="164" fontId="37" fillId="0" borderId="0" xfId="0" applyFont="1" applyFill="1" applyAlignment="1">
      <alignment horizontal="centerContinuous"/>
    </xf>
    <xf numFmtId="3" fontId="6" fillId="0" borderId="0" xfId="0" applyNumberFormat="1" applyFont="1" applyFill="1" applyBorder="1"/>
    <xf numFmtId="164" fontId="7" fillId="0" borderId="0" xfId="0" applyFont="1" applyBorder="1" applyAlignment="1" applyProtection="1">
      <alignment horizontal="center"/>
    </xf>
    <xf numFmtId="164" fontId="4" fillId="0" borderId="4" xfId="17" applyFont="1" applyFill="1" applyBorder="1" applyAlignment="1">
      <alignment horizontal="left" vertical="top" wrapText="1"/>
    </xf>
    <xf numFmtId="164" fontId="4" fillId="0" borderId="0" xfId="17" applyFont="1" applyFill="1" applyAlignment="1">
      <alignment vertical="top" wrapText="1"/>
    </xf>
    <xf numFmtId="164" fontId="4" fillId="0" borderId="21" xfId="17" applyFont="1" applyFill="1" applyBorder="1" applyAlignment="1">
      <alignment horizontal="left" vertical="top" wrapText="1"/>
    </xf>
    <xf numFmtId="164" fontId="4" fillId="0" borderId="14" xfId="18" applyNumberFormat="1" applyFont="1" applyFill="1" applyBorder="1" applyAlignment="1">
      <alignment horizontal="left" vertical="top" wrapText="1"/>
    </xf>
    <xf numFmtId="164" fontId="4" fillId="0" borderId="44" xfId="18" applyNumberFormat="1" applyFont="1" applyFill="1" applyBorder="1" applyAlignment="1">
      <alignment horizontal="left" vertical="top" wrapText="1"/>
    </xf>
    <xf numFmtId="164" fontId="4" fillId="0" borderId="44" xfId="19" applyNumberFormat="1" applyFont="1" applyFill="1" applyBorder="1" applyAlignment="1">
      <alignment horizontal="left" vertical="top" wrapText="1"/>
    </xf>
    <xf numFmtId="164" fontId="4" fillId="0" borderId="14" xfId="19" applyNumberFormat="1" applyFont="1" applyFill="1" applyBorder="1" applyAlignment="1">
      <alignment horizontal="left" vertical="top" wrapText="1"/>
    </xf>
    <xf numFmtId="37" fontId="6" fillId="0" borderId="0" xfId="0" applyNumberFormat="1" applyFont="1" applyAlignment="1" applyProtection="1">
      <alignment horizontal="right"/>
    </xf>
    <xf numFmtId="37" fontId="6" fillId="0" borderId="7" xfId="0" applyNumberFormat="1" applyFont="1" applyBorder="1" applyAlignment="1" applyProtection="1">
      <alignment horizontal="right"/>
    </xf>
    <xf numFmtId="164" fontId="4" fillId="0" borderId="0" xfId="0" applyFont="1" applyAlignment="1" applyProtection="1">
      <alignment horizontal="left" vertical="top"/>
    </xf>
    <xf numFmtId="164" fontId="7" fillId="0" borderId="44" xfId="0" applyFont="1" applyFill="1" applyBorder="1" applyAlignment="1">
      <alignment horizontal="center" wrapText="1"/>
    </xf>
    <xf numFmtId="164" fontId="7" fillId="0" borderId="44" xfId="0" applyFont="1" applyFill="1" applyBorder="1" applyAlignment="1" applyProtection="1">
      <alignment horizontal="center" wrapText="1"/>
    </xf>
    <xf numFmtId="164" fontId="32" fillId="0" borderId="0" xfId="0" applyFont="1" applyFill="1" applyAlignment="1">
      <alignment horizontal="center"/>
    </xf>
    <xf numFmtId="37" fontId="32" fillId="0" borderId="44" xfId="13" applyNumberFormat="1" applyFont="1" applyFill="1" applyBorder="1" applyAlignment="1" applyProtection="1">
      <alignment horizontal="left" vertical="top" wrapText="1"/>
    </xf>
    <xf numFmtId="37" fontId="32" fillId="0" borderId="21" xfId="13" applyNumberFormat="1" applyFont="1" applyFill="1" applyBorder="1" applyAlignment="1" applyProtection="1">
      <alignment horizontal="left" vertical="top" wrapText="1"/>
    </xf>
    <xf numFmtId="164" fontId="7" fillId="0" borderId="0" xfId="0" applyFont="1" applyFill="1"/>
    <xf numFmtId="164" fontId="18" fillId="0" borderId="0" xfId="0" applyFont="1" applyFill="1" applyAlignment="1">
      <alignment horizontal="centerContinuous"/>
    </xf>
    <xf numFmtId="164" fontId="5" fillId="0" borderId="0" xfId="0" applyFont="1" applyFill="1" applyAlignment="1">
      <alignment horizontal="centerContinuous"/>
    </xf>
    <xf numFmtId="164" fontId="32" fillId="0" borderId="0" xfId="0" applyFont="1" applyFill="1"/>
    <xf numFmtId="174" fontId="17" fillId="0" borderId="0" xfId="0" applyNumberFormat="1" applyFont="1"/>
    <xf numFmtId="49" fontId="6" fillId="11" borderId="0" xfId="20" applyNumberFormat="1" applyFont="1" applyFill="1" applyBorder="1" applyAlignment="1" applyProtection="1">
      <alignment horizontal="center"/>
      <protection locked="0"/>
    </xf>
    <xf numFmtId="49" fontId="6" fillId="11" borderId="0" xfId="20" applyNumberFormat="1" applyFont="1" applyFill="1" applyBorder="1" applyAlignment="1" applyProtection="1">
      <protection locked="0"/>
    </xf>
    <xf numFmtId="0" fontId="6" fillId="11" borderId="0" xfId="20" applyNumberFormat="1" applyFont="1" applyFill="1" applyBorder="1" applyAlignment="1" applyProtection="1">
      <alignment horizontal="center"/>
      <protection locked="0"/>
    </xf>
    <xf numFmtId="1" fontId="6" fillId="11" borderId="0" xfId="20" applyNumberFormat="1" applyFont="1" applyFill="1" applyBorder="1" applyAlignment="1" applyProtection="1">
      <alignment horizontal="center"/>
      <protection locked="0"/>
    </xf>
    <xf numFmtId="3" fontId="6" fillId="20" borderId="41" xfId="20" applyNumberFormat="1" applyFont="1" applyFill="1" applyBorder="1" applyAlignment="1" applyProtection="1">
      <alignment horizontal="right"/>
      <protection locked="0"/>
    </xf>
    <xf numFmtId="3" fontId="6" fillId="20" borderId="18" xfId="20" applyNumberFormat="1" applyFont="1" applyFill="1" applyBorder="1" applyAlignment="1" applyProtection="1">
      <alignment horizontal="right"/>
      <protection locked="0"/>
    </xf>
    <xf numFmtId="3" fontId="21" fillId="0" borderId="0" xfId="17" applyNumberFormat="1" applyFont="1" applyFill="1" applyAlignment="1" applyProtection="1">
      <alignment horizontal="right" vertical="top"/>
      <protection locked="0"/>
    </xf>
    <xf numFmtId="3" fontId="40" fillId="21" borderId="41" xfId="20" applyNumberFormat="1" applyFont="1" applyFill="1" applyBorder="1" applyAlignment="1" applyProtection="1">
      <alignment horizontal="right"/>
    </xf>
    <xf numFmtId="3" fontId="40" fillId="21" borderId="18" xfId="20" applyNumberFormat="1" applyFont="1" applyFill="1" applyBorder="1" applyAlignment="1" applyProtection="1">
      <alignment horizontal="right"/>
    </xf>
    <xf numFmtId="3" fontId="41" fillId="22" borderId="28" xfId="20" applyNumberFormat="1" applyFont="1" applyFill="1" applyBorder="1" applyAlignment="1" applyProtection="1">
      <alignment horizontal="right"/>
    </xf>
    <xf numFmtId="3" fontId="41" fillId="22" borderId="0" xfId="20" applyNumberFormat="1" applyFont="1" applyFill="1" applyBorder="1" applyAlignment="1" applyProtection="1">
      <alignment horizontal="right"/>
    </xf>
    <xf numFmtId="3" fontId="6" fillId="20" borderId="53" xfId="20" applyNumberFormat="1" applyFont="1" applyFill="1" applyBorder="1" applyAlignment="1" applyProtection="1">
      <alignment horizontal="right"/>
      <protection locked="0"/>
    </xf>
    <xf numFmtId="3" fontId="21" fillId="0" borderId="0" xfId="17" applyNumberFormat="1" applyFont="1" applyFill="1" applyBorder="1" applyAlignment="1" applyProtection="1">
      <alignment horizontal="right" vertical="top"/>
      <protection locked="0"/>
    </xf>
    <xf numFmtId="3" fontId="41" fillId="22" borderId="18" xfId="20" applyNumberFormat="1" applyFont="1" applyFill="1" applyBorder="1" applyAlignment="1" applyProtection="1">
      <alignment horizontal="right"/>
    </xf>
    <xf numFmtId="164" fontId="6" fillId="0" borderId="0" xfId="17" applyFont="1" applyProtection="1">
      <protection locked="0"/>
    </xf>
    <xf numFmtId="166" fontId="6" fillId="0" borderId="0" xfId="20" applyNumberFormat="1" applyFont="1" applyFill="1" applyBorder="1" applyProtection="1">
      <protection locked="0"/>
    </xf>
    <xf numFmtId="49" fontId="6" fillId="11" borderId="0" xfId="8" applyNumberFormat="1" applyFont="1" applyFill="1" applyBorder="1" applyAlignment="1" applyProtection="1">
      <protection locked="0"/>
    </xf>
    <xf numFmtId="1" fontId="6" fillId="11" borderId="0" xfId="8" applyNumberFormat="1" applyFont="1" applyFill="1" applyBorder="1" applyAlignment="1" applyProtection="1">
      <alignment horizontal="center"/>
      <protection locked="0"/>
    </xf>
    <xf numFmtId="49" fontId="6" fillId="11" borderId="0" xfId="21" applyNumberFormat="1" applyFont="1" applyFill="1" applyBorder="1" applyAlignment="1" applyProtection="1">
      <alignment horizontal="left"/>
      <protection locked="0"/>
    </xf>
    <xf numFmtId="3" fontId="21" fillId="0" borderId="28" xfId="17" applyNumberFormat="1" applyFont="1" applyFill="1" applyBorder="1" applyAlignment="1" applyProtection="1">
      <alignment horizontal="right"/>
      <protection locked="0"/>
    </xf>
    <xf numFmtId="3" fontId="21" fillId="0" borderId="43" xfId="17" applyNumberFormat="1" applyFont="1" applyFill="1" applyBorder="1" applyAlignment="1" applyProtection="1">
      <alignment horizontal="right"/>
      <protection locked="0"/>
    </xf>
    <xf numFmtId="49" fontId="6" fillId="11" borderId="0" xfId="11" applyNumberFormat="1" applyFont="1" applyFill="1" applyBorder="1" applyAlignment="1" applyProtection="1">
      <alignment horizontal="center"/>
      <protection locked="0"/>
    </xf>
    <xf numFmtId="3" fontId="6" fillId="11" borderId="0" xfId="10" applyFont="1" applyFill="1" applyBorder="1" applyAlignment="1" applyProtection="1">
      <protection locked="0"/>
    </xf>
    <xf numFmtId="49" fontId="6" fillId="11" borderId="0" xfId="22" applyNumberFormat="1" applyFont="1" applyFill="1" applyBorder="1" applyAlignment="1" applyProtection="1">
      <protection locked="0"/>
    </xf>
    <xf numFmtId="49" fontId="6" fillId="11" borderId="0" xfId="10" applyNumberFormat="1" applyFont="1" applyFill="1" applyBorder="1" applyAlignment="1" applyProtection="1">
      <protection locked="0"/>
    </xf>
    <xf numFmtId="49" fontId="6" fillId="2" borderId="0" xfId="8" applyNumberFormat="1" applyFont="1" applyFill="1" applyBorder="1" applyAlignment="1" applyProtection="1">
      <alignment horizontal="center"/>
      <protection locked="0"/>
    </xf>
    <xf numFmtId="49" fontId="6" fillId="2" borderId="0" xfId="8" applyNumberFormat="1" applyFont="1" applyFill="1" applyBorder="1" applyAlignment="1" applyProtection="1">
      <alignment horizontal="left"/>
      <protection locked="0"/>
    </xf>
    <xf numFmtId="1" fontId="6" fillId="2" borderId="0" xfId="8" applyNumberFormat="1" applyFont="1" applyFill="1" applyBorder="1" applyAlignment="1" applyProtection="1">
      <alignment horizontal="center"/>
      <protection locked="0"/>
    </xf>
    <xf numFmtId="3" fontId="21" fillId="0" borderId="0" xfId="17" applyNumberFormat="1" applyFont="1" applyFill="1" applyAlignment="1" applyProtection="1">
      <alignment horizontal="right"/>
      <protection locked="0"/>
    </xf>
    <xf numFmtId="49" fontId="6" fillId="2" borderId="0" xfId="10" applyNumberFormat="1" applyFont="1" applyFill="1" applyBorder="1" applyAlignment="1" applyProtection="1">
      <alignment horizontal="center"/>
      <protection locked="0"/>
    </xf>
    <xf numFmtId="49" fontId="6" fillId="2" borderId="0" xfId="10" applyNumberFormat="1" applyFont="1" applyFill="1" applyBorder="1" applyAlignment="1" applyProtection="1">
      <alignment horizontal="left"/>
      <protection locked="0"/>
    </xf>
    <xf numFmtId="1" fontId="6" fillId="10" borderId="0" xfId="12" applyNumberFormat="1" applyFont="1" applyFill="1" applyBorder="1" applyAlignment="1" applyProtection="1">
      <alignment horizontal="center"/>
      <protection locked="0"/>
    </xf>
    <xf numFmtId="49" fontId="6" fillId="15" borderId="0" xfId="20" applyNumberFormat="1" applyFont="1" applyFill="1" applyBorder="1" applyAlignment="1" applyProtection="1">
      <alignment horizontal="center"/>
      <protection locked="0"/>
    </xf>
    <xf numFmtId="49" fontId="6" fillId="15" borderId="0" xfId="20" applyNumberFormat="1" applyFont="1" applyFill="1" applyBorder="1" applyAlignment="1" applyProtection="1">
      <protection locked="0"/>
    </xf>
    <xf numFmtId="0" fontId="6" fillId="15" borderId="0" xfId="20" applyNumberFormat="1" applyFont="1" applyFill="1" applyBorder="1" applyAlignment="1" applyProtection="1">
      <alignment horizontal="center"/>
      <protection locked="0"/>
    </xf>
    <xf numFmtId="1" fontId="6" fillId="15" borderId="0" xfId="20" applyNumberFormat="1" applyFont="1" applyFill="1" applyBorder="1" applyAlignment="1" applyProtection="1">
      <alignment horizontal="center"/>
      <protection locked="0"/>
    </xf>
    <xf numFmtId="49" fontId="6" fillId="15" borderId="0" xfId="8" applyNumberFormat="1" applyFont="1" applyFill="1" applyBorder="1" applyAlignment="1" applyProtection="1">
      <protection locked="0"/>
    </xf>
    <xf numFmtId="3" fontId="21" fillId="0" borderId="0" xfId="20" applyNumberFormat="1" applyFont="1" applyFill="1" applyBorder="1" applyAlignment="1" applyProtection="1">
      <alignment horizontal="right"/>
      <protection locked="0"/>
    </xf>
    <xf numFmtId="49" fontId="6" fillId="15" borderId="0" xfId="42" applyNumberFormat="1" applyFont="1" applyFill="1" applyBorder="1" applyAlignment="1" applyProtection="1">
      <protection locked="0"/>
    </xf>
    <xf numFmtId="49" fontId="6" fillId="8" borderId="0" xfId="20" applyNumberFormat="1" applyFont="1" applyFill="1" applyBorder="1" applyAlignment="1" applyProtection="1">
      <alignment horizontal="center"/>
      <protection locked="0"/>
    </xf>
    <xf numFmtId="49" fontId="6" fillId="8" borderId="0" xfId="21" applyNumberFormat="1" applyFont="1" applyFill="1" applyBorder="1" applyAlignment="1" applyProtection="1">
      <alignment horizontal="left"/>
      <protection locked="0"/>
    </xf>
    <xf numFmtId="49" fontId="6" fillId="8" borderId="0" xfId="21" applyNumberFormat="1" applyFont="1" applyFill="1" applyBorder="1" applyAlignment="1" applyProtection="1">
      <alignment horizontal="center"/>
      <protection locked="0"/>
    </xf>
    <xf numFmtId="1" fontId="6" fillId="8" borderId="0" xfId="21" applyNumberFormat="1" applyFont="1" applyFill="1" applyBorder="1" applyAlignment="1" applyProtection="1">
      <alignment horizontal="center"/>
      <protection locked="0"/>
    </xf>
    <xf numFmtId="1" fontId="42" fillId="0" borderId="0" xfId="43" applyNumberFormat="1"/>
    <xf numFmtId="3" fontId="21" fillId="0" borderId="10" xfId="20" applyNumberFormat="1" applyFont="1" applyFill="1" applyBorder="1" applyAlignment="1" applyProtection="1">
      <alignment horizontal="right"/>
      <protection locked="0"/>
    </xf>
    <xf numFmtId="3" fontId="21" fillId="0" borderId="5" xfId="20" applyNumberFormat="1" applyFont="1" applyFill="1" applyBorder="1" applyAlignment="1" applyProtection="1">
      <alignment horizontal="right"/>
      <protection locked="0"/>
    </xf>
    <xf numFmtId="49" fontId="6" fillId="8" borderId="0" xfId="20" applyNumberFormat="1" applyFont="1" applyFill="1" applyBorder="1" applyAlignment="1" applyProtection="1">
      <protection locked="0"/>
    </xf>
    <xf numFmtId="1" fontId="6" fillId="8" borderId="0" xfId="20" applyNumberFormat="1" applyFont="1" applyFill="1" applyBorder="1" applyAlignment="1" applyProtection="1">
      <alignment horizontal="center"/>
      <protection locked="0"/>
    </xf>
    <xf numFmtId="49" fontId="6" fillId="8" borderId="0" xfId="8" applyNumberFormat="1" applyFont="1" applyFill="1" applyBorder="1" applyAlignment="1" applyProtection="1">
      <protection locked="0"/>
    </xf>
    <xf numFmtId="1" fontId="6" fillId="8" borderId="0" xfId="8" applyNumberFormat="1" applyFont="1" applyFill="1" applyBorder="1" applyAlignment="1" applyProtection="1">
      <alignment horizontal="center"/>
      <protection locked="0"/>
    </xf>
    <xf numFmtId="49" fontId="6" fillId="8" borderId="0" xfId="8" applyNumberFormat="1" applyFont="1" applyFill="1" applyBorder="1" applyAlignment="1" applyProtection="1">
      <alignment horizontal="center"/>
      <protection locked="0"/>
    </xf>
    <xf numFmtId="49" fontId="6" fillId="9" borderId="0" xfId="20" applyNumberFormat="1" applyFont="1" applyFill="1" applyBorder="1" applyAlignment="1" applyProtection="1">
      <alignment horizontal="center"/>
      <protection locked="0"/>
    </xf>
    <xf numFmtId="49" fontId="6" fillId="9" borderId="0" xfId="20" applyNumberFormat="1" applyFont="1" applyFill="1" applyBorder="1" applyAlignment="1" applyProtection="1">
      <protection locked="0"/>
    </xf>
    <xf numFmtId="0" fontId="6" fillId="9" borderId="0" xfId="20" applyNumberFormat="1" applyFont="1" applyFill="1" applyBorder="1" applyAlignment="1" applyProtection="1">
      <alignment horizontal="center"/>
      <protection locked="0"/>
    </xf>
    <xf numFmtId="1" fontId="6" fillId="9" borderId="0" xfId="20" applyNumberFormat="1" applyFont="1" applyFill="1" applyBorder="1" applyAlignment="1" applyProtection="1">
      <alignment horizontal="center"/>
      <protection locked="0"/>
    </xf>
    <xf numFmtId="3" fontId="6" fillId="9" borderId="0" xfId="10" applyFont="1" applyFill="1" applyBorder="1" applyAlignment="1" applyProtection="1">
      <protection locked="0"/>
    </xf>
    <xf numFmtId="49" fontId="6" fillId="9" borderId="0" xfId="21" applyNumberFormat="1" applyFont="1" applyFill="1" applyBorder="1" applyAlignment="1" applyProtection="1">
      <alignment horizontal="center"/>
      <protection locked="0"/>
    </xf>
    <xf numFmtId="1" fontId="6" fillId="9" borderId="0" xfId="21" applyNumberFormat="1" applyFont="1" applyFill="1" applyBorder="1" applyAlignment="1" applyProtection="1">
      <alignment horizontal="center"/>
      <protection locked="0"/>
    </xf>
    <xf numFmtId="166" fontId="21" fillId="0" borderId="0" xfId="20" applyNumberFormat="1" applyFont="1" applyFill="1" applyBorder="1" applyAlignment="1" applyProtection="1">
      <alignment horizontal="center"/>
      <protection locked="0"/>
    </xf>
    <xf numFmtId="49" fontId="6" fillId="9" borderId="0" xfId="21" applyNumberFormat="1" applyFont="1" applyFill="1" applyBorder="1" applyAlignment="1" applyProtection="1">
      <alignment horizontal="left"/>
      <protection locked="0"/>
    </xf>
    <xf numFmtId="49" fontId="6" fillId="9" borderId="0" xfId="10" applyNumberFormat="1" applyFont="1" applyFill="1" applyBorder="1" applyAlignment="1" applyProtection="1">
      <alignment horizontal="center"/>
      <protection locked="0"/>
    </xf>
    <xf numFmtId="1" fontId="6" fillId="12" borderId="0" xfId="12" applyNumberFormat="1" applyFont="1" applyFill="1" applyBorder="1" applyAlignment="1" applyProtection="1">
      <alignment horizontal="center"/>
      <protection locked="0"/>
    </xf>
    <xf numFmtId="0" fontId="6" fillId="9" borderId="0" xfId="10" applyNumberFormat="1" applyFont="1" applyFill="1" applyBorder="1" applyAlignment="1" applyProtection="1">
      <alignment horizontal="center"/>
      <protection locked="0"/>
    </xf>
    <xf numFmtId="49" fontId="6" fillId="6" borderId="0" xfId="8" applyNumberFormat="1" applyFont="1" applyFill="1" applyBorder="1" applyAlignment="1" applyProtection="1">
      <alignment horizontal="center"/>
      <protection locked="0"/>
    </xf>
    <xf numFmtId="49" fontId="6" fillId="6" borderId="0" xfId="8" applyNumberFormat="1" applyFont="1" applyFill="1" applyBorder="1" applyAlignment="1" applyProtection="1">
      <alignment horizontal="left"/>
      <protection locked="0"/>
    </xf>
    <xf numFmtId="1" fontId="6" fillId="6" borderId="0" xfId="8" applyNumberFormat="1" applyFont="1" applyFill="1" applyBorder="1" applyAlignment="1" applyProtection="1">
      <alignment horizontal="center"/>
      <protection locked="0"/>
    </xf>
    <xf numFmtId="3" fontId="21" fillId="0" borderId="0" xfId="17" applyNumberFormat="1" applyFont="1" applyFill="1" applyBorder="1" applyAlignment="1" applyProtection="1">
      <alignment horizontal="right"/>
      <protection locked="0"/>
    </xf>
    <xf numFmtId="3" fontId="6" fillId="19" borderId="18" xfId="20" applyNumberFormat="1" applyFont="1" applyFill="1" applyBorder="1" applyAlignment="1" applyProtection="1">
      <alignment horizontal="right"/>
      <protection locked="0"/>
    </xf>
    <xf numFmtId="3" fontId="21" fillId="0" borderId="28" xfId="20" applyNumberFormat="1" applyFont="1" applyFill="1" applyBorder="1" applyAlignment="1" applyProtection="1">
      <alignment horizontal="right"/>
      <protection locked="0"/>
    </xf>
    <xf numFmtId="3" fontId="21" fillId="0" borderId="43" xfId="20" applyNumberFormat="1" applyFont="1" applyFill="1" applyBorder="1" applyAlignment="1" applyProtection="1">
      <alignment horizontal="right"/>
      <protection locked="0"/>
    </xf>
    <xf numFmtId="3" fontId="6" fillId="6" borderId="0" xfId="10" applyFont="1" applyFill="1" applyBorder="1" applyAlignment="1" applyProtection="1">
      <protection locked="0"/>
    </xf>
    <xf numFmtId="49" fontId="6" fillId="6" borderId="0" xfId="10" applyNumberFormat="1" applyFont="1" applyFill="1" applyBorder="1" applyAlignment="1" applyProtection="1">
      <alignment horizontal="center"/>
      <protection locked="0"/>
    </xf>
    <xf numFmtId="1" fontId="6" fillId="7" borderId="0" xfId="12" applyNumberFormat="1" applyFont="1" applyFill="1" applyBorder="1" applyAlignment="1" applyProtection="1">
      <alignment horizontal="center"/>
      <protection locked="0"/>
    </xf>
    <xf numFmtId="49" fontId="6" fillId="6" borderId="0" xfId="10" applyNumberFormat="1" applyFont="1" applyFill="1" applyBorder="1" applyAlignment="1" applyProtection="1">
      <alignment horizontal="left"/>
      <protection locked="0"/>
    </xf>
    <xf numFmtId="3" fontId="6" fillId="23" borderId="53" xfId="20" applyNumberFormat="1" applyFont="1" applyFill="1" applyBorder="1" applyAlignment="1" applyProtection="1">
      <alignment horizontal="right"/>
      <protection locked="0"/>
    </xf>
    <xf numFmtId="3" fontId="6" fillId="23" borderId="18" xfId="20" applyNumberFormat="1" applyFont="1" applyFill="1" applyBorder="1" applyAlignment="1" applyProtection="1">
      <alignment horizontal="right"/>
      <protection locked="0"/>
    </xf>
    <xf numFmtId="3" fontId="6" fillId="23" borderId="41" xfId="20" applyNumberFormat="1" applyFont="1" applyFill="1" applyBorder="1" applyAlignment="1" applyProtection="1">
      <alignment horizontal="right"/>
      <protection locked="0"/>
    </xf>
    <xf numFmtId="49" fontId="6" fillId="11" borderId="28" xfId="9" applyNumberFormat="1" applyFont="1" applyFill="1" applyBorder="1" applyAlignment="1" applyProtection="1">
      <alignment horizontal="center"/>
      <protection locked="0"/>
    </xf>
    <xf numFmtId="49" fontId="6" fillId="11" borderId="0" xfId="9" applyNumberFormat="1" applyFont="1" applyFill="1" applyBorder="1" applyAlignment="1" applyProtection="1">
      <alignment horizontal="left"/>
      <protection locked="0"/>
    </xf>
    <xf numFmtId="1" fontId="6" fillId="11" borderId="0" xfId="9" applyNumberFormat="1" applyFont="1" applyFill="1" applyBorder="1" applyAlignment="1" applyProtection="1">
      <alignment horizontal="center"/>
      <protection locked="0"/>
    </xf>
    <xf numFmtId="0" fontId="1" fillId="0" borderId="0" xfId="0" applyNumberFormat="1" applyFont="1"/>
    <xf numFmtId="166" fontId="1" fillId="0" borderId="0" xfId="1" applyNumberFormat="1" applyFont="1"/>
    <xf numFmtId="166" fontId="21" fillId="0" borderId="28" xfId="1" applyNumberFormat="1" applyFont="1" applyFill="1" applyBorder="1" applyAlignment="1" applyProtection="1">
      <alignment horizontal="right"/>
      <protection locked="0"/>
    </xf>
    <xf numFmtId="166" fontId="21" fillId="0" borderId="43" xfId="1" applyNumberFormat="1" applyFont="1" applyFill="1" applyBorder="1" applyAlignment="1" applyProtection="1">
      <alignment horizontal="right"/>
      <protection locked="0"/>
    </xf>
    <xf numFmtId="0" fontId="43" fillId="0" borderId="0" xfId="0" applyNumberFormat="1" applyFont="1"/>
    <xf numFmtId="49" fontId="6" fillId="11" borderId="0" xfId="23" applyNumberFormat="1" applyFont="1" applyFill="1" applyBorder="1" applyAlignment="1" applyProtection="1">
      <alignment horizontal="left"/>
      <protection locked="0"/>
    </xf>
    <xf numFmtId="166" fontId="44" fillId="0" borderId="28" xfId="1" applyNumberFormat="1" applyFont="1" applyBorder="1"/>
    <xf numFmtId="166" fontId="44" fillId="0" borderId="43" xfId="1" applyNumberFormat="1" applyFont="1" applyBorder="1"/>
    <xf numFmtId="49" fontId="6" fillId="11" borderId="0" xfId="9" applyNumberFormat="1" applyFont="1" applyFill="1" applyBorder="1" applyAlignment="1" applyProtection="1">
      <alignment horizontal="center"/>
      <protection locked="0"/>
    </xf>
    <xf numFmtId="166" fontId="21" fillId="0" borderId="0" xfId="1" applyNumberFormat="1" applyFont="1" applyFill="1" applyAlignment="1" applyProtection="1">
      <alignment horizontal="right"/>
      <protection locked="0"/>
    </xf>
    <xf numFmtId="0" fontId="1" fillId="0" borderId="28" xfId="0" applyNumberFormat="1" applyFont="1" applyBorder="1"/>
    <xf numFmtId="166" fontId="1" fillId="0" borderId="43" xfId="1" applyNumberFormat="1" applyFont="1" applyBorder="1"/>
    <xf numFmtId="166" fontId="1" fillId="0" borderId="28" xfId="1" applyNumberFormat="1" applyFont="1" applyBorder="1"/>
    <xf numFmtId="49" fontId="6" fillId="11" borderId="28" xfId="10" applyNumberFormat="1" applyFont="1" applyFill="1" applyBorder="1" applyAlignment="1" applyProtection="1">
      <alignment horizontal="center"/>
      <protection locked="0"/>
    </xf>
    <xf numFmtId="1" fontId="6" fillId="11" borderId="0" xfId="10" applyNumberFormat="1" applyFont="1" applyFill="1" applyBorder="1" applyAlignment="1" applyProtection="1">
      <alignment horizontal="center"/>
      <protection locked="0"/>
    </xf>
    <xf numFmtId="1" fontId="6" fillId="13" borderId="0" xfId="12" applyNumberFormat="1" applyFont="1" applyFill="1" applyBorder="1" applyAlignment="1" applyProtection="1">
      <alignment horizontal="center"/>
      <protection locked="0"/>
    </xf>
    <xf numFmtId="3" fontId="21" fillId="19" borderId="53" xfId="20" applyNumberFormat="1" applyFont="1" applyFill="1" applyBorder="1" applyAlignment="1" applyProtection="1">
      <alignment horizontal="right"/>
      <protection locked="0"/>
    </xf>
    <xf numFmtId="3" fontId="21" fillId="19" borderId="18" xfId="20" applyNumberFormat="1" applyFont="1" applyFill="1" applyBorder="1" applyAlignment="1" applyProtection="1">
      <alignment horizontal="right"/>
      <protection locked="0"/>
    </xf>
    <xf numFmtId="3" fontId="21" fillId="19" borderId="41" xfId="20" applyNumberFormat="1" applyFont="1" applyFill="1" applyBorder="1" applyAlignment="1" applyProtection="1">
      <alignment horizontal="right"/>
      <protection locked="0"/>
    </xf>
    <xf numFmtId="3" fontId="21" fillId="20" borderId="41" xfId="20" applyNumberFormat="1" applyFont="1" applyFill="1" applyBorder="1" applyAlignment="1" applyProtection="1">
      <alignment horizontal="right"/>
      <protection locked="0"/>
    </xf>
    <xf numFmtId="49" fontId="6" fillId="2" borderId="0" xfId="20" applyNumberFormat="1" applyFont="1" applyFill="1" applyBorder="1" applyAlignment="1" applyProtection="1">
      <alignment horizontal="center"/>
      <protection locked="0"/>
    </xf>
    <xf numFmtId="49" fontId="6" fillId="2" borderId="0" xfId="20" applyNumberFormat="1" applyFont="1" applyFill="1" applyBorder="1" applyAlignment="1" applyProtection="1">
      <protection locked="0"/>
    </xf>
    <xf numFmtId="0" fontId="6" fillId="2" borderId="0" xfId="20" applyNumberFormat="1" applyFont="1" applyFill="1" applyBorder="1" applyAlignment="1" applyProtection="1">
      <alignment horizontal="center"/>
      <protection locked="0"/>
    </xf>
    <xf numFmtId="1" fontId="6" fillId="2" borderId="0" xfId="20" applyNumberFormat="1" applyFont="1" applyFill="1" applyBorder="1" applyAlignment="1" applyProtection="1">
      <alignment horizontal="center"/>
      <protection locked="0"/>
    </xf>
    <xf numFmtId="49" fontId="6" fillId="2" borderId="0" xfId="9" applyNumberFormat="1" applyFont="1" applyFill="1" applyBorder="1" applyAlignment="1" applyProtection="1">
      <alignment horizontal="left"/>
      <protection locked="0"/>
    </xf>
    <xf numFmtId="49" fontId="6" fillId="2" borderId="0" xfId="9" applyNumberFormat="1" applyFont="1" applyFill="1" applyBorder="1" applyAlignment="1" applyProtection="1">
      <alignment horizontal="center"/>
      <protection locked="0"/>
    </xf>
    <xf numFmtId="49" fontId="6" fillId="2" borderId="0" xfId="9" applyNumberFormat="1" applyFont="1" applyFill="1" applyBorder="1" applyAlignment="1" applyProtection="1">
      <protection locked="0"/>
    </xf>
    <xf numFmtId="1" fontId="6" fillId="2" borderId="0" xfId="9" applyNumberFormat="1" applyFont="1" applyFill="1" applyBorder="1" applyAlignment="1" applyProtection="1">
      <alignment horizontal="center"/>
      <protection locked="0"/>
    </xf>
    <xf numFmtId="49" fontId="6" fillId="2" borderId="0" xfId="23" applyNumberFormat="1" applyFont="1" applyFill="1" applyBorder="1" applyAlignment="1" applyProtection="1">
      <alignment horizontal="left"/>
      <protection locked="0"/>
    </xf>
    <xf numFmtId="49" fontId="6" fillId="2" borderId="0" xfId="23" applyNumberFormat="1" applyFont="1" applyFill="1" applyBorder="1" applyAlignment="1" applyProtection="1">
      <alignment horizontal="center"/>
      <protection locked="0"/>
    </xf>
    <xf numFmtId="1" fontId="6" fillId="2" borderId="0" xfId="21" applyNumberFormat="1" applyFont="1" applyFill="1" applyBorder="1" applyAlignment="1" applyProtection="1">
      <alignment horizontal="center"/>
      <protection locked="0"/>
    </xf>
    <xf numFmtId="1" fontId="6" fillId="2" borderId="0" xfId="10" applyNumberFormat="1" applyFont="1" applyFill="1" applyBorder="1" applyAlignment="1" applyProtection="1">
      <alignment horizontal="center"/>
      <protection locked="0"/>
    </xf>
    <xf numFmtId="49" fontId="6" fillId="2" borderId="0" xfId="10" applyNumberFormat="1" applyFont="1" applyFill="1" applyBorder="1" applyAlignment="1" applyProtection="1">
      <protection locked="0"/>
    </xf>
    <xf numFmtId="3" fontId="6" fillId="2" borderId="0" xfId="10" applyFont="1" applyFill="1" applyBorder="1" applyProtection="1">
      <protection locked="0"/>
    </xf>
    <xf numFmtId="164" fontId="6" fillId="2" borderId="0" xfId="22" applyFont="1" applyFill="1" applyBorder="1" applyAlignment="1" applyProtection="1">
      <alignment horizontal="center"/>
      <protection locked="0"/>
    </xf>
    <xf numFmtId="49" fontId="6" fillId="14" borderId="0" xfId="9" applyNumberFormat="1" applyFont="1" applyFill="1" applyBorder="1" applyAlignment="1" applyProtection="1">
      <alignment horizontal="center"/>
      <protection locked="0"/>
    </xf>
    <xf numFmtId="49" fontId="6" fillId="14" borderId="0" xfId="9" applyNumberFormat="1" applyFont="1" applyFill="1" applyBorder="1" applyAlignment="1" applyProtection="1">
      <protection locked="0"/>
    </xf>
    <xf numFmtId="0" fontId="6" fillId="14" borderId="0" xfId="2" applyNumberFormat="1" applyFont="1" applyFill="1" applyBorder="1" applyAlignment="1" applyProtection="1">
      <alignment horizontal="center"/>
      <protection locked="0"/>
    </xf>
    <xf numFmtId="1" fontId="6" fillId="14" borderId="0" xfId="8" applyNumberFormat="1" applyFont="1" applyFill="1" applyBorder="1" applyAlignment="1" applyProtection="1">
      <alignment horizontal="center"/>
      <protection locked="0"/>
    </xf>
    <xf numFmtId="3" fontId="21" fillId="0" borderId="0" xfId="24" applyNumberFormat="1" applyFont="1" applyFill="1" applyAlignment="1" applyProtection="1">
      <alignment horizontal="right"/>
      <protection locked="0"/>
    </xf>
    <xf numFmtId="3" fontId="21" fillId="0" borderId="0" xfId="25" applyNumberFormat="1" applyFont="1" applyFill="1" applyAlignment="1" applyProtection="1">
      <alignment horizontal="right"/>
      <protection locked="0"/>
    </xf>
    <xf numFmtId="3" fontId="21" fillId="0" borderId="0" xfId="28" applyNumberFormat="1" applyFont="1" applyFill="1" applyAlignment="1" applyProtection="1">
      <alignment horizontal="right"/>
      <protection locked="0"/>
    </xf>
    <xf numFmtId="3" fontId="21" fillId="0" borderId="0" xfId="27" applyNumberFormat="1" applyFont="1" applyFill="1" applyAlignment="1" applyProtection="1">
      <alignment horizontal="right"/>
      <protection locked="0"/>
    </xf>
    <xf numFmtId="3" fontId="21" fillId="0" borderId="0" xfId="29" applyNumberFormat="1" applyFont="1" applyFill="1" applyAlignment="1" applyProtection="1">
      <alignment horizontal="right"/>
      <protection locked="0"/>
    </xf>
    <xf numFmtId="3" fontId="21" fillId="0" borderId="0" xfId="30" applyNumberFormat="1" applyFont="1" applyFill="1" applyAlignment="1" applyProtection="1">
      <alignment horizontal="right"/>
      <protection locked="0"/>
    </xf>
    <xf numFmtId="3" fontId="21" fillId="0" borderId="0" xfId="31" applyNumberFormat="1" applyFont="1" applyFill="1" applyAlignment="1" applyProtection="1">
      <alignment horizontal="right"/>
      <protection locked="0"/>
    </xf>
    <xf numFmtId="3" fontId="21" fillId="0" borderId="0" xfId="32" applyNumberFormat="1" applyFont="1" applyFill="1" applyAlignment="1" applyProtection="1">
      <alignment horizontal="right"/>
      <protection locked="0"/>
    </xf>
    <xf numFmtId="3" fontId="21" fillId="0" borderId="0" xfId="33" applyNumberFormat="1" applyFont="1" applyFill="1" applyBorder="1" applyAlignment="1" applyProtection="1">
      <alignment horizontal="right"/>
      <protection locked="0"/>
    </xf>
    <xf numFmtId="3" fontId="21" fillId="0" borderId="0" xfId="34" applyNumberFormat="1" applyFont="1" applyFill="1" applyBorder="1" applyAlignment="1" applyProtection="1">
      <alignment horizontal="right"/>
      <protection locked="0"/>
    </xf>
    <xf numFmtId="3" fontId="21" fillId="0" borderId="0" xfId="35" applyNumberFormat="1" applyFont="1" applyFill="1" applyBorder="1" applyAlignment="1" applyProtection="1">
      <alignment horizontal="right"/>
      <protection locked="0"/>
    </xf>
    <xf numFmtId="3" fontId="21" fillId="0" borderId="0" xfId="36" applyNumberFormat="1" applyFont="1" applyFill="1" applyBorder="1" applyAlignment="1" applyProtection="1">
      <alignment horizontal="right"/>
      <protection locked="0"/>
    </xf>
    <xf numFmtId="3" fontId="21" fillId="0" borderId="0" xfId="37" applyNumberFormat="1" applyFont="1" applyFill="1" applyBorder="1" applyAlignment="1" applyProtection="1">
      <alignment horizontal="right"/>
      <protection locked="0"/>
    </xf>
    <xf numFmtId="3" fontId="21" fillId="0" borderId="0" xfId="38" applyNumberFormat="1" applyFont="1" applyFill="1" applyBorder="1" applyAlignment="1" applyProtection="1">
      <alignment horizontal="right"/>
      <protection locked="0"/>
    </xf>
    <xf numFmtId="3" fontId="21" fillId="0" borderId="0" xfId="39" applyNumberFormat="1" applyFont="1" applyFill="1" applyBorder="1" applyAlignment="1" applyProtection="1">
      <alignment horizontal="right"/>
      <protection locked="0"/>
    </xf>
    <xf numFmtId="3" fontId="21" fillId="0" borderId="0" xfId="40" applyNumberFormat="1" applyFont="1" applyFill="1" applyBorder="1" applyAlignment="1" applyProtection="1">
      <alignment horizontal="right"/>
      <protection locked="0"/>
    </xf>
    <xf numFmtId="3" fontId="21" fillId="0" borderId="0" xfId="41" applyNumberFormat="1" applyFont="1" applyFill="1" applyBorder="1" applyAlignment="1" applyProtection="1">
      <alignment horizontal="right"/>
      <protection locked="0"/>
    </xf>
    <xf numFmtId="1" fontId="6" fillId="14" borderId="0" xfId="9" applyNumberFormat="1" applyFont="1" applyFill="1" applyBorder="1" applyAlignment="1" applyProtection="1">
      <alignment horizontal="center"/>
      <protection locked="0"/>
    </xf>
    <xf numFmtId="3" fontId="21" fillId="0" borderId="0" xfId="26" applyNumberFormat="1" applyFont="1" applyFill="1" applyAlignment="1" applyProtection="1">
      <alignment horizontal="right"/>
      <protection locked="0"/>
    </xf>
    <xf numFmtId="49" fontId="6" fillId="14" borderId="0" xfId="23" applyNumberFormat="1" applyFont="1" applyFill="1" applyBorder="1" applyAlignment="1" applyProtection="1">
      <alignment horizontal="left"/>
      <protection locked="0"/>
    </xf>
    <xf numFmtId="49" fontId="6" fillId="14" borderId="0" xfId="23" applyNumberFormat="1" applyFont="1" applyFill="1" applyBorder="1" applyAlignment="1" applyProtection="1">
      <alignment horizontal="center"/>
      <protection locked="0"/>
    </xf>
    <xf numFmtId="1" fontId="6" fillId="14" borderId="0" xfId="21" applyNumberFormat="1" applyFont="1" applyFill="1" applyBorder="1" applyAlignment="1" applyProtection="1">
      <alignment horizontal="center"/>
      <protection locked="0"/>
    </xf>
    <xf numFmtId="49" fontId="6" fillId="24" borderId="28" xfId="9" applyNumberFormat="1" applyFont="1" applyFill="1" applyBorder="1" applyAlignment="1" applyProtection="1">
      <alignment horizontal="center"/>
      <protection locked="0"/>
    </xf>
    <xf numFmtId="1" fontId="38" fillId="24" borderId="0" xfId="9" applyNumberFormat="1" applyFont="1" applyFill="1" applyBorder="1" applyAlignment="1" applyProtection="1">
      <alignment horizontal="center"/>
      <protection locked="0"/>
    </xf>
    <xf numFmtId="1" fontId="38" fillId="24" borderId="0" xfId="8" applyNumberFormat="1" applyFont="1" applyFill="1" applyBorder="1" applyAlignment="1" applyProtection="1">
      <alignment horizontal="center"/>
      <protection locked="0"/>
    </xf>
    <xf numFmtId="3" fontId="6" fillId="14" borderId="0" xfId="10" applyFont="1" applyFill="1" applyBorder="1" applyAlignment="1" applyProtection="1">
      <protection locked="0"/>
    </xf>
    <xf numFmtId="49" fontId="6" fillId="14" borderId="0" xfId="10" applyNumberFormat="1" applyFont="1" applyFill="1" applyBorder="1" applyAlignment="1" applyProtection="1">
      <alignment horizontal="left"/>
      <protection locked="0"/>
    </xf>
    <xf numFmtId="49" fontId="6" fillId="14" borderId="28" xfId="20" applyNumberFormat="1" applyFont="1" applyFill="1" applyBorder="1" applyAlignment="1" applyProtection="1">
      <alignment horizontal="center"/>
      <protection locked="0"/>
    </xf>
    <xf numFmtId="49" fontId="6" fillId="14" borderId="0" xfId="20" applyNumberFormat="1" applyFont="1" applyFill="1" applyBorder="1" applyAlignment="1" applyProtection="1">
      <protection locked="0"/>
    </xf>
    <xf numFmtId="49" fontId="37" fillId="14" borderId="0" xfId="20" applyNumberFormat="1" applyFont="1" applyFill="1" applyBorder="1" applyAlignment="1" applyProtection="1">
      <alignment horizontal="center"/>
      <protection locked="0"/>
    </xf>
    <xf numFmtId="49" fontId="6" fillId="14" borderId="0" xfId="20" applyNumberFormat="1" applyFont="1" applyFill="1" applyBorder="1" applyAlignment="1" applyProtection="1">
      <alignment horizontal="center"/>
      <protection locked="0"/>
    </xf>
    <xf numFmtId="49" fontId="6" fillId="15" borderId="28" xfId="9" applyNumberFormat="1" applyFont="1" applyFill="1" applyBorder="1" applyAlignment="1" applyProtection="1">
      <alignment horizontal="center"/>
      <protection locked="0"/>
    </xf>
    <xf numFmtId="49" fontId="6" fillId="15" borderId="0" xfId="9" applyNumberFormat="1" applyFont="1" applyFill="1" applyBorder="1" applyAlignment="1" applyProtection="1">
      <alignment horizontal="left"/>
      <protection locked="0"/>
    </xf>
    <xf numFmtId="49" fontId="6" fillId="15" borderId="0" xfId="9" applyNumberFormat="1" applyFont="1" applyFill="1" applyBorder="1" applyAlignment="1" applyProtection="1">
      <alignment horizontal="center"/>
      <protection locked="0"/>
    </xf>
    <xf numFmtId="1" fontId="6" fillId="15" borderId="0" xfId="8" applyNumberFormat="1" applyFont="1" applyFill="1" applyBorder="1" applyAlignment="1" applyProtection="1">
      <alignment horizontal="center"/>
      <protection locked="0"/>
    </xf>
    <xf numFmtId="49" fontId="6" fillId="15" borderId="28" xfId="10" applyNumberFormat="1" applyFont="1" applyFill="1" applyBorder="1" applyAlignment="1" applyProtection="1">
      <alignment horizontal="center"/>
      <protection locked="0"/>
    </xf>
    <xf numFmtId="49" fontId="6" fillId="15" borderId="0" xfId="10" applyNumberFormat="1" applyFont="1" applyFill="1" applyBorder="1" applyAlignment="1" applyProtection="1">
      <alignment horizontal="center"/>
      <protection locked="0"/>
    </xf>
    <xf numFmtId="1" fontId="6" fillId="16" borderId="0" xfId="12" applyNumberFormat="1" applyFont="1" applyFill="1" applyBorder="1" applyAlignment="1" applyProtection="1">
      <alignment horizontal="center"/>
      <protection locked="0"/>
    </xf>
    <xf numFmtId="49" fontId="6" fillId="8" borderId="0" xfId="7" applyNumberFormat="1" applyFont="1" applyFill="1" applyBorder="1" applyAlignment="1" applyProtection="1">
      <alignment horizontal="center"/>
      <protection locked="0"/>
    </xf>
    <xf numFmtId="49" fontId="6" fillId="8" borderId="0" xfId="9" applyNumberFormat="1" applyFont="1" applyFill="1" applyBorder="1" applyAlignment="1" applyProtection="1">
      <protection locked="0"/>
    </xf>
    <xf numFmtId="1" fontId="6" fillId="8" borderId="0" xfId="9" applyNumberFormat="1" applyFont="1" applyFill="1" applyBorder="1" applyAlignment="1" applyProtection="1">
      <alignment horizontal="center"/>
      <protection locked="0"/>
    </xf>
    <xf numFmtId="49" fontId="6" fillId="8" borderId="0" xfId="7" applyNumberFormat="1" applyFont="1" applyFill="1" applyBorder="1" applyAlignment="1" applyProtection="1">
      <protection locked="0"/>
    </xf>
    <xf numFmtId="164" fontId="6" fillId="8" borderId="0" xfId="7" applyFont="1" applyFill="1" applyBorder="1" applyAlignment="1" applyProtection="1">
      <alignment horizontal="center"/>
      <protection locked="0"/>
    </xf>
    <xf numFmtId="1" fontId="6" fillId="8" borderId="0" xfId="7" applyNumberFormat="1" applyFont="1" applyFill="1" applyBorder="1" applyAlignment="1" applyProtection="1">
      <alignment horizontal="center"/>
      <protection locked="0"/>
    </xf>
    <xf numFmtId="49" fontId="6" fillId="8" borderId="0" xfId="23" applyNumberFormat="1" applyFont="1" applyFill="1" applyBorder="1" applyAlignment="1" applyProtection="1">
      <alignment horizontal="left"/>
      <protection locked="0"/>
    </xf>
    <xf numFmtId="49" fontId="6" fillId="8" borderId="0" xfId="23" applyNumberFormat="1" applyFont="1" applyFill="1" applyBorder="1" applyAlignment="1" applyProtection="1">
      <alignment horizontal="center"/>
      <protection locked="0"/>
    </xf>
    <xf numFmtId="49" fontId="6" fillId="9" borderId="0" xfId="9" applyNumberFormat="1" applyFont="1" applyFill="1" applyBorder="1" applyAlignment="1" applyProtection="1">
      <alignment horizontal="center"/>
      <protection locked="0"/>
    </xf>
    <xf numFmtId="49" fontId="6" fillId="9" borderId="0" xfId="23" applyNumberFormat="1" applyFont="1" applyFill="1" applyBorder="1" applyAlignment="1" applyProtection="1">
      <alignment horizontal="left"/>
      <protection locked="0"/>
    </xf>
    <xf numFmtId="1" fontId="6" fillId="9" borderId="0" xfId="10" applyNumberFormat="1" applyFont="1" applyFill="1" applyBorder="1" applyAlignment="1" applyProtection="1">
      <alignment horizontal="center"/>
      <protection locked="0"/>
    </xf>
    <xf numFmtId="166" fontId="6" fillId="0" borderId="0" xfId="20" applyNumberFormat="1" applyFont="1" applyFill="1" applyBorder="1" applyAlignment="1" applyProtection="1">
      <protection locked="0"/>
    </xf>
    <xf numFmtId="49" fontId="6" fillId="9" borderId="0" xfId="9" applyNumberFormat="1" applyFont="1" applyFill="1" applyBorder="1" applyAlignment="1" applyProtection="1">
      <protection locked="0"/>
    </xf>
    <xf numFmtId="49" fontId="6" fillId="5" borderId="28" xfId="9" applyNumberFormat="1" applyFont="1" applyFill="1" applyBorder="1" applyAlignment="1" applyProtection="1">
      <alignment horizontal="center"/>
      <protection locked="0"/>
    </xf>
    <xf numFmtId="49" fontId="6" fillId="5" borderId="0" xfId="9" applyNumberFormat="1" applyFont="1" applyFill="1" applyBorder="1" applyAlignment="1" applyProtection="1">
      <alignment horizontal="left"/>
      <protection locked="0"/>
    </xf>
    <xf numFmtId="49" fontId="6" fillId="5" borderId="0" xfId="9" applyNumberFormat="1" applyFont="1" applyFill="1" applyBorder="1" applyAlignment="1" applyProtection="1">
      <alignment horizontal="center"/>
      <protection locked="0"/>
    </xf>
    <xf numFmtId="1" fontId="6" fillId="5" borderId="0" xfId="8" applyNumberFormat="1" applyFont="1" applyFill="1" applyBorder="1" applyAlignment="1" applyProtection="1">
      <alignment horizontal="center"/>
      <protection locked="0"/>
    </xf>
    <xf numFmtId="49" fontId="6" fillId="6" borderId="28" xfId="23" applyNumberFormat="1" applyFont="1" applyFill="1" applyBorder="1" applyAlignment="1" applyProtection="1">
      <alignment horizontal="center"/>
      <protection locked="0"/>
    </xf>
    <xf numFmtId="49" fontId="6" fillId="6" borderId="0" xfId="23" applyNumberFormat="1" applyFont="1" applyFill="1" applyBorder="1" applyAlignment="1" applyProtection="1">
      <alignment horizontal="left"/>
      <protection locked="0"/>
    </xf>
    <xf numFmtId="49" fontId="6" fillId="6" borderId="0" xfId="23" applyNumberFormat="1" applyFont="1" applyFill="1" applyBorder="1" applyAlignment="1" applyProtection="1">
      <alignment horizontal="center"/>
      <protection locked="0"/>
    </xf>
    <xf numFmtId="1" fontId="6" fillId="6" borderId="0" xfId="21" applyNumberFormat="1" applyFont="1" applyFill="1" applyBorder="1" applyAlignment="1" applyProtection="1">
      <alignment horizontal="center"/>
      <protection locked="0"/>
    </xf>
    <xf numFmtId="49" fontId="6" fillId="6" borderId="28" xfId="10" applyNumberFormat="1" applyFont="1" applyFill="1" applyBorder="1" applyAlignment="1" applyProtection="1">
      <alignment horizontal="center"/>
      <protection locked="0"/>
    </xf>
    <xf numFmtId="49" fontId="6" fillId="11" borderId="0" xfId="9" applyNumberFormat="1" applyFont="1" applyFill="1" applyBorder="1" applyAlignment="1" applyProtection="1">
      <protection locked="0"/>
    </xf>
    <xf numFmtId="0" fontId="6" fillId="11" borderId="0" xfId="9" applyNumberFormat="1" applyFont="1" applyFill="1" applyBorder="1" applyAlignment="1" applyProtection="1">
      <alignment horizontal="center"/>
      <protection locked="0"/>
    </xf>
    <xf numFmtId="1" fontId="6" fillId="11" borderId="18" xfId="8" applyNumberFormat="1" applyFont="1" applyFill="1" applyBorder="1" applyAlignment="1" applyProtection="1">
      <alignment horizontal="center"/>
      <protection locked="0"/>
    </xf>
    <xf numFmtId="1" fontId="6" fillId="11" borderId="18" xfId="20" applyNumberFormat="1" applyFont="1" applyFill="1" applyBorder="1" applyAlignment="1" applyProtection="1">
      <alignment horizontal="center"/>
      <protection locked="0"/>
    </xf>
    <xf numFmtId="49" fontId="6" fillId="11" borderId="0" xfId="10" applyNumberFormat="1" applyFont="1" applyFill="1" applyBorder="1" applyAlignment="1" applyProtection="1">
      <alignment horizontal="center"/>
      <protection locked="0"/>
    </xf>
    <xf numFmtId="49" fontId="6" fillId="11" borderId="0" xfId="23" applyNumberFormat="1" applyFont="1" applyFill="1" applyBorder="1" applyAlignment="1" applyProtection="1">
      <alignment horizontal="center"/>
      <protection locked="0"/>
    </xf>
    <xf numFmtId="1" fontId="6" fillId="11" borderId="0" xfId="21" applyNumberFormat="1" applyFont="1" applyFill="1" applyBorder="1" applyAlignment="1" applyProtection="1">
      <alignment horizontal="center"/>
      <protection locked="0"/>
    </xf>
    <xf numFmtId="1" fontId="6" fillId="11" borderId="5" xfId="20" applyNumberFormat="1" applyFont="1" applyFill="1" applyBorder="1" applyAlignment="1" applyProtection="1">
      <alignment horizontal="center"/>
      <protection locked="0"/>
    </xf>
    <xf numFmtId="49" fontId="6" fillId="2" borderId="28" xfId="23" applyNumberFormat="1" applyFont="1" applyFill="1" applyBorder="1" applyAlignment="1" applyProtection="1">
      <alignment horizontal="center"/>
      <protection locked="0"/>
    </xf>
    <xf numFmtId="164" fontId="6" fillId="2" borderId="0" xfId="23" applyFont="1" applyFill="1" applyBorder="1" applyProtection="1">
      <protection locked="0"/>
    </xf>
    <xf numFmtId="49" fontId="6" fillId="2" borderId="0" xfId="6" applyNumberFormat="1" applyFont="1" applyFill="1" applyBorder="1" applyAlignment="1" applyProtection="1">
      <alignment horizontal="left"/>
      <protection locked="0"/>
    </xf>
    <xf numFmtId="49" fontId="6" fillId="2" borderId="0" xfId="20" applyNumberFormat="1" applyFont="1" applyFill="1" applyBorder="1" applyAlignment="1" applyProtection="1">
      <alignment horizontal="left"/>
      <protection locked="0"/>
    </xf>
    <xf numFmtId="49" fontId="6" fillId="14" borderId="28" xfId="23" applyNumberFormat="1" applyFont="1" applyFill="1" applyBorder="1" applyAlignment="1" applyProtection="1">
      <alignment horizontal="center"/>
      <protection locked="0"/>
    </xf>
    <xf numFmtId="49" fontId="6" fillId="15" borderId="28" xfId="23" applyNumberFormat="1" applyFont="1" applyFill="1" applyBorder="1" applyAlignment="1" applyProtection="1">
      <alignment horizontal="center"/>
      <protection locked="0"/>
    </xf>
    <xf numFmtId="49" fontId="6" fillId="15" borderId="0" xfId="23" applyNumberFormat="1" applyFont="1" applyFill="1" applyBorder="1" applyAlignment="1" applyProtection="1">
      <alignment horizontal="left"/>
      <protection locked="0"/>
    </xf>
    <xf numFmtId="49" fontId="6" fillId="15" borderId="0" xfId="23" applyNumberFormat="1" applyFont="1" applyFill="1" applyBorder="1" applyAlignment="1" applyProtection="1">
      <alignment horizontal="center"/>
      <protection locked="0"/>
    </xf>
    <xf numFmtId="1" fontId="6" fillId="15" borderId="0" xfId="21" applyNumberFormat="1" applyFont="1" applyFill="1" applyBorder="1" applyAlignment="1" applyProtection="1">
      <alignment horizontal="center"/>
      <protection locked="0"/>
    </xf>
    <xf numFmtId="49" fontId="6" fillId="8" borderId="28" xfId="23" applyNumberFormat="1" applyFont="1" applyFill="1" applyBorder="1" applyAlignment="1" applyProtection="1">
      <alignment horizontal="center"/>
      <protection locked="0"/>
    </xf>
    <xf numFmtId="49" fontId="6" fillId="8" borderId="0" xfId="11" applyNumberFormat="1" applyFont="1" applyFill="1" applyBorder="1" applyAlignment="1" applyProtection="1">
      <alignment horizontal="left"/>
      <protection locked="0"/>
    </xf>
    <xf numFmtId="3" fontId="6" fillId="8" borderId="0" xfId="10" applyFont="1" applyFill="1" applyBorder="1" applyAlignment="1" applyProtection="1">
      <protection locked="0"/>
    </xf>
    <xf numFmtId="49" fontId="6" fillId="8" borderId="28" xfId="10" applyNumberFormat="1" applyFont="1" applyFill="1" applyBorder="1" applyAlignment="1" applyProtection="1">
      <alignment horizontal="center"/>
      <protection locked="0"/>
    </xf>
    <xf numFmtId="49" fontId="6" fillId="8" borderId="0" xfId="10" applyNumberFormat="1" applyFont="1" applyFill="1" applyBorder="1" applyAlignment="1" applyProtection="1">
      <alignment horizontal="center"/>
      <protection locked="0"/>
    </xf>
    <xf numFmtId="1" fontId="6" fillId="18" borderId="0" xfId="12" applyNumberFormat="1" applyFont="1" applyFill="1" applyBorder="1" applyAlignment="1" applyProtection="1">
      <alignment horizontal="center"/>
      <protection locked="0"/>
    </xf>
    <xf numFmtId="49" fontId="6" fillId="8" borderId="0" xfId="10" applyNumberFormat="1" applyFont="1" applyFill="1" applyBorder="1" applyAlignment="1" applyProtection="1">
      <alignment horizontal="left"/>
      <protection locked="0"/>
    </xf>
    <xf numFmtId="49" fontId="6" fillId="19" borderId="0" xfId="10" applyNumberFormat="1" applyFont="1" applyFill="1" applyBorder="1" applyAlignment="1" applyProtection="1">
      <alignment horizontal="center"/>
      <protection locked="0"/>
    </xf>
    <xf numFmtId="49" fontId="6" fillId="9" borderId="0" xfId="9" applyNumberFormat="1" applyFont="1" applyFill="1" applyBorder="1" applyAlignment="1" applyProtection="1">
      <alignment horizontal="left"/>
      <protection locked="0"/>
    </xf>
    <xf numFmtId="1" fontId="6" fillId="9" borderId="0" xfId="8" applyNumberFormat="1" applyFont="1" applyFill="1" applyBorder="1" applyAlignment="1" applyProtection="1">
      <alignment horizontal="center"/>
      <protection locked="0"/>
    </xf>
    <xf numFmtId="49" fontId="6" fillId="9" borderId="0" xfId="23" applyNumberFormat="1" applyFont="1" applyFill="1" applyBorder="1" applyAlignment="1" applyProtection="1">
      <alignment horizontal="center"/>
      <protection locked="0"/>
    </xf>
    <xf numFmtId="164" fontId="6" fillId="9" borderId="0" xfId="23" applyFont="1" applyFill="1" applyBorder="1" applyProtection="1">
      <protection locked="0"/>
    </xf>
    <xf numFmtId="1" fontId="6" fillId="9" borderId="5" xfId="8" applyNumberFormat="1" applyFont="1" applyFill="1" applyBorder="1" applyAlignment="1" applyProtection="1">
      <alignment horizontal="center"/>
      <protection locked="0"/>
    </xf>
    <xf numFmtId="49" fontId="4" fillId="9" borderId="0" xfId="20" applyNumberFormat="1" applyFont="1" applyFill="1" applyBorder="1" applyAlignment="1" applyProtection="1">
      <alignment horizontal="center"/>
      <protection locked="0"/>
    </xf>
    <xf numFmtId="49" fontId="6" fillId="12" borderId="0" xfId="20" applyNumberFormat="1" applyFont="1" applyFill="1" applyBorder="1" applyAlignment="1" applyProtection="1">
      <alignment horizontal="center"/>
      <protection locked="0"/>
    </xf>
    <xf numFmtId="49" fontId="6" fillId="5" borderId="28" xfId="23" applyNumberFormat="1" applyFont="1" applyFill="1" applyBorder="1" applyAlignment="1" applyProtection="1">
      <alignment horizontal="center"/>
      <protection locked="0"/>
    </xf>
    <xf numFmtId="49" fontId="6" fillId="5" borderId="0" xfId="23" applyNumberFormat="1" applyFont="1" applyFill="1" applyBorder="1" applyAlignment="1" applyProtection="1">
      <alignment horizontal="left"/>
      <protection locked="0"/>
    </xf>
    <xf numFmtId="49" fontId="6" fillId="5" borderId="0" xfId="23" applyNumberFormat="1" applyFont="1" applyFill="1" applyBorder="1" applyAlignment="1" applyProtection="1">
      <alignment horizontal="center"/>
      <protection locked="0"/>
    </xf>
    <xf numFmtId="1" fontId="6" fillId="5" borderId="0" xfId="21" applyNumberFormat="1" applyFont="1" applyFill="1" applyBorder="1" applyAlignment="1" applyProtection="1">
      <alignment horizontal="center"/>
      <protection locked="0"/>
    </xf>
    <xf numFmtId="0" fontId="17" fillId="0" borderId="0" xfId="0" applyNumberFormat="1" applyFont="1" applyFill="1"/>
    <xf numFmtId="49" fontId="6" fillId="5" borderId="0" xfId="11" applyNumberFormat="1" applyFont="1" applyFill="1" applyBorder="1" applyAlignment="1" applyProtection="1">
      <alignment horizontal="left"/>
      <protection locked="0"/>
    </xf>
    <xf numFmtId="164" fontId="6" fillId="5" borderId="0" xfId="23" applyFont="1" applyFill="1" applyBorder="1" applyProtection="1">
      <protection locked="0"/>
    </xf>
    <xf numFmtId="49" fontId="38" fillId="24" borderId="0" xfId="23" applyNumberFormat="1" applyFont="1" applyFill="1" applyBorder="1" applyAlignment="1" applyProtection="1">
      <alignment horizontal="left"/>
      <protection locked="0"/>
    </xf>
    <xf numFmtId="49" fontId="45" fillId="11" borderId="0" xfId="21" applyNumberFormat="1" applyFont="1" applyFill="1" applyBorder="1" applyAlignment="1" applyProtection="1">
      <alignment horizontal="left"/>
      <protection locked="0"/>
    </xf>
    <xf numFmtId="49" fontId="46" fillId="11" borderId="0" xfId="21" applyNumberFormat="1" applyFont="1" applyFill="1" applyBorder="1" applyAlignment="1" applyProtection="1">
      <alignment horizontal="left"/>
      <protection locked="0"/>
    </xf>
    <xf numFmtId="3" fontId="38" fillId="11" borderId="0" xfId="10" applyFont="1" applyFill="1" applyBorder="1" applyAlignment="1" applyProtection="1">
      <protection locked="0"/>
    </xf>
    <xf numFmtId="3" fontId="47" fillId="11" borderId="0" xfId="10" applyFont="1" applyFill="1" applyBorder="1" applyAlignment="1" applyProtection="1">
      <protection locked="0"/>
    </xf>
    <xf numFmtId="1" fontId="38" fillId="11" borderId="0" xfId="21" applyNumberFormat="1" applyFont="1" applyFill="1" applyBorder="1" applyAlignment="1" applyProtection="1">
      <alignment horizontal="center"/>
      <protection locked="0"/>
    </xf>
    <xf numFmtId="49" fontId="6" fillId="2" borderId="0" xfId="21" applyNumberFormat="1" applyFont="1" applyFill="1" applyBorder="1" applyAlignment="1" applyProtection="1">
      <alignment horizontal="left"/>
      <protection locked="0"/>
    </xf>
    <xf numFmtId="49" fontId="45" fillId="2" borderId="0" xfId="21" applyNumberFormat="1" applyFont="1" applyFill="1" applyBorder="1" applyAlignment="1" applyProtection="1">
      <alignment horizontal="left"/>
      <protection locked="0"/>
    </xf>
    <xf numFmtId="164" fontId="38" fillId="2" borderId="0" xfId="21" applyFont="1" applyFill="1" applyBorder="1" applyAlignment="1" applyProtection="1">
      <protection locked="0"/>
    </xf>
    <xf numFmtId="164" fontId="47" fillId="2" borderId="0" xfId="21" applyFont="1" applyFill="1" applyBorder="1" applyAlignment="1" applyProtection="1">
      <protection locked="0"/>
    </xf>
    <xf numFmtId="1" fontId="38" fillId="2" borderId="0" xfId="21" applyNumberFormat="1" applyFont="1" applyFill="1" applyBorder="1" applyAlignment="1" applyProtection="1">
      <alignment horizontal="center"/>
      <protection locked="0"/>
    </xf>
    <xf numFmtId="49" fontId="46" fillId="2" borderId="0" xfId="21" applyNumberFormat="1" applyFont="1" applyFill="1" applyBorder="1" applyAlignment="1" applyProtection="1">
      <alignment horizontal="left"/>
      <protection locked="0"/>
    </xf>
    <xf numFmtId="49" fontId="6" fillId="15" borderId="0" xfId="20" applyNumberFormat="1" applyFont="1" applyFill="1" applyBorder="1" applyAlignment="1" applyProtection="1">
      <alignment horizontal="left"/>
      <protection locked="0"/>
    </xf>
    <xf numFmtId="49" fontId="46" fillId="15" borderId="0" xfId="20" applyNumberFormat="1" applyFont="1" applyFill="1" applyBorder="1" applyAlignment="1" applyProtection="1">
      <alignment horizontal="left"/>
      <protection locked="0"/>
    </xf>
    <xf numFmtId="49" fontId="6" fillId="15" borderId="0" xfId="21" applyNumberFormat="1" applyFont="1" applyFill="1" applyBorder="1" applyAlignment="1" applyProtection="1">
      <alignment horizontal="left"/>
      <protection locked="0"/>
    </xf>
    <xf numFmtId="49" fontId="45" fillId="15" borderId="0" xfId="21" applyNumberFormat="1" applyFont="1" applyFill="1" applyBorder="1" applyAlignment="1" applyProtection="1">
      <alignment horizontal="left"/>
      <protection locked="0"/>
    </xf>
    <xf numFmtId="49" fontId="46" fillId="9" borderId="0" xfId="21" applyNumberFormat="1" applyFont="1" applyFill="1" applyBorder="1" applyAlignment="1" applyProtection="1">
      <alignment horizontal="left"/>
      <protection locked="0"/>
    </xf>
    <xf numFmtId="49" fontId="38" fillId="9" borderId="0" xfId="21" applyNumberFormat="1" applyFont="1" applyFill="1" applyBorder="1" applyAlignment="1" applyProtection="1">
      <alignment horizontal="left"/>
      <protection locked="0"/>
    </xf>
    <xf numFmtId="49" fontId="47" fillId="9" borderId="0" xfId="21" applyNumberFormat="1" applyFont="1" applyFill="1" applyBorder="1" applyAlignment="1" applyProtection="1">
      <alignment horizontal="left"/>
      <protection locked="0"/>
    </xf>
    <xf numFmtId="1" fontId="38" fillId="9" borderId="0" xfId="21" applyNumberFormat="1" applyFont="1" applyFill="1" applyBorder="1" applyAlignment="1" applyProtection="1">
      <alignment horizontal="center"/>
      <protection locked="0"/>
    </xf>
    <xf numFmtId="3" fontId="46" fillId="9" borderId="0" xfId="10" applyFont="1" applyFill="1" applyBorder="1" applyAlignment="1" applyProtection="1">
      <protection locked="0"/>
    </xf>
    <xf numFmtId="49" fontId="6" fillId="6" borderId="0" xfId="21" applyNumberFormat="1" applyFont="1" applyFill="1" applyBorder="1" applyAlignment="1" applyProtection="1">
      <alignment horizontal="left"/>
      <protection locked="0"/>
    </xf>
    <xf numFmtId="49" fontId="45" fillId="6" borderId="0" xfId="21" applyNumberFormat="1" applyFont="1" applyFill="1" applyBorder="1" applyAlignment="1" applyProtection="1">
      <alignment horizontal="left"/>
      <protection locked="0"/>
    </xf>
    <xf numFmtId="164" fontId="38" fillId="6" borderId="0" xfId="21" applyFont="1" applyFill="1" applyBorder="1" applyAlignment="1" applyProtection="1">
      <protection locked="0"/>
    </xf>
    <xf numFmtId="164" fontId="47" fillId="6" borderId="0" xfId="21" applyFont="1" applyFill="1" applyBorder="1" applyAlignment="1" applyProtection="1">
      <protection locked="0"/>
    </xf>
    <xf numFmtId="1" fontId="38" fillId="7" borderId="0" xfId="12" applyNumberFormat="1" applyFont="1" applyFill="1" applyBorder="1" applyAlignment="1" applyProtection="1">
      <alignment horizontal="center"/>
      <protection locked="0"/>
    </xf>
    <xf numFmtId="49" fontId="46" fillId="6" borderId="0" xfId="21" applyNumberFormat="1" applyFont="1" applyFill="1" applyBorder="1" applyAlignment="1" applyProtection="1">
      <alignment horizontal="left"/>
      <protection locked="0"/>
    </xf>
    <xf numFmtId="49" fontId="38" fillId="25" borderId="0" xfId="23" applyNumberFormat="1" applyFont="1" applyFill="1" applyBorder="1" applyAlignment="1" applyProtection="1">
      <alignment horizontal="left"/>
      <protection locked="0"/>
    </xf>
    <xf numFmtId="49" fontId="47" fillId="25" borderId="0" xfId="23" applyNumberFormat="1" applyFont="1" applyFill="1" applyBorder="1" applyAlignment="1" applyProtection="1">
      <alignment horizontal="left"/>
      <protection locked="0"/>
    </xf>
    <xf numFmtId="49" fontId="38" fillId="2" borderId="0" xfId="23" applyNumberFormat="1" applyFont="1" applyFill="1" applyBorder="1" applyAlignment="1" applyProtection="1">
      <alignment horizontal="left"/>
      <protection locked="0"/>
    </xf>
    <xf numFmtId="49" fontId="48" fillId="2" borderId="0" xfId="23" applyNumberFormat="1" applyFont="1" applyFill="1" applyBorder="1" applyAlignment="1" applyProtection="1">
      <alignment horizontal="left"/>
      <protection locked="0"/>
    </xf>
    <xf numFmtId="49" fontId="46" fillId="2" borderId="0" xfId="23" applyNumberFormat="1" applyFont="1" applyFill="1" applyBorder="1" applyAlignment="1" applyProtection="1">
      <alignment horizontal="left"/>
      <protection locked="0"/>
    </xf>
    <xf numFmtId="49" fontId="45" fillId="14" borderId="0" xfId="23" applyNumberFormat="1" applyFont="1" applyFill="1" applyBorder="1" applyAlignment="1" applyProtection="1">
      <alignment horizontal="left"/>
      <protection locked="0"/>
    </xf>
    <xf numFmtId="3" fontId="38" fillId="14" borderId="0" xfId="10" applyFont="1" applyFill="1" applyBorder="1" applyAlignment="1" applyProtection="1">
      <protection locked="0"/>
    </xf>
    <xf numFmtId="3" fontId="47" fillId="14" borderId="0" xfId="10" applyFont="1" applyFill="1" applyBorder="1" applyAlignment="1" applyProtection="1">
      <protection locked="0"/>
    </xf>
    <xf numFmtId="3" fontId="46" fillId="14" borderId="0" xfId="10" applyFont="1" applyFill="1" applyBorder="1" applyAlignment="1" applyProtection="1">
      <protection locked="0"/>
    </xf>
    <xf numFmtId="49" fontId="46" fillId="14" borderId="0" xfId="23" applyNumberFormat="1" applyFont="1" applyFill="1" applyBorder="1" applyAlignment="1" applyProtection="1">
      <alignment horizontal="left"/>
      <protection locked="0"/>
    </xf>
    <xf numFmtId="49" fontId="46" fillId="14" borderId="0" xfId="10" applyNumberFormat="1" applyFont="1" applyFill="1" applyBorder="1" applyAlignment="1" applyProtection="1">
      <alignment horizontal="left"/>
      <protection locked="0"/>
    </xf>
    <xf numFmtId="49" fontId="47" fillId="24" borderId="0" xfId="23" applyNumberFormat="1" applyFont="1" applyFill="1" applyBorder="1" applyAlignment="1" applyProtection="1">
      <alignment horizontal="left"/>
      <protection locked="0"/>
    </xf>
    <xf numFmtId="49" fontId="45" fillId="15" borderId="0" xfId="23" applyNumberFormat="1" applyFont="1" applyFill="1" applyBorder="1" applyAlignment="1" applyProtection="1">
      <alignment horizontal="left"/>
      <protection locked="0"/>
    </xf>
    <xf numFmtId="164" fontId="38" fillId="15" borderId="0" xfId="23" applyFont="1" applyFill="1" applyBorder="1" applyProtection="1">
      <protection locked="0"/>
    </xf>
    <xf numFmtId="164" fontId="47" fillId="15" borderId="0" xfId="23" applyFont="1" applyFill="1" applyBorder="1" applyProtection="1">
      <protection locked="0"/>
    </xf>
    <xf numFmtId="164" fontId="38" fillId="15" borderId="0" xfId="23" applyFont="1" applyFill="1" applyBorder="1" applyAlignment="1" applyProtection="1">
      <alignment horizontal="center"/>
      <protection locked="0"/>
    </xf>
    <xf numFmtId="49" fontId="46" fillId="15" borderId="0" xfId="23" applyNumberFormat="1" applyFont="1" applyFill="1" applyBorder="1" applyAlignment="1" applyProtection="1">
      <alignment horizontal="left"/>
      <protection locked="0"/>
    </xf>
    <xf numFmtId="49" fontId="21" fillId="9" borderId="0" xfId="23" applyNumberFormat="1" applyFont="1" applyFill="1" applyBorder="1" applyAlignment="1" applyProtection="1">
      <alignment horizontal="left"/>
      <protection locked="0"/>
    </xf>
    <xf numFmtId="49" fontId="38" fillId="9" borderId="0" xfId="23" applyNumberFormat="1" applyFont="1" applyFill="1" applyBorder="1" applyAlignment="1" applyProtection="1">
      <alignment horizontal="left"/>
      <protection locked="0"/>
    </xf>
    <xf numFmtId="49" fontId="38" fillId="9" borderId="0" xfId="23" applyNumberFormat="1" applyFont="1" applyFill="1" applyBorder="1" applyAlignment="1" applyProtection="1">
      <alignment horizontal="center"/>
      <protection locked="0"/>
    </xf>
    <xf numFmtId="49" fontId="45" fillId="5" borderId="0" xfId="23" applyNumberFormat="1" applyFont="1" applyFill="1" applyBorder="1" applyAlignment="1" applyProtection="1">
      <alignment horizontal="left"/>
      <protection locked="0"/>
    </xf>
    <xf numFmtId="49" fontId="38" fillId="6" borderId="0" xfId="23" applyNumberFormat="1" applyFont="1" applyFill="1" applyBorder="1" applyAlignment="1" applyProtection="1">
      <alignment horizontal="left"/>
      <protection locked="0"/>
    </xf>
    <xf numFmtId="49" fontId="47" fillId="6" borderId="0" xfId="23" applyNumberFormat="1" applyFont="1" applyFill="1" applyBorder="1" applyAlignment="1" applyProtection="1">
      <alignment horizontal="left"/>
      <protection locked="0"/>
    </xf>
    <xf numFmtId="1" fontId="38" fillId="6" borderId="0" xfId="21" applyNumberFormat="1" applyFont="1" applyFill="1" applyBorder="1" applyAlignment="1" applyProtection="1">
      <alignment horizontal="center"/>
      <protection locked="0"/>
    </xf>
    <xf numFmtId="49" fontId="45" fillId="11" borderId="0" xfId="23" applyNumberFormat="1" applyFont="1" applyFill="1" applyBorder="1" applyAlignment="1" applyProtection="1">
      <alignment horizontal="left"/>
      <protection locked="0"/>
    </xf>
    <xf numFmtId="49" fontId="46" fillId="11" borderId="0" xfId="23" applyNumberFormat="1" applyFont="1" applyFill="1" applyBorder="1" applyAlignment="1" applyProtection="1">
      <alignment horizontal="left"/>
      <protection locked="0"/>
    </xf>
    <xf numFmtId="164" fontId="46" fillId="2" borderId="0" xfId="23" applyFont="1" applyFill="1" applyBorder="1" applyProtection="1">
      <protection locked="0"/>
    </xf>
    <xf numFmtId="49" fontId="46" fillId="2" borderId="0" xfId="6" applyNumberFormat="1" applyFont="1" applyFill="1" applyBorder="1" applyAlignment="1" applyProtection="1">
      <alignment horizontal="left"/>
      <protection locked="0"/>
    </xf>
    <xf numFmtId="49" fontId="46" fillId="2" borderId="0" xfId="20" applyNumberFormat="1" applyFont="1" applyFill="1" applyBorder="1" applyAlignment="1" applyProtection="1">
      <alignment horizontal="left"/>
      <protection locked="0"/>
    </xf>
    <xf numFmtId="1" fontId="6" fillId="2" borderId="0" xfId="23" applyNumberFormat="1" applyFont="1" applyFill="1" applyBorder="1" applyAlignment="1" applyProtection="1">
      <alignment horizontal="center"/>
      <protection locked="0"/>
    </xf>
    <xf numFmtId="1" fontId="6" fillId="2" borderId="0" xfId="6" applyNumberFormat="1" applyFont="1" applyFill="1" applyBorder="1" applyAlignment="1" applyProtection="1">
      <alignment horizontal="center"/>
      <protection locked="0"/>
    </xf>
    <xf numFmtId="0" fontId="6" fillId="2" borderId="0" xfId="6" applyNumberFormat="1" applyFont="1" applyFill="1" applyBorder="1" applyAlignment="1" applyProtection="1">
      <alignment horizontal="center"/>
      <protection locked="0"/>
    </xf>
    <xf numFmtId="49" fontId="6" fillId="24" borderId="0" xfId="23" applyNumberFormat="1" applyFont="1" applyFill="1" applyBorder="1" applyAlignment="1" applyProtection="1">
      <alignment horizontal="left"/>
      <protection locked="0"/>
    </xf>
    <xf numFmtId="49" fontId="46" fillId="24" borderId="0" xfId="23" applyNumberFormat="1" applyFont="1" applyFill="1" applyBorder="1" applyAlignment="1" applyProtection="1">
      <alignment horizontal="left"/>
      <protection locked="0"/>
    </xf>
    <xf numFmtId="49" fontId="38" fillId="15" borderId="0" xfId="23" applyNumberFormat="1" applyFont="1" applyFill="1" applyBorder="1" applyAlignment="1" applyProtection="1">
      <alignment horizontal="left"/>
      <protection locked="0"/>
    </xf>
    <xf numFmtId="49" fontId="48" fillId="15" borderId="0" xfId="23" applyNumberFormat="1" applyFont="1" applyFill="1" applyBorder="1" applyAlignment="1" applyProtection="1">
      <alignment horizontal="left"/>
      <protection locked="0"/>
    </xf>
    <xf numFmtId="1" fontId="38" fillId="15" borderId="0" xfId="21" applyNumberFormat="1" applyFont="1" applyFill="1" applyBorder="1" applyAlignment="1" applyProtection="1">
      <alignment horizontal="center"/>
      <protection locked="0"/>
    </xf>
    <xf numFmtId="49" fontId="45" fillId="8" borderId="0" xfId="23" applyNumberFormat="1" applyFont="1" applyFill="1" applyBorder="1" applyAlignment="1" applyProtection="1">
      <alignment horizontal="left"/>
      <protection locked="0"/>
    </xf>
    <xf numFmtId="49" fontId="38" fillId="8" borderId="0" xfId="23" applyNumberFormat="1" applyFont="1" applyFill="1" applyBorder="1" applyAlignment="1" applyProtection="1">
      <alignment horizontal="left"/>
      <protection locked="0"/>
    </xf>
    <xf numFmtId="49" fontId="48" fillId="8" borderId="0" xfId="23" applyNumberFormat="1" applyFont="1" applyFill="1" applyBorder="1" applyAlignment="1" applyProtection="1">
      <alignment horizontal="left"/>
      <protection locked="0"/>
    </xf>
    <xf numFmtId="1" fontId="38" fillId="8" borderId="0" xfId="21" applyNumberFormat="1" applyFont="1" applyFill="1" applyBorder="1" applyAlignment="1" applyProtection="1">
      <alignment horizontal="center"/>
      <protection locked="0"/>
    </xf>
    <xf numFmtId="3" fontId="38" fillId="8" borderId="0" xfId="10" applyFont="1" applyFill="1" applyBorder="1" applyAlignment="1" applyProtection="1">
      <protection locked="0"/>
    </xf>
    <xf numFmtId="3" fontId="47" fillId="8" borderId="0" xfId="10" applyFont="1" applyFill="1" applyBorder="1" applyAlignment="1" applyProtection="1">
      <protection locked="0"/>
    </xf>
    <xf numFmtId="49" fontId="46" fillId="8" borderId="0" xfId="23" applyNumberFormat="1" applyFont="1" applyFill="1" applyBorder="1" applyAlignment="1" applyProtection="1">
      <alignment horizontal="left"/>
      <protection locked="0"/>
    </xf>
    <xf numFmtId="3" fontId="46" fillId="8" borderId="0" xfId="10" applyFont="1" applyFill="1" applyBorder="1" applyAlignment="1" applyProtection="1">
      <protection locked="0"/>
    </xf>
    <xf numFmtId="49" fontId="46" fillId="8" borderId="0" xfId="10" applyNumberFormat="1" applyFont="1" applyFill="1" applyBorder="1" applyAlignment="1" applyProtection="1">
      <alignment horizontal="left"/>
      <protection locked="0"/>
    </xf>
    <xf numFmtId="0" fontId="6" fillId="8" borderId="0" xfId="10" applyNumberFormat="1" applyFont="1" applyFill="1" applyBorder="1" applyAlignment="1" applyProtection="1">
      <alignment horizontal="center"/>
      <protection locked="0"/>
    </xf>
    <xf numFmtId="49" fontId="48" fillId="9" borderId="0" xfId="23" applyNumberFormat="1" applyFont="1" applyFill="1" applyBorder="1" applyAlignment="1" applyProtection="1">
      <alignment horizontal="left"/>
      <protection locked="0"/>
    </xf>
    <xf numFmtId="49" fontId="46" fillId="9" borderId="0" xfId="23" applyNumberFormat="1" applyFont="1" applyFill="1" applyBorder="1" applyAlignment="1" applyProtection="1">
      <alignment horizontal="left"/>
      <protection locked="0"/>
    </xf>
    <xf numFmtId="164" fontId="46" fillId="9" borderId="0" xfId="23" applyFont="1" applyFill="1" applyBorder="1" applyProtection="1">
      <protection locked="0"/>
    </xf>
    <xf numFmtId="49" fontId="46" fillId="5" borderId="0" xfId="23" applyNumberFormat="1" applyFont="1" applyFill="1" applyBorder="1" applyAlignment="1" applyProtection="1">
      <alignment horizontal="left"/>
      <protection locked="0"/>
    </xf>
    <xf numFmtId="164" fontId="46" fillId="5" borderId="0" xfId="23" applyFont="1" applyFill="1" applyBorder="1" applyProtection="1">
      <protection locked="0"/>
    </xf>
    <xf numFmtId="49" fontId="38" fillId="5" borderId="0" xfId="23" applyNumberFormat="1" applyFont="1" applyFill="1" applyBorder="1" applyAlignment="1" applyProtection="1">
      <alignment horizontal="left"/>
      <protection locked="0"/>
    </xf>
    <xf numFmtId="49" fontId="48" fillId="5" borderId="0" xfId="23" applyNumberFormat="1" applyFont="1" applyFill="1" applyBorder="1" applyAlignment="1" applyProtection="1">
      <alignment horizontal="left"/>
      <protection locked="0"/>
    </xf>
    <xf numFmtId="0" fontId="38" fillId="5" borderId="0" xfId="21" applyNumberFormat="1" applyFont="1" applyFill="1" applyBorder="1" applyAlignment="1" applyProtection="1">
      <alignment horizontal="center"/>
      <protection locked="0"/>
    </xf>
    <xf numFmtId="164" fontId="20" fillId="0" borderId="0" xfId="0" applyFont="1" applyFill="1"/>
    <xf numFmtId="164" fontId="21" fillId="0" borderId="9" xfId="0" applyFont="1" applyFill="1" applyBorder="1"/>
    <xf numFmtId="164" fontId="6" fillId="0" borderId="15" xfId="0" applyFont="1" applyFill="1" applyBorder="1"/>
    <xf numFmtId="164" fontId="6" fillId="0" borderId="9" xfId="0" applyFont="1" applyFill="1" applyBorder="1"/>
    <xf numFmtId="164" fontId="6" fillId="0" borderId="36" xfId="0" applyFont="1" applyFill="1" applyBorder="1"/>
    <xf numFmtId="164" fontId="6" fillId="0" borderId="34" xfId="0" applyFont="1" applyFill="1" applyBorder="1"/>
    <xf numFmtId="164" fontId="21" fillId="0" borderId="2" xfId="0" applyFont="1" applyFill="1" applyBorder="1"/>
    <xf numFmtId="164" fontId="6" fillId="0" borderId="16" xfId="0" applyFont="1" applyFill="1" applyBorder="1"/>
    <xf numFmtId="164" fontId="6" fillId="0" borderId="19" xfId="0" applyFont="1" applyFill="1" applyBorder="1"/>
    <xf numFmtId="164" fontId="6" fillId="0" borderId="21" xfId="0" applyFont="1" applyFill="1" applyBorder="1"/>
    <xf numFmtId="164" fontId="21" fillId="0" borderId="24" xfId="0" applyFont="1" applyFill="1" applyBorder="1"/>
    <xf numFmtId="164" fontId="6" fillId="0" borderId="24" xfId="0" applyFont="1" applyFill="1" applyBorder="1"/>
    <xf numFmtId="164" fontId="6" fillId="0" borderId="24" xfId="0" applyNumberFormat="1" applyFont="1" applyFill="1" applyBorder="1"/>
    <xf numFmtId="164" fontId="6" fillId="0" borderId="25" xfId="0" applyNumberFormat="1" applyFont="1" applyFill="1" applyBorder="1"/>
    <xf numFmtId="164" fontId="6" fillId="0" borderId="26" xfId="0" applyFont="1" applyFill="1" applyBorder="1"/>
    <xf numFmtId="164" fontId="6" fillId="0" borderId="23" xfId="0" applyFont="1" applyFill="1" applyBorder="1"/>
    <xf numFmtId="164" fontId="6" fillId="0" borderId="9" xfId="0" applyNumberFormat="1" applyFont="1" applyFill="1" applyBorder="1"/>
    <xf numFmtId="164" fontId="6" fillId="0" borderId="35" xfId="0" applyFont="1" applyFill="1" applyBorder="1"/>
    <xf numFmtId="3" fontId="6" fillId="0" borderId="9" xfId="0" applyNumberFormat="1" applyFont="1" applyFill="1" applyBorder="1"/>
    <xf numFmtId="3" fontId="6" fillId="0" borderId="4" xfId="0" applyNumberFormat="1" applyFont="1" applyFill="1" applyBorder="1"/>
    <xf numFmtId="3" fontId="6" fillId="0" borderId="30" xfId="0" applyNumberFormat="1" applyFont="1" applyFill="1" applyBorder="1"/>
    <xf numFmtId="3" fontId="6" fillId="0" borderId="31" xfId="0" applyNumberFormat="1" applyFont="1" applyFill="1" applyBorder="1"/>
    <xf numFmtId="3" fontId="6" fillId="0" borderId="3" xfId="0" applyNumberFormat="1" applyFont="1" applyFill="1" applyBorder="1"/>
    <xf numFmtId="3" fontId="6" fillId="0" borderId="21" xfId="0" applyNumberFormat="1" applyFont="1" applyFill="1" applyBorder="1"/>
    <xf numFmtId="3" fontId="6" fillId="0" borderId="19" xfId="0" applyNumberFormat="1" applyFont="1" applyFill="1" applyBorder="1"/>
    <xf numFmtId="164" fontId="6" fillId="0" borderId="27" xfId="0" applyFont="1" applyFill="1" applyBorder="1"/>
    <xf numFmtId="3" fontId="6" fillId="0" borderId="10" xfId="0" applyNumberFormat="1" applyFont="1" applyFill="1" applyBorder="1"/>
    <xf numFmtId="3" fontId="6" fillId="0" borderId="5" xfId="0" applyNumberFormat="1" applyFont="1" applyFill="1" applyBorder="1"/>
    <xf numFmtId="3" fontId="6" fillId="0" borderId="29" xfId="0" applyNumberFormat="1" applyFont="1" applyFill="1" applyBorder="1"/>
    <xf numFmtId="3" fontId="6" fillId="0" borderId="28" xfId="0" applyNumberFormat="1" applyFont="1" applyFill="1" applyBorder="1"/>
    <xf numFmtId="3" fontId="6" fillId="0" borderId="22" xfId="0" applyNumberFormat="1" applyFont="1" applyFill="1" applyBorder="1"/>
    <xf numFmtId="3" fontId="6" fillId="0" borderId="27" xfId="0" applyNumberFormat="1" applyFont="1" applyFill="1" applyBorder="1"/>
    <xf numFmtId="164" fontId="21" fillId="0" borderId="2" xfId="0" applyFont="1" applyFill="1" applyBorder="1" applyAlignment="1">
      <alignment horizontal="right"/>
    </xf>
    <xf numFmtId="164" fontId="21" fillId="0" borderId="51" xfId="0" applyFont="1" applyFill="1" applyBorder="1" applyAlignment="1">
      <alignment horizontal="right"/>
    </xf>
    <xf numFmtId="3" fontId="21" fillId="0" borderId="11" xfId="0" applyNumberFormat="1" applyFont="1" applyFill="1" applyBorder="1" applyAlignment="1">
      <alignment horizontal="right"/>
    </xf>
    <xf numFmtId="164" fontId="6" fillId="0" borderId="45" xfId="0" applyFont="1" applyFill="1" applyBorder="1"/>
    <xf numFmtId="3" fontId="21" fillId="0" borderId="7" xfId="0" applyNumberFormat="1" applyFont="1" applyFill="1" applyBorder="1" applyAlignment="1">
      <alignment horizontal="right"/>
    </xf>
    <xf numFmtId="3" fontId="21" fillId="0" borderId="8" xfId="0" applyNumberFormat="1" applyFont="1" applyFill="1" applyBorder="1" applyAlignment="1">
      <alignment horizontal="right"/>
    </xf>
    <xf numFmtId="3" fontId="21" fillId="0" borderId="52" xfId="0" applyNumberFormat="1" applyFont="1" applyFill="1" applyBorder="1" applyAlignment="1">
      <alignment horizontal="right"/>
    </xf>
    <xf numFmtId="3" fontId="21" fillId="0" borderId="32" xfId="0" applyNumberFormat="1" applyFont="1" applyFill="1" applyBorder="1" applyAlignment="1">
      <alignment horizontal="right"/>
    </xf>
    <xf numFmtId="3" fontId="21" fillId="0" borderId="50" xfId="0" applyNumberFormat="1" applyFont="1" applyFill="1" applyBorder="1" applyAlignment="1">
      <alignment horizontal="right"/>
    </xf>
    <xf numFmtId="3" fontId="21" fillId="0" borderId="51" xfId="0" applyNumberFormat="1" applyFont="1" applyFill="1" applyBorder="1" applyAlignment="1">
      <alignment horizontal="right"/>
    </xf>
    <xf numFmtId="164" fontId="21" fillId="0" borderId="0" xfId="0" applyFont="1" applyFill="1"/>
    <xf numFmtId="164" fontId="4" fillId="0" borderId="0" xfId="44" applyFont="1" applyFill="1" applyAlignment="1">
      <alignment horizontal="left" wrapText="1"/>
    </xf>
    <xf numFmtId="164" fontId="4" fillId="0" borderId="0" xfId="17" applyFont="1" applyFill="1"/>
    <xf numFmtId="164" fontId="32" fillId="0" borderId="44" xfId="17" applyFont="1" applyFill="1" applyBorder="1" applyAlignment="1">
      <alignment horizontal="left" vertical="top" wrapText="1"/>
    </xf>
    <xf numFmtId="164" fontId="37" fillId="0" borderId="0" xfId="17" applyFont="1" applyFill="1"/>
    <xf numFmtId="164" fontId="5" fillId="0" borderId="0" xfId="0" applyFont="1" applyFill="1" applyAlignment="1" applyProtection="1">
      <alignment horizontal="centerContinuous"/>
    </xf>
    <xf numFmtId="0" fontId="4" fillId="0" borderId="45" xfId="17" applyNumberFormat="1" applyFont="1" applyFill="1" applyBorder="1" applyAlignment="1">
      <alignment vertical="top" wrapText="1"/>
    </xf>
    <xf numFmtId="164" fontId="4" fillId="0" borderId="44" xfId="17" applyFont="1" applyFill="1" applyBorder="1" applyAlignment="1">
      <alignment vertical="top" wrapText="1"/>
    </xf>
    <xf numFmtId="37" fontId="32" fillId="0" borderId="45" xfId="17" applyNumberFormat="1" applyFont="1" applyFill="1" applyBorder="1" applyAlignment="1" applyProtection="1">
      <alignment horizontal="left" vertical="top" wrapText="1"/>
    </xf>
    <xf numFmtId="166" fontId="21" fillId="20" borderId="54" xfId="20" applyNumberFormat="1" applyFont="1" applyFill="1" applyBorder="1" applyAlignment="1" applyProtection="1">
      <alignment horizontal="center"/>
      <protection locked="0"/>
    </xf>
    <xf numFmtId="166" fontId="21" fillId="20" borderId="55" xfId="20" applyNumberFormat="1" applyFont="1" applyFill="1" applyBorder="1" applyAlignment="1" applyProtection="1">
      <alignment horizontal="center"/>
      <protection locked="0"/>
    </xf>
    <xf numFmtId="166" fontId="21" fillId="0" borderId="56" xfId="20" applyNumberFormat="1" applyFont="1" applyFill="1" applyBorder="1" applyAlignment="1" applyProtection="1">
      <alignment horizontal="center"/>
      <protection locked="0"/>
    </xf>
    <xf numFmtId="166" fontId="21" fillId="0" borderId="57" xfId="20" applyNumberFormat="1" applyFont="1" applyFill="1" applyBorder="1" applyAlignment="1" applyProtection="1">
      <alignment horizontal="center"/>
      <protection locked="0"/>
    </xf>
    <xf numFmtId="166" fontId="21" fillId="20" borderId="40" xfId="20" applyNumberFormat="1" applyFont="1" applyFill="1" applyBorder="1" applyAlignment="1" applyProtection="1">
      <alignment horizontal="center"/>
      <protection locked="0"/>
    </xf>
    <xf numFmtId="3" fontId="21" fillId="20" borderId="20" xfId="20" applyNumberFormat="1" applyFont="1" applyFill="1" applyBorder="1" applyAlignment="1" applyProtection="1">
      <alignment horizontal="center"/>
      <protection locked="0"/>
    </xf>
    <xf numFmtId="166" fontId="21" fillId="0" borderId="33" xfId="20" applyNumberFormat="1" applyFont="1" applyFill="1" applyBorder="1" applyAlignment="1" applyProtection="1">
      <alignment horizontal="center"/>
      <protection locked="0"/>
    </xf>
    <xf numFmtId="166" fontId="21" fillId="0" borderId="58" xfId="20" applyNumberFormat="1" applyFont="1" applyFill="1" applyBorder="1" applyAlignment="1" applyProtection="1">
      <alignment horizontal="center"/>
      <protection locked="0"/>
    </xf>
    <xf numFmtId="166" fontId="15" fillId="0" borderId="17" xfId="20" applyNumberFormat="1" applyFont="1" applyFill="1" applyBorder="1" applyAlignment="1">
      <alignment horizontal="left"/>
    </xf>
    <xf numFmtId="166" fontId="22" fillId="0" borderId="58" xfId="20" applyNumberFormat="1" applyFont="1" applyFill="1" applyBorder="1" applyAlignment="1">
      <alignment horizontal="center"/>
    </xf>
    <xf numFmtId="166" fontId="19" fillId="0" borderId="40" xfId="20" applyNumberFormat="1" applyFont="1" applyFill="1" applyBorder="1"/>
    <xf numFmtId="166" fontId="19" fillId="0" borderId="17" xfId="20" applyNumberFormat="1" applyFont="1" applyFill="1" applyBorder="1"/>
    <xf numFmtId="166" fontId="8" fillId="0" borderId="39" xfId="20" applyNumberFormat="1" applyFont="1" applyFill="1" applyBorder="1" applyAlignment="1" applyProtection="1">
      <alignment horizontal="centerContinuous"/>
      <protection locked="0"/>
    </xf>
    <xf numFmtId="166" fontId="19" fillId="0" borderId="7" xfId="20" applyNumberFormat="1" applyFont="1" applyFill="1" applyBorder="1" applyAlignment="1" applyProtection="1">
      <alignment horizontal="centerContinuous"/>
    </xf>
    <xf numFmtId="166" fontId="15" fillId="0" borderId="7" xfId="20" applyNumberFormat="1" applyFont="1" applyFill="1" applyBorder="1" applyAlignment="1" applyProtection="1">
      <alignment horizontal="centerContinuous"/>
    </xf>
    <xf numFmtId="166" fontId="15" fillId="0" borderId="42" xfId="20" applyNumberFormat="1" applyFont="1" applyFill="1" applyBorder="1" applyAlignment="1" applyProtection="1">
      <alignment horizontal="centerContinuous"/>
    </xf>
    <xf numFmtId="166" fontId="6" fillId="0" borderId="0" xfId="1" applyNumberFormat="1" applyFont="1" applyFill="1" applyBorder="1" applyAlignment="1">
      <alignment horizontal="centerContinuous"/>
    </xf>
    <xf numFmtId="166" fontId="15" fillId="0" borderId="0" xfId="1" applyNumberFormat="1" applyFont="1" applyFill="1" applyBorder="1" applyAlignment="1">
      <alignment horizontal="centerContinuous"/>
    </xf>
    <xf numFmtId="3" fontId="6" fillId="0" borderId="0" xfId="1" applyNumberFormat="1" applyFont="1" applyFill="1" applyBorder="1" applyAlignment="1" applyProtection="1">
      <alignment horizontal="right"/>
    </xf>
    <xf numFmtId="3" fontId="6" fillId="0" borderId="7" xfId="1" applyNumberFormat="1" applyFont="1" applyFill="1" applyBorder="1" applyAlignment="1" applyProtection="1">
      <alignment horizontal="right"/>
    </xf>
    <xf numFmtId="2" fontId="6" fillId="0" borderId="0" xfId="1" applyNumberFormat="1" applyFont="1" applyFill="1" applyBorder="1" applyAlignment="1" applyProtection="1">
      <alignment horizontal="right"/>
    </xf>
    <xf numFmtId="0" fontId="2" fillId="0" borderId="0" xfId="0" applyNumberFormat="1" applyFont="1" applyFill="1"/>
    <xf numFmtId="164" fontId="32" fillId="0" borderId="0" xfId="0" applyFont="1" applyFill="1" applyAlignment="1">
      <alignment vertical="top" wrapText="1"/>
    </xf>
    <xf numFmtId="164" fontId="17" fillId="0" borderId="0" xfId="0" applyFont="1" applyFill="1" applyAlignment="1" applyProtection="1">
      <alignment horizontal="centerContinuous"/>
    </xf>
    <xf numFmtId="164" fontId="6" fillId="0" borderId="3" xfId="0" applyFont="1" applyFill="1" applyBorder="1" applyProtection="1"/>
    <xf numFmtId="164" fontId="6" fillId="0" borderId="0" xfId="0" applyFont="1" applyFill="1" applyProtection="1"/>
    <xf numFmtId="164" fontId="6" fillId="0" borderId="6" xfId="0" applyFont="1" applyFill="1" applyBorder="1" applyProtection="1"/>
    <xf numFmtId="164" fontId="6" fillId="0" borderId="7" xfId="0" applyFont="1" applyFill="1" applyBorder="1" applyAlignment="1" applyProtection="1">
      <alignment horizontal="left"/>
    </xf>
    <xf numFmtId="164" fontId="4" fillId="0" borderId="0" xfId="0" applyFont="1" applyFill="1" applyAlignment="1" applyProtection="1">
      <alignment horizontal="left"/>
    </xf>
    <xf numFmtId="164" fontId="10" fillId="0" borderId="0" xfId="0" applyFont="1" applyFill="1" applyAlignment="1" applyProtection="1">
      <alignment horizontal="left"/>
    </xf>
    <xf numFmtId="164" fontId="10" fillId="0" borderId="0" xfId="0" applyFont="1" applyFill="1"/>
    <xf numFmtId="164" fontId="6" fillId="0" borderId="6" xfId="0" applyFont="1" applyFill="1" applyBorder="1" applyAlignment="1" applyProtection="1">
      <alignment horizontal="left"/>
    </xf>
    <xf numFmtId="37" fontId="6" fillId="0" borderId="3" xfId="0" applyNumberFormat="1" applyFont="1" applyFill="1" applyBorder="1" applyProtection="1"/>
    <xf numFmtId="164" fontId="5" fillId="0" borderId="0" xfId="0" applyFont="1" applyFill="1" applyAlignment="1" applyProtection="1">
      <alignment horizontal="center"/>
    </xf>
    <xf numFmtId="164" fontId="8" fillId="0" borderId="0" xfId="0" applyFont="1" applyFill="1" applyAlignment="1" applyProtection="1">
      <alignment horizontal="centerContinuous"/>
    </xf>
    <xf numFmtId="164" fontId="6" fillId="0" borderId="3" xfId="0" applyFont="1" applyFill="1" applyBorder="1" applyAlignment="1" applyProtection="1"/>
    <xf numFmtId="164" fontId="6" fillId="0" borderId="0" xfId="0" applyFont="1" applyFill="1" applyAlignment="1" applyProtection="1"/>
    <xf numFmtId="164" fontId="6" fillId="0" borderId="6" xfId="0" applyFont="1" applyFill="1" applyBorder="1" applyAlignment="1" applyProtection="1"/>
    <xf numFmtId="164" fontId="37" fillId="0" borderId="0" xfId="0" applyFont="1" applyFill="1" applyAlignment="1" applyProtection="1">
      <alignment horizontal="right"/>
    </xf>
    <xf numFmtId="164" fontId="9" fillId="0" borderId="0" xfId="0" applyFont="1" applyAlignment="1" applyProtection="1">
      <alignment horizontal="center"/>
    </xf>
    <xf numFmtId="164" fontId="16" fillId="0" borderId="0" xfId="0" applyFont="1" applyAlignment="1"/>
    <xf numFmtId="164" fontId="8" fillId="0" borderId="0" xfId="0" applyFont="1" applyAlignment="1" applyProtection="1">
      <alignment horizontal="center"/>
    </xf>
    <xf numFmtId="164" fontId="17" fillId="0" borderId="0" xfId="0" applyFont="1" applyAlignment="1"/>
    <xf numFmtId="37" fontId="8" fillId="0" borderId="0" xfId="0" applyNumberFormat="1" applyFont="1" applyAlignment="1" applyProtection="1">
      <alignment horizontal="center"/>
    </xf>
    <xf numFmtId="164" fontId="7" fillId="0" borderId="12" xfId="0" applyFont="1" applyBorder="1" applyAlignment="1" applyProtection="1">
      <alignment horizontal="center"/>
    </xf>
    <xf numFmtId="164" fontId="17" fillId="0" borderId="14" xfId="0" applyFont="1" applyBorder="1" applyAlignment="1">
      <alignment horizontal="center"/>
    </xf>
    <xf numFmtId="164" fontId="7" fillId="0" borderId="46" xfId="0" applyFont="1" applyBorder="1" applyAlignment="1" applyProtection="1">
      <alignment horizontal="center"/>
    </xf>
    <xf numFmtId="164" fontId="17" fillId="0" borderId="47" xfId="0" applyFont="1" applyBorder="1" applyAlignment="1">
      <alignment horizontal="center"/>
    </xf>
    <xf numFmtId="37" fontId="9" fillId="0" borderId="0" xfId="0" applyNumberFormat="1" applyFont="1" applyAlignment="1" applyProtection="1">
      <alignment horizontal="center"/>
    </xf>
    <xf numFmtId="164" fontId="7" fillId="0" borderId="0" xfId="0" applyFont="1" applyBorder="1" applyAlignment="1" applyProtection="1">
      <alignment horizontal="center"/>
    </xf>
    <xf numFmtId="164" fontId="17" fillId="0" borderId="0" xfId="0" applyFont="1" applyBorder="1" applyAlignment="1">
      <alignment horizontal="center"/>
    </xf>
    <xf numFmtId="164" fontId="7" fillId="0" borderId="13" xfId="0" applyFont="1" applyBorder="1" applyAlignment="1" applyProtection="1">
      <alignment horizontal="center"/>
    </xf>
    <xf numFmtId="164" fontId="17" fillId="0" borderId="12" xfId="0" applyFont="1" applyBorder="1" applyAlignment="1">
      <alignment horizontal="center"/>
    </xf>
    <xf numFmtId="164" fontId="8" fillId="0" borderId="0" xfId="0" applyFont="1" applyBorder="1" applyAlignment="1" applyProtection="1">
      <alignment horizontal="center"/>
    </xf>
    <xf numFmtId="164" fontId="6" fillId="0" borderId="0" xfId="0" applyFont="1" applyAlignment="1">
      <alignment horizontal="center" wrapText="1"/>
    </xf>
    <xf numFmtId="164" fontId="7" fillId="0" borderId="25" xfId="0" applyFont="1" applyBorder="1" applyAlignment="1" applyProtection="1">
      <alignment horizontal="center"/>
    </xf>
    <xf numFmtId="164" fontId="8" fillId="0" borderId="0" xfId="0" applyFont="1" applyFill="1" applyAlignment="1">
      <alignment horizontal="center"/>
    </xf>
  </cellXfs>
  <cellStyles count="45">
    <cellStyle name="Comma" xfId="1" builtinId="3"/>
    <cellStyle name="Comma 2" xfId="20"/>
    <cellStyle name="Comma_LA_BOR09 final" xfId="2"/>
    <cellStyle name="Normal" xfId="0" builtinId="0"/>
    <cellStyle name="Normal 2" xfId="17"/>
    <cellStyle name="Normal 2 5" xfId="43"/>
    <cellStyle name="Normal 3" xfId="3"/>
    <cellStyle name="Normal 4" xfId="4"/>
    <cellStyle name="Normal 4 2" xfId="18"/>
    <cellStyle name="Normal 5" xfId="5"/>
    <cellStyle name="Normal 5 2" xfId="19"/>
    <cellStyle name="Normal 61" xfId="24"/>
    <cellStyle name="Normal 62" xfId="25"/>
    <cellStyle name="Normal 64" xfId="26"/>
    <cellStyle name="Normal 65" xfId="27"/>
    <cellStyle name="Normal 66" xfId="28"/>
    <cellStyle name="Normal 67" xfId="30"/>
    <cellStyle name="Normal 68" xfId="29"/>
    <cellStyle name="Normal 69" xfId="31"/>
    <cellStyle name="Normal 70" xfId="32"/>
    <cellStyle name="Normal 74" xfId="33"/>
    <cellStyle name="Normal 75" xfId="34"/>
    <cellStyle name="Normal 76" xfId="35"/>
    <cellStyle name="Normal 77" xfId="36"/>
    <cellStyle name="Normal 78" xfId="38"/>
    <cellStyle name="Normal 79" xfId="37"/>
    <cellStyle name="Normal 80" xfId="39"/>
    <cellStyle name="Normal 81" xfId="40"/>
    <cellStyle name="Normal 82" xfId="41"/>
    <cellStyle name="Normal_03SCH&amp;FTE05" xfId="6"/>
    <cellStyle name="Normal_09-10Benefits05" xfId="7"/>
    <cellStyle name="Normal_Benefits02 Form 2" xfId="44"/>
    <cellStyle name="Normal_Degree02 Form" xfId="8"/>
    <cellStyle name="Normal_Degree02 Form 2" xfId="21"/>
    <cellStyle name="Normal_Degrees02 Form" xfId="9"/>
    <cellStyle name="Normal_Degrees02 Form 2" xfId="23"/>
    <cellStyle name="Normal_Salaries02 Form 2" xfId="22"/>
    <cellStyle name="Normal_SCH&amp;FTE02 Form" xfId="10"/>
    <cellStyle name="Normal_SCH&amp;FTE03 Form" xfId="42"/>
    <cellStyle name="Normal_StProg01B" xfId="11"/>
    <cellStyle name="Normal_StProg02 Form" xfId="12"/>
    <cellStyle name="Normal_Tuit98" xfId="13"/>
    <cellStyle name="Percent" xfId="14" builtinId="5"/>
    <cellStyle name="questionable" xfId="15"/>
    <cellStyle name="review" xfId="16"/>
  </cellStyles>
  <dxfs count="961">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indexed="10"/>
      </font>
    </dxf>
    <dxf>
      <font>
        <b/>
        <i val="0"/>
        <color indexed="1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patternType="solid">
          <bgColor rgb="FF92D050"/>
        </patternFill>
      </fill>
    </dxf>
    <dxf>
      <fill>
        <patternFill patternType="solid">
          <bgColor rgb="FF92D050"/>
        </patternFill>
      </fill>
    </dxf>
    <dxf>
      <border>
        <left style="thin">
          <color indexed="64"/>
        </left>
        <right style="thin">
          <color indexed="64"/>
        </right>
        <top style="thin">
          <color indexed="64"/>
        </top>
      </border>
    </dxf>
    <dxf>
      <fill>
        <patternFill patternType="solid">
          <bgColor theme="5" tint="0.79998168889431442"/>
        </patternFill>
      </fill>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border>
        <left style="thin">
          <color indexed="64"/>
        </left>
        <right style="thin">
          <color indexed="64"/>
        </right>
        <top style="thin">
          <color indexed="64"/>
        </top>
      </border>
    </dxf>
    <dxf>
      <fill>
        <patternFill patternType="solid">
          <bgColor theme="5" tint="0.79998168889431442"/>
        </patternFill>
      </fill>
    </dxf>
    <dxf>
      <border>
        <left style="thin">
          <color indexed="64"/>
        </left>
      </border>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rder>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border>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border>
        <bottom style="thin">
          <color indexed="64"/>
        </bottom>
      </border>
    </dxf>
    <dxf>
      <border>
        <bottom style="thin">
          <color indexed="64"/>
        </bottom>
      </border>
    </dxf>
    <dxf>
      <font>
        <sz val="10"/>
      </font>
    </dxf>
    <dxf>
      <font>
        <name val="Arial"/>
        <scheme val="none"/>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70" formatCode="#,##0.0"/>
    </dxf>
    <dxf>
      <numFmt numFmtId="170" formatCode="#,##0.0"/>
    </dxf>
    <dxf>
      <numFmt numFmtId="170" formatCode="#,##0.0"/>
    </dxf>
    <dxf>
      <numFmt numFmtId="4" formatCode="#,##0.00"/>
    </dxf>
    <dxf>
      <numFmt numFmtId="170" formatCode="#,##0.0"/>
    </dxf>
    <dxf>
      <numFmt numFmtId="4" formatCode="#,##0.00"/>
    </dxf>
    <dxf>
      <numFmt numFmtId="4" formatCode="#,##0.0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border>
        <left/>
      </border>
    </dxf>
    <dxf>
      <font>
        <sz val="10"/>
      </font>
    </dxf>
    <dxf>
      <font>
        <name val="Arial"/>
        <scheme val="none"/>
      </font>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solid">
          <bgColor indexed="46"/>
        </patternFill>
      </fill>
    </dxf>
    <dxf>
      <fill>
        <patternFill patternType="solid">
          <bgColor indexed="46"/>
        </patternFill>
      </fill>
    </dxf>
    <dxf>
      <font>
        <sz val="10"/>
        <name val="Arial"/>
        <scheme val="none"/>
      </font>
      <numFmt numFmtId="3" formatCode="#,##0"/>
    </dxf>
    <dxf>
      <fill>
        <patternFill patternType="solid">
          <bgColor indexed="43"/>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9" defaultPivotStyle="PivotStyleLight16"/>
  <colors>
    <mruColors>
      <color rgb="FFFFFFCC"/>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data.sreb.org/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9Salaries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laries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EW Table 142"/>
      <sheetName val="OLD Table"/>
      <sheetName val="NEW Tables 143-162"/>
      <sheetName val="OLD Tables"/>
      <sheetName val="NEW Table 163"/>
      <sheetName val="OLD Table  "/>
      <sheetName val="Calculated Fields"/>
      <sheetName val="Averages Pivot Table"/>
      <sheetName val="NEW Counts Pivot Table"/>
      <sheetName val="OLD Counts Pivot Table"/>
      <sheetName val="Faculty Salary Data"/>
      <sheetName val="Format for avgs table"/>
      <sheetName val="Format for counts table"/>
    </sheetNames>
    <sheetDataSet>
      <sheetData sheetId="0" refreshError="1"/>
      <sheetData sheetId="1" refreshError="1"/>
      <sheetData sheetId="2">
        <row r="8">
          <cell r="B8">
            <v>84691.302308609505</v>
          </cell>
          <cell r="D8">
            <v>75916.652892789236</v>
          </cell>
          <cell r="F8">
            <v>63725.108062828323</v>
          </cell>
          <cell r="H8">
            <v>62091.455053801983</v>
          </cell>
          <cell r="J8">
            <v>59024.507887206564</v>
          </cell>
          <cell r="L8">
            <v>57514.557974258933</v>
          </cell>
          <cell r="N8">
            <v>73954.52597053448</v>
          </cell>
        </row>
        <row r="10">
          <cell r="B10">
            <v>81186.655495792089</v>
          </cell>
          <cell r="D10">
            <v>77123.619475907588</v>
          </cell>
          <cell r="F10">
            <v>61003.22169864428</v>
          </cell>
          <cell r="H10">
            <v>63609.936787779436</v>
          </cell>
          <cell r="J10">
            <v>56738.445081967213</v>
          </cell>
          <cell r="L10">
            <v>68725.878179069769</v>
          </cell>
          <cell r="N10">
            <v>72751.781656992593</v>
          </cell>
        </row>
        <row r="11">
          <cell r="B11">
            <v>77922.003020168064</v>
          </cell>
          <cell r="D11">
            <v>0</v>
          </cell>
          <cell r="F11">
            <v>57765.180917686172</v>
          </cell>
          <cell r="H11">
            <v>52944.469623245619</v>
          </cell>
          <cell r="J11">
            <v>49637.593632051277</v>
          </cell>
          <cell r="L11">
            <v>52019.414833838382</v>
          </cell>
          <cell r="N11">
            <v>61129.79961629834</v>
          </cell>
        </row>
        <row r="12">
          <cell r="B12">
            <v>99645.742565186505</v>
          </cell>
          <cell r="D12">
            <v>0</v>
          </cell>
          <cell r="F12">
            <v>0</v>
          </cell>
          <cell r="H12">
            <v>65065.276523232322</v>
          </cell>
          <cell r="J12">
            <v>0</v>
          </cell>
          <cell r="L12">
            <v>0</v>
          </cell>
          <cell r="N12">
            <v>94474.343564954674</v>
          </cell>
        </row>
        <row r="13">
          <cell r="B13">
            <v>82114.445515932341</v>
          </cell>
          <cell r="D13">
            <v>70789.5371002584</v>
          </cell>
          <cell r="F13">
            <v>66913.886719607835</v>
          </cell>
          <cell r="H13">
            <v>62745.088510991962</v>
          </cell>
          <cell r="J13">
            <v>0</v>
          </cell>
          <cell r="L13">
            <v>68274.343258591558</v>
          </cell>
          <cell r="N13">
            <v>78037.041880881632</v>
          </cell>
        </row>
        <row r="15">
          <cell r="B15">
            <v>82834.245913112536</v>
          </cell>
          <cell r="D15">
            <v>107284.9052771282</v>
          </cell>
          <cell r="F15">
            <v>60750.07001122785</v>
          </cell>
          <cell r="H15">
            <v>59474.124227744156</v>
          </cell>
          <cell r="J15">
            <v>57331.743067307099</v>
          </cell>
          <cell r="L15">
            <v>57771.364113622047</v>
          </cell>
          <cell r="N15">
            <v>72774.068051609604</v>
          </cell>
        </row>
        <row r="16">
          <cell r="B16">
            <v>80062.521640869963</v>
          </cell>
          <cell r="D16">
            <v>0</v>
          </cell>
          <cell r="F16">
            <v>59655.037797591489</v>
          </cell>
          <cell r="H16">
            <v>62844.843185015285</v>
          </cell>
          <cell r="J16">
            <v>0</v>
          </cell>
          <cell r="L16">
            <v>0</v>
          </cell>
          <cell r="N16">
            <v>69042.577551673312</v>
          </cell>
        </row>
        <row r="17">
          <cell r="B17">
            <v>81172.056250565409</v>
          </cell>
          <cell r="D17">
            <v>67301.43570905141</v>
          </cell>
          <cell r="F17">
            <v>60355.430876537219</v>
          </cell>
          <cell r="H17">
            <v>55296.592518022801</v>
          </cell>
          <cell r="J17">
            <v>0</v>
          </cell>
          <cell r="L17">
            <v>0</v>
          </cell>
          <cell r="N17">
            <v>65908.823999419736</v>
          </cell>
        </row>
        <row r="18">
          <cell r="B18">
            <v>110063.9662877091</v>
          </cell>
          <cell r="D18">
            <v>86571.303540540539</v>
          </cell>
          <cell r="F18">
            <v>73478.638005117275</v>
          </cell>
          <cell r="H18">
            <v>74060.830428596644</v>
          </cell>
          <cell r="J18">
            <v>0</v>
          </cell>
          <cell r="L18">
            <v>66948.006896551728</v>
          </cell>
          <cell r="N18">
            <v>87322.115685592813</v>
          </cell>
        </row>
        <row r="20">
          <cell r="B20">
            <v>64032.535242832259</v>
          </cell>
          <cell r="D20">
            <v>67040.908248304622</v>
          </cell>
          <cell r="F20">
            <v>0</v>
          </cell>
          <cell r="H20">
            <v>53010.426824948867</v>
          </cell>
          <cell r="J20">
            <v>49360.614268676931</v>
          </cell>
          <cell r="L20">
            <v>0</v>
          </cell>
          <cell r="N20">
            <v>62816.482272798901</v>
          </cell>
        </row>
        <row r="21">
          <cell r="B21">
            <v>96744.394035960315</v>
          </cell>
          <cell r="D21">
            <v>75768.865161521258</v>
          </cell>
          <cell r="F21">
            <v>70350.753561480407</v>
          </cell>
          <cell r="H21">
            <v>68710.412558122742</v>
          </cell>
          <cell r="J21">
            <v>65902.714320238098</v>
          </cell>
          <cell r="L21">
            <v>67903.819857881128</v>
          </cell>
          <cell r="N21">
            <v>79332.810015933195</v>
          </cell>
        </row>
        <row r="22">
          <cell r="B22">
            <v>77906.17307420772</v>
          </cell>
          <cell r="D22">
            <v>0</v>
          </cell>
          <cell r="F22">
            <v>58660.915931626121</v>
          </cell>
          <cell r="H22">
            <v>0</v>
          </cell>
          <cell r="J22">
            <v>53598.031679351348</v>
          </cell>
          <cell r="L22">
            <v>47440.789301869176</v>
          </cell>
          <cell r="N22">
            <v>66816.984268899527</v>
          </cell>
        </row>
        <row r="23">
          <cell r="B23">
            <v>79769.244417559661</v>
          </cell>
          <cell r="D23">
            <v>0</v>
          </cell>
          <cell r="F23">
            <v>63806.403644221107</v>
          </cell>
          <cell r="H23">
            <v>68333.49647058823</v>
          </cell>
          <cell r="J23">
            <v>60257.635737696328</v>
          </cell>
          <cell r="L23">
            <v>53949.894314937759</v>
          </cell>
          <cell r="N23">
            <v>70294.330321588102</v>
          </cell>
        </row>
        <row r="25">
          <cell r="B25">
            <v>77389.687229785515</v>
          </cell>
          <cell r="D25">
            <v>0</v>
          </cell>
          <cell r="F25">
            <v>59543.306989647062</v>
          </cell>
          <cell r="H25">
            <v>0</v>
          </cell>
          <cell r="J25">
            <v>57751.886990647479</v>
          </cell>
          <cell r="L25">
            <v>0</v>
          </cell>
          <cell r="N25">
            <v>67160.426279245279</v>
          </cell>
        </row>
        <row r="26">
          <cell r="B26">
            <v>86738.150747194028</v>
          </cell>
          <cell r="D26">
            <v>69731.238782877772</v>
          </cell>
          <cell r="F26">
            <v>64249.899436168693</v>
          </cell>
          <cell r="H26">
            <v>67554.481202539682</v>
          </cell>
          <cell r="J26">
            <v>66023.013969759457</v>
          </cell>
          <cell r="L26">
            <v>66184.392401999998</v>
          </cell>
          <cell r="N26">
            <v>75977.00008845485</v>
          </cell>
        </row>
        <row r="27">
          <cell r="B27">
            <v>90662.896214982655</v>
          </cell>
          <cell r="D27">
            <v>77444.275890813951</v>
          </cell>
          <cell r="F27">
            <v>67240.761729702135</v>
          </cell>
          <cell r="H27">
            <v>64445.783102499998</v>
          </cell>
          <cell r="J27">
            <v>64675.395548637011</v>
          </cell>
          <cell r="L27">
            <v>57569.831777777785</v>
          </cell>
          <cell r="N27">
            <v>80471.193759384754</v>
          </cell>
        </row>
        <row r="28">
          <cell r="B28">
            <v>75753.584786514504</v>
          </cell>
          <cell r="D28">
            <v>0</v>
          </cell>
          <cell r="F28">
            <v>61513.993002928873</v>
          </cell>
          <cell r="H28">
            <v>0</v>
          </cell>
          <cell r="J28">
            <v>59307.394686111104</v>
          </cell>
          <cell r="L28">
            <v>54021.619901543745</v>
          </cell>
          <cell r="N28">
            <v>65285.464099351499</v>
          </cell>
        </row>
        <row r="38">
          <cell r="B38">
            <v>54861.800102206347</v>
          </cell>
          <cell r="D38">
            <v>54093.048684692287</v>
          </cell>
          <cell r="F38">
            <v>49168.777607690652</v>
          </cell>
          <cell r="H38">
            <v>46014.70414731004</v>
          </cell>
          <cell r="J38">
            <v>51830.606228565914</v>
          </cell>
        </row>
        <row r="40">
          <cell r="B40">
            <v>0</v>
          </cell>
          <cell r="D40">
            <v>53456.654580071176</v>
          </cell>
          <cell r="F40">
            <v>53202.086543978105</v>
          </cell>
          <cell r="H40">
            <v>52201.459242424244</v>
          </cell>
          <cell r="J40">
            <v>53018.942272532433</v>
          </cell>
        </row>
        <row r="41">
          <cell r="B41">
            <v>0</v>
          </cell>
          <cell r="D41">
            <v>47404.103644444447</v>
          </cell>
          <cell r="F41">
            <v>46102.92443887324</v>
          </cell>
          <cell r="H41">
            <v>41852.148659777784</v>
          </cell>
          <cell r="J41">
            <v>43576.138634502102</v>
          </cell>
        </row>
        <row r="42">
          <cell r="B42">
            <v>0</v>
          </cell>
          <cell r="D42">
            <v>0</v>
          </cell>
          <cell r="F42">
            <v>63829.264999999999</v>
          </cell>
          <cell r="H42">
            <v>63715.690800000004</v>
          </cell>
          <cell r="J42">
            <v>63804.420643749996</v>
          </cell>
        </row>
        <row r="43">
          <cell r="B43">
            <v>58779.872367581367</v>
          </cell>
          <cell r="D43">
            <v>53262.509313154835</v>
          </cell>
          <cell r="F43">
            <v>46161.699769053121</v>
          </cell>
          <cell r="H43">
            <v>50101.859649122809</v>
          </cell>
          <cell r="J43">
            <v>54243.92208265065</v>
          </cell>
        </row>
        <row r="45">
          <cell r="B45">
            <v>49113.038046242778</v>
          </cell>
          <cell r="D45">
            <v>50469.596227610629</v>
          </cell>
          <cell r="F45">
            <v>46792.740757942782</v>
          </cell>
          <cell r="H45">
            <v>44524.043983246076</v>
          </cell>
          <cell r="J45">
            <v>47971.754367968664</v>
          </cell>
        </row>
        <row r="46">
          <cell r="B46">
            <v>0</v>
          </cell>
          <cell r="D46">
            <v>49864.814483203132</v>
          </cell>
          <cell r="F46">
            <v>47750.474797687864</v>
          </cell>
          <cell r="H46">
            <v>49668.487098666672</v>
          </cell>
          <cell r="J46">
            <v>48603.485888788731</v>
          </cell>
        </row>
        <row r="47">
          <cell r="B47">
            <v>48373.200119587629</v>
          </cell>
          <cell r="D47">
            <v>54621.772599999997</v>
          </cell>
          <cell r="F47">
            <v>43833.858449999992</v>
          </cell>
          <cell r="H47">
            <v>42470.149945714293</v>
          </cell>
          <cell r="J47">
            <v>49808.065047129392</v>
          </cell>
        </row>
        <row r="48">
          <cell r="B48">
            <v>0</v>
          </cell>
          <cell r="D48">
            <v>69073.715388888901</v>
          </cell>
          <cell r="F48">
            <v>60604.163601495733</v>
          </cell>
          <cell r="H48">
            <v>60503.105001587297</v>
          </cell>
          <cell r="J48">
            <v>65473.636499280561</v>
          </cell>
        </row>
        <row r="50">
          <cell r="B50">
            <v>0</v>
          </cell>
          <cell r="D50">
            <v>48532.744048788845</v>
          </cell>
          <cell r="F50">
            <v>50427.004317114108</v>
          </cell>
          <cell r="H50">
            <v>46379.342922758617</v>
          </cell>
          <cell r="J50">
            <v>49309.383603560455</v>
          </cell>
        </row>
        <row r="51">
          <cell r="B51">
            <v>0</v>
          </cell>
          <cell r="D51">
            <v>47747.426765799253</v>
          </cell>
          <cell r="F51">
            <v>47465.146570397112</v>
          </cell>
          <cell r="H51">
            <v>45986.983667409055</v>
          </cell>
          <cell r="J51">
            <v>47284.192889672398</v>
          </cell>
        </row>
        <row r="52">
          <cell r="B52">
            <v>52064</v>
          </cell>
          <cell r="D52">
            <v>52921.55907117117</v>
          </cell>
          <cell r="F52">
            <v>47222.345874829931</v>
          </cell>
          <cell r="H52">
            <v>43035.543432978724</v>
          </cell>
          <cell r="J52">
            <v>48473.878839482204</v>
          </cell>
        </row>
        <row r="53">
          <cell r="B53">
            <v>56392.94533559322</v>
          </cell>
          <cell r="D53">
            <v>47067.297921478057</v>
          </cell>
          <cell r="F53">
            <v>45738.080967402733</v>
          </cell>
          <cell r="H53">
            <v>45150.896684251966</v>
          </cell>
          <cell r="J53">
            <v>46503.61809042254</v>
          </cell>
        </row>
        <row r="55">
          <cell r="B55">
            <v>0</v>
          </cell>
          <cell r="D55">
            <v>47134.089873261204</v>
          </cell>
          <cell r="F55">
            <v>46134.112525698831</v>
          </cell>
          <cell r="H55">
            <v>46516.899977358495</v>
          </cell>
          <cell r="J55">
            <v>46502.975476948588</v>
          </cell>
        </row>
        <row r="56">
          <cell r="B56">
            <v>51946.065672823221</v>
          </cell>
          <cell r="D56">
            <v>56414.085521503694</v>
          </cell>
          <cell r="F56">
            <v>48412.433266423359</v>
          </cell>
          <cell r="H56">
            <v>43517.247016271191</v>
          </cell>
          <cell r="J56">
            <v>53774.019832766913</v>
          </cell>
        </row>
        <row r="57">
          <cell r="B57">
            <v>0</v>
          </cell>
          <cell r="D57">
            <v>0</v>
          </cell>
          <cell r="F57">
            <v>0</v>
          </cell>
          <cell r="H57">
            <v>54434.63636363636</v>
          </cell>
          <cell r="J57">
            <v>56975.266498981859</v>
          </cell>
        </row>
        <row r="58">
          <cell r="B58">
            <v>46891.629959398488</v>
          </cell>
          <cell r="D58">
            <v>0</v>
          </cell>
          <cell r="F58">
            <v>0</v>
          </cell>
          <cell r="H58">
            <v>47083.403043127961</v>
          </cell>
          <cell r="J58">
            <v>47037.446610450454</v>
          </cell>
        </row>
        <row r="68">
          <cell r="B68">
            <v>45855.188354653605</v>
          </cell>
          <cell r="D68">
            <v>43801.787279337739</v>
          </cell>
          <cell r="F68">
            <v>40024.100049110319</v>
          </cell>
          <cell r="H68">
            <v>44097.216963692648</v>
          </cell>
        </row>
        <row r="70">
          <cell r="B70">
            <v>54504.933505263158</v>
          </cell>
          <cell r="D70">
            <v>52453.511352941176</v>
          </cell>
          <cell r="F70">
            <v>0</v>
          </cell>
          <cell r="H70">
            <v>53421.884542857144</v>
          </cell>
        </row>
        <row r="71">
          <cell r="B71">
            <v>0</v>
          </cell>
          <cell r="D71">
            <v>0</v>
          </cell>
          <cell r="F71">
            <v>0</v>
          </cell>
          <cell r="H71">
            <v>0</v>
          </cell>
        </row>
        <row r="72">
          <cell r="B72">
            <v>0</v>
          </cell>
          <cell r="D72">
            <v>0</v>
          </cell>
          <cell r="F72">
            <v>0</v>
          </cell>
          <cell r="H72">
            <v>0</v>
          </cell>
        </row>
        <row r="73">
          <cell r="B73">
            <v>0</v>
          </cell>
          <cell r="D73">
            <v>0</v>
          </cell>
          <cell r="F73">
            <v>0</v>
          </cell>
          <cell r="H73">
            <v>0</v>
          </cell>
        </row>
        <row r="75">
          <cell r="B75">
            <v>45125.410549044027</v>
          </cell>
          <cell r="D75">
            <v>37133.188799999996</v>
          </cell>
          <cell r="F75">
            <v>0</v>
          </cell>
          <cell r="H75">
            <v>45023.665847234421</v>
          </cell>
        </row>
        <row r="76">
          <cell r="B76">
            <v>44076.473624050632</v>
          </cell>
          <cell r="D76">
            <v>0</v>
          </cell>
          <cell r="F76">
            <v>0</v>
          </cell>
          <cell r="H76">
            <v>44076.473624050632</v>
          </cell>
        </row>
        <row r="77">
          <cell r="B77">
            <v>40903.802615151515</v>
          </cell>
          <cell r="D77">
            <v>36778.146267924531</v>
          </cell>
          <cell r="F77">
            <v>39975.470922361361</v>
          </cell>
          <cell r="H77">
            <v>39888.010683912697</v>
          </cell>
        </row>
        <row r="78">
          <cell r="B78">
            <v>0</v>
          </cell>
          <cell r="D78">
            <v>0</v>
          </cell>
          <cell r="F78">
            <v>0</v>
          </cell>
          <cell r="H78">
            <v>0</v>
          </cell>
        </row>
        <row r="80">
          <cell r="B80">
            <v>0</v>
          </cell>
          <cell r="D80">
            <v>0</v>
          </cell>
          <cell r="F80">
            <v>0</v>
          </cell>
          <cell r="H80">
            <v>0</v>
          </cell>
        </row>
        <row r="81">
          <cell r="B81">
            <v>0</v>
          </cell>
          <cell r="D81">
            <v>0</v>
          </cell>
          <cell r="F81">
            <v>0</v>
          </cell>
          <cell r="H81">
            <v>0</v>
          </cell>
        </row>
        <row r="82">
          <cell r="B82">
            <v>51006.379421359226</v>
          </cell>
          <cell r="D82">
            <v>48075.167293366103</v>
          </cell>
          <cell r="F82">
            <v>49085.327333333342</v>
          </cell>
          <cell r="H82">
            <v>48882.789532329502</v>
          </cell>
        </row>
        <row r="83">
          <cell r="B83">
            <v>0</v>
          </cell>
          <cell r="D83">
            <v>0</v>
          </cell>
          <cell r="F83">
            <v>0</v>
          </cell>
          <cell r="H83">
            <v>0</v>
          </cell>
        </row>
        <row r="85">
          <cell r="B85">
            <v>0</v>
          </cell>
          <cell r="D85">
            <v>36905.217244990548</v>
          </cell>
          <cell r="F85">
            <v>0</v>
          </cell>
          <cell r="H85">
            <v>36905.217244990548</v>
          </cell>
        </row>
        <row r="86">
          <cell r="B86">
            <v>0</v>
          </cell>
          <cell r="D86">
            <v>0</v>
          </cell>
          <cell r="F86">
            <v>0</v>
          </cell>
          <cell r="H86">
            <v>0</v>
          </cell>
        </row>
        <row r="87">
          <cell r="B87">
            <v>0</v>
          </cell>
          <cell r="D87">
            <v>0</v>
          </cell>
          <cell r="F87">
            <v>0</v>
          </cell>
          <cell r="H87">
            <v>0</v>
          </cell>
        </row>
        <row r="88">
          <cell r="B88">
            <v>0</v>
          </cell>
          <cell r="D88">
            <v>0</v>
          </cell>
          <cell r="F88">
            <v>0</v>
          </cell>
          <cell r="H88">
            <v>0</v>
          </cell>
        </row>
      </sheetData>
      <sheetData sheetId="3">
        <row r="8">
          <cell r="B8">
            <v>84009.036482834694</v>
          </cell>
          <cell r="D8">
            <v>75982.479552900986</v>
          </cell>
          <cell r="F8">
            <v>63167.617887218912</v>
          </cell>
          <cell r="H8">
            <v>61660.461744727807</v>
          </cell>
          <cell r="J8">
            <v>58640.492704222183</v>
          </cell>
          <cell r="L8">
            <v>57755.258250489518</v>
          </cell>
          <cell r="N8">
            <v>73458.825806119945</v>
          </cell>
        </row>
        <row r="10">
          <cell r="B10">
            <v>79795.660453619479</v>
          </cell>
          <cell r="D10">
            <v>74941.678860066007</v>
          </cell>
          <cell r="F10">
            <v>61091.586803418802</v>
          </cell>
          <cell r="H10">
            <v>63263.786931221715</v>
          </cell>
          <cell r="J10">
            <v>56072.135406349211</v>
          </cell>
          <cell r="L10">
            <v>68440.106785365861</v>
          </cell>
          <cell r="N10">
            <v>71754.306204442197</v>
          </cell>
        </row>
        <row r="11">
          <cell r="B11">
            <v>76750.922739427304</v>
          </cell>
          <cell r="D11">
            <v>0</v>
          </cell>
          <cell r="F11">
            <v>56676.902067578128</v>
          </cell>
          <cell r="H11">
            <v>50929.420572222218</v>
          </cell>
          <cell r="J11">
            <v>49369.912337419351</v>
          </cell>
          <cell r="L11">
            <v>51601.683674430373</v>
          </cell>
          <cell r="N11">
            <v>59792.055882499313</v>
          </cell>
        </row>
        <row r="12">
          <cell r="B12">
            <v>98168.273375359713</v>
          </cell>
          <cell r="D12">
            <v>0</v>
          </cell>
          <cell r="F12">
            <v>0</v>
          </cell>
          <cell r="H12">
            <v>66510.541366315796</v>
          </cell>
          <cell r="J12">
            <v>0</v>
          </cell>
          <cell r="L12">
            <v>0</v>
          </cell>
          <cell r="N12">
            <v>93548.481453917047</v>
          </cell>
        </row>
        <row r="13">
          <cell r="B13">
            <v>80136.293242337037</v>
          </cell>
          <cell r="D13">
            <v>68760.949777424903</v>
          </cell>
          <cell r="F13">
            <v>65735.091774832137</v>
          </cell>
          <cell r="H13">
            <v>63330.62202643678</v>
          </cell>
          <cell r="J13">
            <v>0</v>
          </cell>
          <cell r="L13">
            <v>81165.366666666669</v>
          </cell>
          <cell r="N13">
            <v>76316.768813501709</v>
          </cell>
        </row>
        <row r="15">
          <cell r="B15">
            <v>82608.400718853911</v>
          </cell>
          <cell r="D15">
            <v>107062.63898098159</v>
          </cell>
          <cell r="F15">
            <v>59610.573359830611</v>
          </cell>
          <cell r="H15">
            <v>59928.075391244522</v>
          </cell>
          <cell r="J15">
            <v>56293.851802214027</v>
          </cell>
          <cell r="L15">
            <v>57927.212865053763</v>
          </cell>
          <cell r="N15">
            <v>72787.952532273717</v>
          </cell>
        </row>
        <row r="16">
          <cell r="B16">
            <v>78918.481451703221</v>
          </cell>
          <cell r="D16">
            <v>0</v>
          </cell>
          <cell r="F16">
            <v>59428.287017573217</v>
          </cell>
          <cell r="H16">
            <v>62441.87957303031</v>
          </cell>
          <cell r="J16">
            <v>0</v>
          </cell>
          <cell r="L16">
            <v>0</v>
          </cell>
          <cell r="N16">
            <v>68260.838038756556</v>
          </cell>
        </row>
        <row r="17">
          <cell r="B17">
            <v>80885.909835555562</v>
          </cell>
          <cell r="D17">
            <v>66682.225266249996</v>
          </cell>
          <cell r="F17">
            <v>58899.918219830899</v>
          </cell>
          <cell r="H17">
            <v>55789.054397960674</v>
          </cell>
          <cell r="J17">
            <v>0</v>
          </cell>
          <cell r="L17">
            <v>0</v>
          </cell>
          <cell r="N17">
            <v>65474.383098579077</v>
          </cell>
        </row>
        <row r="18">
          <cell r="B18">
            <v>103615.90642451914</v>
          </cell>
          <cell r="D18">
            <v>82074.193795479165</v>
          </cell>
          <cell r="F18">
            <v>65322.681049986822</v>
          </cell>
          <cell r="H18">
            <v>69855.31716569628</v>
          </cell>
          <cell r="J18">
            <v>0</v>
          </cell>
          <cell r="L18">
            <v>68493.936910489516</v>
          </cell>
          <cell r="N18">
            <v>81158.682618265375</v>
          </cell>
        </row>
        <row r="20">
          <cell r="B20">
            <v>64519.903135105742</v>
          </cell>
          <cell r="D20">
            <v>65720.434914081998</v>
          </cell>
          <cell r="F20">
            <v>0</v>
          </cell>
          <cell r="H20">
            <v>52593.69050393701</v>
          </cell>
          <cell r="J20">
            <v>48859.633211940294</v>
          </cell>
          <cell r="L20">
            <v>0</v>
          </cell>
          <cell r="N20">
            <v>62528.093971512135</v>
          </cell>
        </row>
        <row r="21">
          <cell r="B21">
            <v>96437.632231284908</v>
          </cell>
          <cell r="D21">
            <v>75843.229486846642</v>
          </cell>
          <cell r="F21">
            <v>70724.133567610537</v>
          </cell>
          <cell r="H21">
            <v>67671.400087804868</v>
          </cell>
          <cell r="J21">
            <v>66820.645414886734</v>
          </cell>
          <cell r="L21">
            <v>67893.65016353887</v>
          </cell>
          <cell r="N21">
            <v>79533.217853819646</v>
          </cell>
        </row>
        <row r="22">
          <cell r="B22">
            <v>77205.691486159849</v>
          </cell>
          <cell r="D22">
            <v>0</v>
          </cell>
          <cell r="F22">
            <v>58934.905489178622</v>
          </cell>
          <cell r="H22">
            <v>0</v>
          </cell>
          <cell r="J22">
            <v>53402.211972984755</v>
          </cell>
          <cell r="L22">
            <v>48691.569074757281</v>
          </cell>
          <cell r="N22">
            <v>66620.046984630986</v>
          </cell>
        </row>
        <row r="23">
          <cell r="B23">
            <v>78863.153531941934</v>
          </cell>
          <cell r="D23">
            <v>0</v>
          </cell>
          <cell r="F23">
            <v>64181.644217113666</v>
          </cell>
          <cell r="H23">
            <v>68583.118604651172</v>
          </cell>
          <cell r="J23">
            <v>60555.275367429334</v>
          </cell>
          <cell r="L23">
            <v>54236.405330785557</v>
          </cell>
          <cell r="N23">
            <v>70066.963346718505</v>
          </cell>
        </row>
        <row r="25">
          <cell r="B25">
            <v>77017.774593491864</v>
          </cell>
          <cell r="D25">
            <v>0</v>
          </cell>
          <cell r="F25">
            <v>60051.000085348998</v>
          </cell>
          <cell r="H25">
            <v>0</v>
          </cell>
          <cell r="J25">
            <v>57167.812954014604</v>
          </cell>
          <cell r="L25">
            <v>0</v>
          </cell>
          <cell r="N25">
            <v>67217.103449595699</v>
          </cell>
        </row>
        <row r="26">
          <cell r="B26">
            <v>87134.146502431191</v>
          </cell>
          <cell r="D26">
            <v>71913.133333333331</v>
          </cell>
          <cell r="F26">
            <v>63656.897633920511</v>
          </cell>
          <cell r="H26">
            <v>67800.679385416661</v>
          </cell>
          <cell r="J26">
            <v>62441.159568965515</v>
          </cell>
          <cell r="L26">
            <v>67833.889730526309</v>
          </cell>
          <cell r="N26">
            <v>76261.234018070681</v>
          </cell>
        </row>
        <row r="27">
          <cell r="B27">
            <v>90193.862815430271</v>
          </cell>
          <cell r="D27">
            <v>78891.825942071388</v>
          </cell>
          <cell r="F27">
            <v>67412.517019897947</v>
          </cell>
          <cell r="H27">
            <v>64426.633514511035</v>
          </cell>
          <cell r="J27">
            <v>64979.238374014603</v>
          </cell>
          <cell r="L27">
            <v>56791.451612903227</v>
          </cell>
          <cell r="N27">
            <v>80650.084406453097</v>
          </cell>
        </row>
        <row r="28">
          <cell r="B28">
            <v>75774.047674551213</v>
          </cell>
          <cell r="D28">
            <v>0</v>
          </cell>
          <cell r="F28">
            <v>61068.888895095952</v>
          </cell>
          <cell r="H28">
            <v>0</v>
          </cell>
          <cell r="J28">
            <v>58741.739527397265</v>
          </cell>
          <cell r="L28">
            <v>53238.316577192985</v>
          </cell>
          <cell r="N28">
            <v>64924.3900046532</v>
          </cell>
        </row>
        <row r="38">
          <cell r="B38">
            <v>54175.924906059598</v>
          </cell>
          <cell r="D38">
            <v>53785.728975032594</v>
          </cell>
          <cell r="F38">
            <v>49354.562347030609</v>
          </cell>
          <cell r="H38">
            <v>45876.164282673271</v>
          </cell>
          <cell r="J38">
            <v>51671.338241047022</v>
          </cell>
        </row>
        <row r="40">
          <cell r="B40">
            <v>0</v>
          </cell>
          <cell r="D40">
            <v>53891.246937627118</v>
          </cell>
          <cell r="F40">
            <v>53584.435250413982</v>
          </cell>
          <cell r="H40">
            <v>52613.547017010314</v>
          </cell>
          <cell r="J40">
            <v>53422.743054463281</v>
          </cell>
        </row>
        <row r="41">
          <cell r="B41">
            <v>0</v>
          </cell>
          <cell r="D41">
            <v>46162.602924050632</v>
          </cell>
          <cell r="F41">
            <v>46587.940893063584</v>
          </cell>
          <cell r="H41">
            <v>41884.408191304348</v>
          </cell>
          <cell r="J41">
            <v>43555.944535703915</v>
          </cell>
        </row>
        <row r="42">
          <cell r="B42">
            <v>0</v>
          </cell>
          <cell r="D42">
            <v>0</v>
          </cell>
          <cell r="F42">
            <v>62869.172308474575</v>
          </cell>
          <cell r="H42">
            <v>62452.983214814813</v>
          </cell>
          <cell r="J42">
            <v>62779.514551595748</v>
          </cell>
        </row>
        <row r="43">
          <cell r="B43">
            <v>57610.60145888594</v>
          </cell>
          <cell r="D43">
            <v>52851.372625866745</v>
          </cell>
          <cell r="F43">
            <v>46253.260047281321</v>
          </cell>
          <cell r="H43">
            <v>47029.428571428572</v>
          </cell>
          <cell r="J43">
            <v>53625.516518784214</v>
          </cell>
        </row>
        <row r="45">
          <cell r="B45">
            <v>48963.16156331361</v>
          </cell>
          <cell r="D45">
            <v>50094.771843216076</v>
          </cell>
          <cell r="F45">
            <v>47119.135242014388</v>
          </cell>
          <cell r="H45">
            <v>46285.490368862273</v>
          </cell>
          <cell r="J45">
            <v>48163.168765206508</v>
          </cell>
        </row>
        <row r="46">
          <cell r="B46">
            <v>0</v>
          </cell>
          <cell r="D46">
            <v>49613.464754477616</v>
          </cell>
          <cell r="F46">
            <v>48311.994124048098</v>
          </cell>
          <cell r="H46">
            <v>49784.794435874435</v>
          </cell>
          <cell r="J46">
            <v>48895.956974046676</v>
          </cell>
        </row>
        <row r="47">
          <cell r="B47">
            <v>48408.598088888888</v>
          </cell>
          <cell r="D47">
            <v>55918.044931724144</v>
          </cell>
          <cell r="F47">
            <v>44371.565560368668</v>
          </cell>
          <cell r="H47">
            <v>42206.717465555557</v>
          </cell>
          <cell r="J47">
            <v>50586.574676866359</v>
          </cell>
        </row>
        <row r="48">
          <cell r="B48">
            <v>0</v>
          </cell>
          <cell r="D48">
            <v>68555.176708086467</v>
          </cell>
          <cell r="F48">
            <v>62574.229972057416</v>
          </cell>
          <cell r="H48">
            <v>61671.313047154472</v>
          </cell>
          <cell r="J48">
            <v>66025.461728139242</v>
          </cell>
        </row>
        <row r="50">
          <cell r="B50">
            <v>0</v>
          </cell>
          <cell r="D50">
            <v>47489.630033670037</v>
          </cell>
          <cell r="F50">
            <v>50283.487044301211</v>
          </cell>
          <cell r="H50">
            <v>47282.641919178088</v>
          </cell>
          <cell r="J50">
            <v>48815.648814470456</v>
          </cell>
        </row>
        <row r="51">
          <cell r="B51">
            <v>0</v>
          </cell>
          <cell r="D51">
            <v>48064.402660217653</v>
          </cell>
          <cell r="F51">
            <v>47077.458747135221</v>
          </cell>
          <cell r="H51">
            <v>45310.913663663661</v>
          </cell>
          <cell r="J51">
            <v>47092.319545949307</v>
          </cell>
        </row>
        <row r="52">
          <cell r="B52">
            <v>53446</v>
          </cell>
          <cell r="D52">
            <v>53778.978769506728</v>
          </cell>
          <cell r="F52">
            <v>47479.820051999995</v>
          </cell>
          <cell r="H52">
            <v>42741.687390476189</v>
          </cell>
          <cell r="J52">
            <v>48888.647740705128</v>
          </cell>
        </row>
        <row r="53">
          <cell r="B53">
            <v>55680.701021052635</v>
          </cell>
          <cell r="D53">
            <v>46918.906508875742</v>
          </cell>
          <cell r="F53">
            <v>46189.096008629989</v>
          </cell>
          <cell r="H53">
            <v>45079.401628799998</v>
          </cell>
          <cell r="J53">
            <v>46612.51484627225</v>
          </cell>
        </row>
        <row r="55">
          <cell r="B55">
            <v>0</v>
          </cell>
          <cell r="D55">
            <v>47600.536504566924</v>
          </cell>
          <cell r="F55">
            <v>46382.817925558797</v>
          </cell>
          <cell r="H55">
            <v>46971.84151111111</v>
          </cell>
          <cell r="J55">
            <v>46851.42012072177</v>
          </cell>
        </row>
        <row r="56">
          <cell r="B56">
            <v>51563.563213241381</v>
          </cell>
          <cell r="D56">
            <v>55893.740439594279</v>
          </cell>
          <cell r="F56">
            <v>48357.189551877134</v>
          </cell>
          <cell r="H56">
            <v>43316.123463971882</v>
          </cell>
          <cell r="J56">
            <v>53284.073586265818</v>
          </cell>
        </row>
        <row r="57">
          <cell r="B57">
            <v>0</v>
          </cell>
          <cell r="D57">
            <v>0</v>
          </cell>
          <cell r="F57">
            <v>0</v>
          </cell>
          <cell r="H57">
            <v>55425.181818181816</v>
          </cell>
          <cell r="J57">
            <v>57185.932421415615</v>
          </cell>
        </row>
        <row r="58">
          <cell r="B58">
            <v>47120.757516535428</v>
          </cell>
          <cell r="D58">
            <v>0</v>
          </cell>
          <cell r="F58">
            <v>0</v>
          </cell>
          <cell r="H58">
            <v>46535.77732691358</v>
          </cell>
          <cell r="J58">
            <v>46675.424853383462</v>
          </cell>
        </row>
        <row r="68">
          <cell r="B68">
            <v>45758.964140479758</v>
          </cell>
          <cell r="D68">
            <v>44171.575398780493</v>
          </cell>
          <cell r="F68">
            <v>40200.47929486166</v>
          </cell>
          <cell r="H68">
            <v>44650.237449161286</v>
          </cell>
        </row>
        <row r="70">
          <cell r="B70">
            <v>54025.01278918919</v>
          </cell>
          <cell r="D70">
            <v>53407.699217977526</v>
          </cell>
          <cell r="F70">
            <v>0</v>
          </cell>
          <cell r="H70">
            <v>53687.952004907973</v>
          </cell>
        </row>
        <row r="71">
          <cell r="B71">
            <v>0</v>
          </cell>
          <cell r="D71">
            <v>0</v>
          </cell>
          <cell r="F71">
            <v>0</v>
          </cell>
          <cell r="H71">
            <v>0</v>
          </cell>
        </row>
        <row r="72">
          <cell r="B72">
            <v>0</v>
          </cell>
          <cell r="D72">
            <v>0</v>
          </cell>
          <cell r="F72">
            <v>0</v>
          </cell>
          <cell r="H72">
            <v>0</v>
          </cell>
        </row>
        <row r="73">
          <cell r="B73">
            <v>0</v>
          </cell>
          <cell r="D73">
            <v>0</v>
          </cell>
          <cell r="F73">
            <v>0</v>
          </cell>
          <cell r="H73">
            <v>0</v>
          </cell>
        </row>
        <row r="75">
          <cell r="B75">
            <v>44984.557607792209</v>
          </cell>
          <cell r="D75">
            <v>37568.506393333337</v>
          </cell>
          <cell r="F75">
            <v>0</v>
          </cell>
          <cell r="H75">
            <v>44879.06612536747</v>
          </cell>
        </row>
        <row r="76">
          <cell r="B76">
            <v>44346.303811034486</v>
          </cell>
          <cell r="D76">
            <v>0</v>
          </cell>
          <cell r="F76">
            <v>0</v>
          </cell>
          <cell r="H76">
            <v>44346.303811034486</v>
          </cell>
        </row>
        <row r="77">
          <cell r="B77">
            <v>41512.950705882351</v>
          </cell>
          <cell r="D77">
            <v>37662.391721951222</v>
          </cell>
          <cell r="F77">
            <v>40121.755793600001</v>
          </cell>
          <cell r="H77">
            <v>40111.521519540227</v>
          </cell>
        </row>
        <row r="78">
          <cell r="B78">
            <v>0</v>
          </cell>
          <cell r="D78">
            <v>0</v>
          </cell>
          <cell r="F78">
            <v>0</v>
          </cell>
          <cell r="H78">
            <v>0</v>
          </cell>
        </row>
        <row r="80">
          <cell r="B80">
            <v>0</v>
          </cell>
          <cell r="D80">
            <v>0</v>
          </cell>
          <cell r="F80">
            <v>0</v>
          </cell>
          <cell r="H80">
            <v>0</v>
          </cell>
        </row>
        <row r="81">
          <cell r="B81">
            <v>0</v>
          </cell>
          <cell r="D81">
            <v>0</v>
          </cell>
          <cell r="F81">
            <v>0</v>
          </cell>
          <cell r="H81">
            <v>0</v>
          </cell>
        </row>
        <row r="82">
          <cell r="B82">
            <v>50698.925209271525</v>
          </cell>
          <cell r="D82">
            <v>48010.763139877301</v>
          </cell>
          <cell r="F82">
            <v>46760.771066666668</v>
          </cell>
          <cell r="H82">
            <v>48726.991984505796</v>
          </cell>
        </row>
        <row r="83">
          <cell r="B83">
            <v>0</v>
          </cell>
          <cell r="D83">
            <v>0</v>
          </cell>
          <cell r="F83">
            <v>0</v>
          </cell>
          <cell r="H83">
            <v>0</v>
          </cell>
        </row>
        <row r="85">
          <cell r="B85">
            <v>0</v>
          </cell>
          <cell r="D85">
            <v>37213.522648303377</v>
          </cell>
          <cell r="F85">
            <v>0</v>
          </cell>
          <cell r="H85">
            <v>37213.522648303377</v>
          </cell>
        </row>
        <row r="86">
          <cell r="B86">
            <v>0</v>
          </cell>
          <cell r="D86">
            <v>0</v>
          </cell>
          <cell r="F86">
            <v>0</v>
          </cell>
          <cell r="H86">
            <v>0</v>
          </cell>
        </row>
        <row r="87">
          <cell r="B87">
            <v>0</v>
          </cell>
          <cell r="D87">
            <v>0</v>
          </cell>
          <cell r="F87">
            <v>0</v>
          </cell>
          <cell r="H87">
            <v>0</v>
          </cell>
        </row>
        <row r="88">
          <cell r="B88">
            <v>0</v>
          </cell>
          <cell r="D88">
            <v>0</v>
          </cell>
          <cell r="F88">
            <v>0</v>
          </cell>
          <cell r="H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EW Table 143"/>
      <sheetName val="OLD Table 106"/>
      <sheetName val="NEW Tables 144-163"/>
      <sheetName val="OLD Tables 107-126"/>
      <sheetName val="NEW Table 164"/>
      <sheetName val="OLD Table 164"/>
      <sheetName val="Calculated Fields"/>
      <sheetName val="Averages Pivot Table"/>
      <sheetName val="NEW Counts Pivot Table"/>
      <sheetName val="OLD Counts Pivot Table"/>
      <sheetName val="Faculty Salary Data"/>
      <sheetName val="Format for avgs table"/>
      <sheetName val="Format for counts table"/>
      <sheetName val="Sheet2"/>
    </sheetNames>
    <sheetDataSet>
      <sheetData sheetId="0" refreshError="1"/>
      <sheetData sheetId="1" refreshError="1"/>
      <sheetData sheetId="2" refreshError="1">
        <row r="8">
          <cell r="B8">
            <v>83994.154843352124</v>
          </cell>
        </row>
        <row r="9">
          <cell r="B9">
            <v>0</v>
          </cell>
          <cell r="D9">
            <v>0</v>
          </cell>
          <cell r="F9">
            <v>0</v>
          </cell>
          <cell r="H9">
            <v>0</v>
          </cell>
          <cell r="J9">
            <v>0</v>
          </cell>
          <cell r="L9">
            <v>0</v>
          </cell>
        </row>
        <row r="39">
          <cell r="B39">
            <v>0</v>
          </cell>
          <cell r="D39">
            <v>0</v>
          </cell>
          <cell r="F39">
            <v>0</v>
          </cell>
          <cell r="H39">
            <v>0</v>
          </cell>
          <cell r="J39">
            <v>0</v>
          </cell>
          <cell r="L39">
            <v>0</v>
          </cell>
          <cell r="S39">
            <v>0</v>
          </cell>
        </row>
        <row r="44">
          <cell r="J44">
            <v>0</v>
          </cell>
        </row>
        <row r="49">
          <cell r="J49">
            <v>0</v>
          </cell>
        </row>
        <row r="54">
          <cell r="J54">
            <v>0</v>
          </cell>
        </row>
        <row r="69">
          <cell r="B69">
            <v>0</v>
          </cell>
          <cell r="D69">
            <v>0</v>
          </cell>
          <cell r="F69">
            <v>0</v>
          </cell>
          <cell r="H69">
            <v>0</v>
          </cell>
          <cell r="S69">
            <v>0</v>
          </cell>
        </row>
      </sheetData>
      <sheetData sheetId="3" refreshError="1">
        <row r="8">
          <cell r="B8">
            <v>83014.265790198129</v>
          </cell>
        </row>
        <row r="9">
          <cell r="B9">
            <v>0</v>
          </cell>
          <cell r="D9">
            <v>0</v>
          </cell>
          <cell r="F9">
            <v>0</v>
          </cell>
          <cell r="H9">
            <v>0</v>
          </cell>
          <cell r="J9">
            <v>0</v>
          </cell>
          <cell r="L9">
            <v>0</v>
          </cell>
        </row>
        <row r="39">
          <cell r="B39">
            <v>0</v>
          </cell>
          <cell r="D39">
            <v>0</v>
          </cell>
          <cell r="F39">
            <v>0</v>
          </cell>
          <cell r="H39">
            <v>0</v>
          </cell>
          <cell r="L39">
            <v>0</v>
          </cell>
        </row>
        <row r="69">
          <cell r="B69">
            <v>0</v>
          </cell>
          <cell r="D69">
            <v>0</v>
          </cell>
          <cell r="F69">
            <v>0</v>
          </cell>
          <cell r="H6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1173.497004861114" createdVersion="3" refreshedVersion="3" minRefreshableVersion="3" recordCount="675">
  <cacheSource type="worksheet">
    <worksheetSource ref="A6:CG681" sheet=" Benefits Data"/>
  </cacheSource>
  <cacheFields count="116">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Blank="1" containsMixedTypes="1" containsNumber="1" containsInteger="1" minValue="100654" maxValue="456560"/>
    </cacheField>
    <cacheField name="Category" numFmtId="0">
      <sharedItems containsMixedTypes="1" containsNumber="1" containsInteger="1" minValue="1" maxValue="99" count="18">
        <n v="1"/>
        <n v="2"/>
        <n v="3"/>
        <n v="4"/>
        <n v="5"/>
        <n v="6"/>
        <n v="8"/>
        <n v="9"/>
        <n v="10"/>
        <n v="12"/>
        <n v="13"/>
        <n v="7"/>
        <n v="99"/>
        <n v="14"/>
        <s v="10b"/>
        <s v="11b"/>
        <n v="15" u="1"/>
        <n v="11" u="1"/>
      </sharedItems>
      <fieldGroup par="110"/>
    </cacheField>
    <cacheField name="old retire9 #" numFmtId="3">
      <sharedItems containsString="0" containsBlank="1" containsNumber="1" containsInteger="1" minValue="1" maxValue="2556"/>
    </cacheField>
    <cacheField name="old retire9 $" numFmtId="3">
      <sharedItems containsString="0" containsBlank="1" containsNumber="1" minValue="2351" maxValue="19617722"/>
    </cacheField>
    <cacheField name="new retire9 #" numFmtId="0">
      <sharedItems containsString="0" containsBlank="1" containsNumber="1" minValue="0" maxValue="3009"/>
    </cacheField>
    <cacheField name="new retire9 $" numFmtId="0">
      <sharedItems containsString="0" containsBlank="1" containsNumber="1" minValue="0" maxValue="22745346"/>
    </cacheField>
    <cacheField name="old health9 #" numFmtId="3">
      <sharedItems containsString="0" containsBlank="1" containsNumber="1" containsInteger="1" minValue="0" maxValue="2539"/>
    </cacheField>
    <cacheField name="old health9 $" numFmtId="3">
      <sharedItems containsString="0" containsBlank="1" containsNumber="1" minValue="0" maxValue="15564460"/>
    </cacheField>
    <cacheField name="new health 9 # " numFmtId="0">
      <sharedItems containsString="0" containsBlank="1" containsNumber="1" minValue="1" maxValue="2613"/>
    </cacheField>
    <cacheField name="new health9$" numFmtId="0">
      <sharedItems containsString="0" containsBlank="1" containsNumber="1" containsInteger="1" minValue="3891" maxValue="16947870"/>
    </cacheField>
    <cacheField name="old dis9 #" numFmtId="3">
      <sharedItems containsString="0" containsBlank="1" containsNumber="1" containsInteger="1" minValue="0" maxValue="1773"/>
    </cacheField>
    <cacheField name="old dis9 $" numFmtId="3">
      <sharedItems containsString="0" containsBlank="1" containsNumber="1" containsInteger="1" minValue="0" maxValue="887839"/>
    </cacheField>
    <cacheField name="new dis9 #" numFmtId="3">
      <sharedItems containsString="0" containsBlank="1" containsNumber="1" containsInteger="1" minValue="0" maxValue="1755"/>
    </cacheField>
    <cacheField name=" new dis9 $" numFmtId="3">
      <sharedItems containsString="0" containsBlank="1" containsNumber="1" containsInteger="1" minValue="0" maxValue="910956"/>
    </cacheField>
    <cacheField name="old ss9 #" numFmtId="3">
      <sharedItems containsString="0" containsBlank="1" containsNumber="1" containsInteger="1" minValue="0" maxValue="2539"/>
    </cacheField>
    <cacheField name="old ss9 $" numFmtId="3">
      <sharedItems containsString="0" containsBlank="1" containsNumber="1" minValue="0" maxValue="16821133"/>
    </cacheField>
    <cacheField name="new ss9 #" numFmtId="0">
      <sharedItems containsString="0" containsBlank="1" containsNumber="1" minValue="0" maxValue="2613"/>
    </cacheField>
    <cacheField name="new ss9 $" numFmtId="0">
      <sharedItems containsString="0" containsBlank="1" containsNumber="1" minValue="0" maxValue="16647150"/>
    </cacheField>
    <cacheField name="old unemp9 #" numFmtId="3">
      <sharedItems containsString="0" containsBlank="1" containsNumber="1" containsInteger="1" minValue="0" maxValue="2539"/>
    </cacheField>
    <cacheField name="old unemp9 $" numFmtId="3">
      <sharedItems containsString="0" containsBlank="1" containsNumber="1" minValue="0" maxValue="524671.75635000004"/>
    </cacheField>
    <cacheField name="new unemp9 #" numFmtId="0">
      <sharedItems containsString="0" containsBlank="1" containsNumber="1" minValue="0" maxValue="2613"/>
    </cacheField>
    <cacheField name="new unemp9 $" numFmtId="0">
      <sharedItems containsString="0" containsBlank="1" containsNumber="1" minValue="0" maxValue="551033"/>
    </cacheField>
    <cacheField name="old life9 #" numFmtId="3">
      <sharedItems containsString="0" containsBlank="1" containsNumber="1" containsInteger="1" minValue="0" maxValue="1972"/>
    </cacheField>
    <cacheField name="old life9 $" numFmtId="3">
      <sharedItems containsBlank="1" containsMixedTypes="1" containsNumber="1" minValue="0" maxValue="1243176"/>
    </cacheField>
    <cacheField name="new life9 #" numFmtId="0">
      <sharedItems containsString="0" containsBlank="1" containsNumber="1" minValue="0" maxValue="2043"/>
    </cacheField>
    <cacheField name="new life9 $" numFmtId="0">
      <sharedItems containsString="0" containsBlank="1" containsNumber="1" minValue="0" maxValue="1245407"/>
    </cacheField>
    <cacheField name="old wcomp9 #" numFmtId="3">
      <sharedItems containsString="0" containsBlank="1" containsNumber="1" containsInteger="1" minValue="0" maxValue="2539"/>
    </cacheField>
    <cacheField name="old wcomp9 $" numFmtId="3">
      <sharedItems containsString="0" containsBlank="1" containsNumber="1" minValue="0" maxValue="1494110"/>
    </cacheField>
    <cacheField name="new wcomp9 #" numFmtId="0">
      <sharedItems containsString="0" containsBlank="1" containsNumber="1" minValue="0" maxValue="2613"/>
    </cacheField>
    <cacheField name="new wcomp9 $" numFmtId="0">
      <sharedItems containsString="0" containsBlank="1" containsNumber="1" minValue="0" maxValue="1531681"/>
    </cacheField>
    <cacheField name="old tuit9 #" numFmtId="3">
      <sharedItems containsString="0" containsBlank="1" containsNumber="1" containsInteger="1" minValue="0" maxValue="373"/>
    </cacheField>
    <cacheField name="old tuit9 $" numFmtId="3">
      <sharedItems containsString="0" containsBlank="1" containsNumber="1" containsInteger="1" minValue="0" maxValue="1483620"/>
    </cacheField>
    <cacheField name="new tuit9 #" numFmtId="0">
      <sharedItems containsString="0" containsBlank="1" containsNumber="1" containsInteger="1" minValue="0" maxValue="360"/>
    </cacheField>
    <cacheField name="new tuit9 $" numFmtId="0">
      <sharedItems containsString="0" containsBlank="1" containsNumber="1" containsInteger="1" minValue="0" maxValue="1773794"/>
    </cacheField>
    <cacheField name="old other9 #" numFmtId="3">
      <sharedItems containsString="0" containsBlank="1" containsNumber="1" containsInteger="1" minValue="0" maxValue="1000"/>
    </cacheField>
    <cacheField name="old other9 $" numFmtId="3">
      <sharedItems containsString="0" containsBlank="1" containsNumber="1" containsInteger="1" minValue="0" maxValue="3172468"/>
    </cacheField>
    <cacheField name="new other9 #" numFmtId="0">
      <sharedItems containsString="0" containsBlank="1" containsNumber="1" minValue="0" maxValue="1016"/>
    </cacheField>
    <cacheField name="new other9$" numFmtId="0">
      <sharedItems containsString="0" containsBlank="1" containsNumber="1" containsInteger="1" minValue="0" maxValue="2526863"/>
    </cacheField>
    <cacheField name="old total9 #" numFmtId="3">
      <sharedItems containsSemiMixedTypes="0" containsString="0" containsNumber="1" containsInteger="1" minValue="0" maxValue="2556"/>
    </cacheField>
    <cacheField name="old total9 $" numFmtId="3">
      <sharedItems containsSemiMixedTypes="0" containsString="0" containsNumber="1" minValue="0" maxValue="52352721"/>
    </cacheField>
    <cacheField name="new total9 #" numFmtId="3">
      <sharedItems containsSemiMixedTypes="0" containsString="0" containsNumber="1" minValue="0" maxValue="3009"/>
    </cacheField>
    <cacheField name="new total9 $" numFmtId="3">
      <sharedItems containsSemiMixedTypes="0" containsString="0" containsNumber="1" minValue="0" maxValue="56687101"/>
    </cacheField>
    <cacheField name="old retire11 #" numFmtId="3">
      <sharedItems containsString="0" containsBlank="1" containsNumber="1" containsInteger="1" minValue="0" maxValue="690"/>
    </cacheField>
    <cacheField name="old retire11 $" numFmtId="3">
      <sharedItems containsString="0" containsBlank="1" containsNumber="1" minValue="0" maxValue="8518534"/>
    </cacheField>
    <cacheField name="new retire11 #" numFmtId="0">
      <sharedItems containsString="0" containsBlank="1" containsNumber="1" minValue="0" maxValue="1044"/>
    </cacheField>
    <cacheField name="new retire11 $" numFmtId="0">
      <sharedItems containsString="0" containsBlank="1" containsNumber="1" minValue="0" maxValue="9499116"/>
    </cacheField>
    <cacheField name="old health11 #" numFmtId="3">
      <sharedItems containsString="0" containsBlank="1" containsNumber="1" containsInteger="1" minValue="0" maxValue="690"/>
    </cacheField>
    <cacheField name="old health11 $" numFmtId="3">
      <sharedItems containsString="0" containsBlank="1" containsNumber="1" minValue="0" maxValue="7162788"/>
    </cacheField>
    <cacheField name="new health 11 # " numFmtId="0">
      <sharedItems containsString="0" containsBlank="1" containsNumber="1" minValue="0" maxValue="1040"/>
    </cacheField>
    <cacheField name="new health11$" numFmtId="0">
      <sharedItems containsString="0" containsBlank="1" containsNumber="1" minValue="0" maxValue="7650922"/>
    </cacheField>
    <cacheField name="old dis11 #" numFmtId="3">
      <sharedItems containsString="0" containsBlank="1" containsNumber="1" containsInteger="1" minValue="0" maxValue="492"/>
    </cacheField>
    <cacheField name="old dis11 $" numFmtId="3">
      <sharedItems containsString="0" containsBlank="1" containsNumber="1" containsInteger="1" minValue="0" maxValue="326770"/>
    </cacheField>
    <cacheField name="new dis11 #" numFmtId="3">
      <sharedItems containsString="0" containsBlank="1" containsNumber="1" containsInteger="1" minValue="0" maxValue="1044"/>
    </cacheField>
    <cacheField name=" new dis11 $" numFmtId="3">
      <sharedItems containsString="0" containsBlank="1" containsNumber="1" containsInteger="1" minValue="0" maxValue="328776"/>
    </cacheField>
    <cacheField name="old ss11 #" numFmtId="3">
      <sharedItems containsString="0" containsBlank="1" containsNumber="1" containsInteger="1" minValue="0" maxValue="690"/>
    </cacheField>
    <cacheField name="old ss11 $" numFmtId="3">
      <sharedItems containsString="0" containsBlank="1" containsNumber="1" minValue="0" maxValue="4650601.72"/>
    </cacheField>
    <cacheField name="new ss11 #" numFmtId="0">
      <sharedItems containsString="0" containsBlank="1" containsNumber="1" minValue="0" maxValue="910"/>
    </cacheField>
    <cacheField name="new ss11 $" numFmtId="0">
      <sharedItems containsString="0" containsBlank="1" containsNumber="1" minValue="0" maxValue="4780662"/>
    </cacheField>
    <cacheField name="old unemp11 #" numFmtId="3">
      <sharedItems containsString="0" containsBlank="1" containsNumber="1" containsInteger="1" minValue="0" maxValue="494"/>
    </cacheField>
    <cacheField name="old unemp11 $" numFmtId="3">
      <sharedItems containsString="0" containsBlank="1" containsNumber="1" minValue="0" maxValue="112648"/>
    </cacheField>
    <cacheField name="new unemp11 #" numFmtId="0">
      <sharedItems containsString="0" containsBlank="1" containsNumber="1" minValue="0" maxValue="1046"/>
    </cacheField>
    <cacheField name="new unemp11 $" numFmtId="0">
      <sharedItems containsString="0" containsBlank="1" containsNumber="1" minValue="0" maxValue="112648"/>
    </cacheField>
    <cacheField name="old life11 #" numFmtId="3">
      <sharedItems containsString="0" containsBlank="1" containsNumber="1" containsInteger="1" minValue="0" maxValue="690"/>
    </cacheField>
    <cacheField name="old life11 $" numFmtId="3">
      <sharedItems containsString="0" containsBlank="1" containsNumber="1" minValue="0" maxValue="330960"/>
    </cacheField>
    <cacheField name="new life11 #" numFmtId="0">
      <sharedItems containsString="0" containsBlank="1" containsNumber="1" minValue="0" maxValue="1042"/>
    </cacheField>
    <cacheField name="new life11 $" numFmtId="0">
      <sharedItems containsString="0" containsBlank="1" containsNumber="1" minValue="0" maxValue="398370"/>
    </cacheField>
    <cacheField name="old wcomp11 #" numFmtId="3">
      <sharedItems containsString="0" containsBlank="1" containsNumber="1" containsInteger="1" minValue="0" maxValue="690"/>
    </cacheField>
    <cacheField name="old wcomp11 $" numFmtId="3">
      <sharedItems containsString="0" containsBlank="1" containsNumber="1" minValue="0" maxValue="208384"/>
    </cacheField>
    <cacheField name="new wcomp11 #" numFmtId="0">
      <sharedItems containsString="0" containsBlank="1" containsNumber="1" minValue="0" maxValue="1046"/>
    </cacheField>
    <cacheField name="new wcomp11 $" numFmtId="0">
      <sharedItems containsString="0" containsBlank="1" containsNumber="1" minValue="0" maxValue="252797"/>
    </cacheField>
    <cacheField name="old tuit11 #" numFmtId="3">
      <sharedItems containsString="0" containsBlank="1" containsNumber="1" containsInteger="1" minValue="0" maxValue="119"/>
    </cacheField>
    <cacheField name="old tuit11 $" numFmtId="3">
      <sharedItems containsString="0" containsBlank="1" containsNumber="1" containsInteger="1" minValue="0" maxValue="564820"/>
    </cacheField>
    <cacheField name="new tuit11 #" numFmtId="3">
      <sharedItems containsString="0" containsBlank="1" containsNumber="1" containsInteger="1" minValue="0" maxValue="142"/>
    </cacheField>
    <cacheField name="new tuit11 $" numFmtId="3">
      <sharedItems containsString="0" containsBlank="1" containsNumber="1" containsInteger="1" minValue="0" maxValue="626059"/>
    </cacheField>
    <cacheField name="old other11 #" numFmtId="3">
      <sharedItems containsString="0" containsBlank="1" containsNumber="1" containsInteger="1" minValue="0" maxValue="175"/>
    </cacheField>
    <cacheField name="old other11 $" numFmtId="3">
      <sharedItems containsString="0" containsBlank="1" containsNumber="1" containsInteger="1" minValue="0" maxValue="1448287"/>
    </cacheField>
    <cacheField name="new other11 #" numFmtId="0">
      <sharedItems containsString="0" containsBlank="1" containsNumber="1" minValue="0" maxValue="318"/>
    </cacheField>
    <cacheField name="new other11$" numFmtId="0">
      <sharedItems containsString="0" containsBlank="1" containsNumber="1" containsInteger="1" minValue="0" maxValue="2544527"/>
    </cacheField>
    <cacheField name="old total11 #" numFmtId="3">
      <sharedItems containsSemiMixedTypes="0" containsString="0" containsNumber="1" containsInteger="1" minValue="0" maxValue="690"/>
    </cacheField>
    <cacheField name="old total11 $" numFmtId="3">
      <sharedItems containsSemiMixedTypes="0" containsString="0" containsNumber="1" minValue="0" maxValue="19023364.600000001"/>
    </cacheField>
    <cacheField name="new total11 #" numFmtId="3">
      <sharedItems containsSemiMixedTypes="0" containsString="0" containsNumber="1" minValue="0" maxValue="1046"/>
    </cacheField>
    <cacheField name="new total11 $" numFmtId="3">
      <sharedItems containsSemiMixedTypes="0" containsString="0" containsNumber="1" minValue="0" maxValue="19927663"/>
    </cacheField>
    <cacheField name="New Disability" numFmtId="0" formula="IF('new dis9 #'+'new dis11 #'&gt;0,((' new dis11 $'+' new dis9 $')/('new dis9 #'+'new dis11 #')),0)" databaseField="0"/>
    <cacheField name="Old Social Security" numFmtId="0" formula="IF('old ss9 #'+'old ss11 #'&gt;0,((('old ss11 $'*0.8182)+'old ss9 $')/('old ss9 #'+'old ss11 #')),0)" databaseField="0"/>
    <cacheField name="New Social Security" numFmtId="0" formula="IF('new ss9 #'+'new ss11 #'&gt;0,((('new ss11 $'*0.8182)+'new ss9 $')/('new ss9 #'+'new ss11 #')),0)" databaseField="0"/>
    <cacheField name="Old Unemployment" numFmtId="0" formula="IF('old unemp9 #'+'old unemp11 #'&gt;0,((('old unemp11 $')+'old unemp9 $')/('old unemp9 #'+'old unemp11 #')),0)" databaseField="0"/>
    <cacheField name="New Unemployment" numFmtId="0" formula="IF('new unemp9 #'+'new unemp11 #'&gt;0,((('new unemp11 $')+'new unemp9 $')/('new unemp9 #'+'new unemp11 #')),0)" databaseField="0"/>
    <cacheField name="Old Life Insurance" numFmtId="0" formula="IF('old life9 #'+'old life11 #'&gt;0,((('old life11 $'*0.8182)+'old life9 $')/('old life9 #'+'old life11 #')),0)" databaseField="0"/>
    <cacheField name="New Life Insurance" numFmtId="0" formula="IF('new life9 #'+'new life11 #'&gt;0,((('new life11 $'*0.8182)+'new life9 $')/('new life9 #'+'new life11 #')),0)" databaseField="0"/>
    <cacheField name="Old Worker's Comp" numFmtId="0" formula="IF('old wcomp9 #'+'old wcomp11 #'&gt;0,((('old wcomp11 $'*0.8182)+'old wcomp9 $')/('old wcomp9 #'+'old wcomp11 #')),0)" databaseField="0"/>
    <cacheField name="New Worker's Comp" numFmtId="0" formula="IF('new wcomp9 #'+'new wcomp11 #'&gt;0,((('new wcomp11 $'*0.8182)+'new wcomp9 $')/('new wcomp9 #'+'new wcomp11 #')),0)" databaseField="0"/>
    <cacheField name="Old Tuition Plans" numFmtId="0" formula="IF('old tuit9 #'+'old tuit11 #'&gt;0,((('old tuit11 $')+'old tuit9 $')/('old tuit9 #'+'old tuit11 #')),0)" databaseField="0"/>
    <cacheField name="New Tuition Plans" numFmtId="0" formula="IF('new tuit9 #'+'new tuit11 #'&gt;0,((('new tuit11 $')+'new tuit9 $')/('new tuit9 #'+'new tuit11 #')),0)" databaseField="0"/>
    <cacheField name="Old Other" numFmtId="0" formula="IF('old other9 #'+'old other11 #'&gt;0,((('old other11 $')+'old other9 $')/('old other9 #'+'old other11 #')),0)" databaseField="0"/>
    <cacheField name="New Other" numFmtId="0" formula="IF('new other9 #'+'new other11 #'&gt;0,((('new other11$')+'new other9$')/('new other9 #'+'new other11 #')),0)" databaseField="0"/>
    <cacheField name="Old Total" numFmtId="0" formula="IF('old total9 #'+'old total11 #'&gt;0,((('old total11 $'*0.81818)+'old total9 $')/('old total9 #'+'old total11 #')),0)" databaseField="0"/>
    <cacheField name="New Total" numFmtId="0" formula="IF('new total9 #'+'new total11 #'&gt;0,((('new total11 $'*0.81818)+'new total9 $')/('new total9 #'+'new total11 #')),0)" databaseField="0"/>
    <cacheField name="% Change Retirement" numFmtId="0" formula=" IF('Old Retirement'&gt;0,(('New Retirement'-'Old Retirement')/'Old Retirement')*100,0)" databaseField="0"/>
    <cacheField name="% Change Health" numFmtId="0" formula=" IF('Old Health'&gt;0,(('New Health'-'Old Health')/'Old Health')*100,0)" databaseField="0"/>
    <cacheField name="% Change Disability" numFmtId="0" formula=" IF('Old Disability'&gt;0,(('New Disability'-'Old Disability')/'Old Disability')*100,0)" databaseField="0"/>
    <cacheField name="% Change Social Security" numFmtId="0" formula=" IF('Old Social Security'&gt;0,(('New Social Security'-'Old Social Security')/'Old Social Security')*100,0)" databaseField="0"/>
    <cacheField name="% Change Unemployment" numFmtId="0" formula=" IF('Old Unemployment'&gt;0,(('New Unemployment'-'Old Unemployment')/'Old Unemployment')*100,0)" databaseField="0"/>
    <cacheField name="% Change Life Insurance" numFmtId="0" formula="IF('Old Life Insurance'&gt;0,(('New Life Insurance'-'Old Life Insurance')/'Old Life Insurance')*100,0)" databaseField="0"/>
    <cacheField name="% Change Worker's Comp" numFmtId="0" formula="IF('Old Worker''s Comp'&gt;0,(('New Worker''s Comp'-'Old Worker''s Comp')/'Old Worker''s Comp')*100,0)" databaseField="0"/>
    <cacheField name="% Change Tuition Plans" numFmtId="0" formula="IF('Old Tuition Plans'&gt;0,(('New Tuition Plans'-'Old Tuition Plans')/'Old Tuition Plans')*100,0)" databaseField="0"/>
    <cacheField name="% Change Other" numFmtId="0" formula="IF('Old Other'&gt;0,(('New Other'-'Old Other')/'Old Other')*100,0)" databaseField="0"/>
    <cacheField name="% Change Total" numFmtId="0" formula="IF('Old Total'&gt;0,(('New Total'-'Old Total')/'Old Total')*100,0)" databaseField="0"/>
    <cacheField name="Category2" numFmtId="0" databaseField="0">
      <fieldGroup base="4">
        <discretePr count="18">
          <x v="0"/>
          <x v="0"/>
          <x v="0"/>
          <x v="0"/>
          <x v="0"/>
          <x v="0"/>
          <x v="2"/>
          <x v="2"/>
          <x v="2"/>
          <x v="3"/>
          <x v="3"/>
          <x v="2"/>
          <x v="4"/>
          <x v="3"/>
          <x v="5"/>
          <x v="6"/>
          <x v="1"/>
          <x v="2"/>
        </discretePr>
        <groupItems count="7">
          <s v="Group1"/>
          <s v="15"/>
          <s v="Group2"/>
          <s v="Group3"/>
          <n v="99"/>
          <s v="10b"/>
          <s v="11b"/>
        </groupItems>
      </fieldGroup>
    </cacheField>
    <cacheField name="Old Disability" numFmtId="0" formula="IF('old dis9 #'+'old dis11 #'&gt;0,(('old dis11 $')+'old dis9 $')/('old dis9 #'+'old dis11 #'),0)" databaseField="0"/>
    <cacheField name="New Health" numFmtId="0" formula="IF('new health 9 # '+'new health 11 # '&gt;0,(('new health9$'+('new health11$'))/('new health 11 # '+'new health 9 # ')),0)" databaseField="0"/>
    <cacheField name="Old Health" numFmtId="0" formula="IF('old health9 #'+'old health11 #'&gt;0,(('old health9 $'+('old health11 $'))/('old health11 #'+'old health9 #')),0)" databaseField="0"/>
    <cacheField name="New Retirement" numFmtId="0" formula="IF('new retire9 #'+'new retire11 #'&gt;0,(('new retire9 $'+('new retire11 $'*0.8182))/('new retire11 #'+'new retire9 #')),0)" databaseField="0"/>
    <cacheField name="Old Retirement" numFmtId="0" formula="IF('old retire9 #'+'old retire11 #'&gt;0,(('old retire9 $'+('old retire11 $'*0.8182))/('old retire11 #'+'old retire9 #')),0)" databaseField="0"/>
  </cacheFields>
</pivotCacheDefinition>
</file>

<file path=xl/pivotCache/pivotCacheRecords1.xml><?xml version="1.0" encoding="utf-8"?>
<pivotCacheRecords xmlns="http://schemas.openxmlformats.org/spreadsheetml/2006/main" xmlns:r="http://schemas.openxmlformats.org/officeDocument/2006/relationships" count="675">
  <r>
    <x v="0"/>
    <s v="Auburn University  "/>
    <m/>
    <n v="100858"/>
    <x v="0"/>
    <n v="856"/>
    <n v="9338137"/>
    <n v="850"/>
    <n v="9197033"/>
    <n v="749"/>
    <n v="3998291"/>
    <n v="751"/>
    <n v="4253980"/>
    <n v="807"/>
    <n v="82746"/>
    <n v="791"/>
    <n v="81338"/>
    <n v="857"/>
    <n v="4934641"/>
    <n v="855"/>
    <n v="4863884"/>
    <n v="857"/>
    <n v="33398"/>
    <n v="855"/>
    <n v="46110"/>
    <n v="854"/>
    <n v="35737"/>
    <n v="852"/>
    <n v="35638"/>
    <n v="857"/>
    <n v="105203"/>
    <n v="855"/>
    <n v="103748"/>
    <m/>
    <m/>
    <m/>
    <m/>
    <m/>
    <m/>
    <n v="1016"/>
    <n v="2526863"/>
    <n v="857"/>
    <n v="18528153"/>
    <n v="1016"/>
    <n v="21108594"/>
    <n v="327"/>
    <n v="5266868"/>
    <n v="340"/>
    <n v="5501554"/>
    <n v="287"/>
    <n v="1552237"/>
    <n v="298"/>
    <n v="1690319"/>
    <n v="317"/>
    <n v="44990"/>
    <n v="324"/>
    <n v="46146"/>
    <n v="327"/>
    <n v="2376837"/>
    <n v="341"/>
    <n v="2467030"/>
    <n v="316"/>
    <n v="17319"/>
    <n v="330"/>
    <n v="25306"/>
    <n v="327"/>
    <n v="13733"/>
    <n v="340"/>
    <n v="14279"/>
    <n v="327"/>
    <n v="56170"/>
    <n v="341"/>
    <n v="58510"/>
    <m/>
    <m/>
    <m/>
    <m/>
    <m/>
    <m/>
    <m/>
    <m/>
    <n v="327"/>
    <n v="9328154"/>
    <n v="341"/>
    <n v="9803144"/>
  </r>
  <r>
    <x v="0"/>
    <s v="University of Alabama "/>
    <m/>
    <n v="100751"/>
    <x v="0"/>
    <n v="944"/>
    <n v="12598322"/>
    <n v="998"/>
    <n v="13598259"/>
    <n v="914"/>
    <n v="4316084"/>
    <n v="964"/>
    <n v="5017900"/>
    <n v="933"/>
    <n v="434910"/>
    <n v="984"/>
    <n v="472213"/>
    <n v="954"/>
    <n v="5815779"/>
    <n v="1016"/>
    <n v="6342887"/>
    <n v="954"/>
    <n v="38012"/>
    <n v="1016"/>
    <n v="41457"/>
    <n v="932"/>
    <n v="156082"/>
    <n v="983"/>
    <n v="169977"/>
    <n v="954"/>
    <n v="1597"/>
    <n v="1016"/>
    <n v="1741"/>
    <n v="315"/>
    <n v="1483620"/>
    <n v="333"/>
    <n v="1773794"/>
    <n v="954"/>
    <n v="3172468"/>
    <m/>
    <m/>
    <n v="954"/>
    <n v="28016874"/>
    <n v="1016"/>
    <n v="27418228"/>
    <n v="152"/>
    <n v="1947670"/>
    <n v="156"/>
    <n v="2109135"/>
    <n v="147"/>
    <n v="707299"/>
    <n v="152"/>
    <n v="801728"/>
    <n v="150"/>
    <n v="52881"/>
    <n v="155"/>
    <n v="57455"/>
    <n v="152"/>
    <n v="932501"/>
    <n v="159"/>
    <n v="1011876"/>
    <n v="152"/>
    <n v="6095"/>
    <n v="159"/>
    <n v="6614"/>
    <n v="150"/>
    <n v="25721"/>
    <n v="155"/>
    <n v="28117"/>
    <n v="152"/>
    <n v="256"/>
    <n v="159"/>
    <n v="278"/>
    <n v="57"/>
    <n v="235152"/>
    <n v="51"/>
    <n v="277592"/>
    <n v="152"/>
    <n v="502831"/>
    <n v="159"/>
    <n v="395444"/>
    <n v="152"/>
    <n v="4410406"/>
    <n v="159"/>
    <n v="4688239"/>
  </r>
  <r>
    <x v="0"/>
    <s v="University of Alabama at Birmingham"/>
    <s v="Met the criteria for Four-Year 2 in 2010-11."/>
    <n v="100663"/>
    <x v="0"/>
    <n v="370"/>
    <n v="4492680"/>
    <n v="381"/>
    <n v="4903682"/>
    <n v="370"/>
    <n v="4077030"/>
    <n v="381"/>
    <n v="4320540"/>
    <n v="370"/>
    <n v="112120"/>
    <n v="381"/>
    <n v="95217"/>
    <n v="370"/>
    <n v="2013415"/>
    <n v="381"/>
    <n v="2142385"/>
    <n v="370"/>
    <n v="21055"/>
    <n v="381"/>
    <n v="50409"/>
    <n v="370"/>
    <n v="45795"/>
    <n v="381"/>
    <n v="48729"/>
    <m/>
    <m/>
    <m/>
    <m/>
    <m/>
    <m/>
    <m/>
    <m/>
    <m/>
    <m/>
    <m/>
    <m/>
    <n v="370"/>
    <n v="10762095"/>
    <n v="381"/>
    <n v="11560962"/>
    <n v="462"/>
    <n v="8518534"/>
    <n v="480"/>
    <n v="9499116"/>
    <n v="462"/>
    <n v="5090778"/>
    <n v="480"/>
    <n v="5443200"/>
    <n v="462"/>
    <n v="212589"/>
    <n v="480"/>
    <n v="184449"/>
    <n v="462"/>
    <n v="3412866"/>
    <n v="480"/>
    <n v="3621577"/>
    <n v="462"/>
    <n v="39923"/>
    <n v="480"/>
    <n v="97649"/>
    <n v="462"/>
    <n v="86832"/>
    <n v="480"/>
    <n v="94394"/>
    <n v="0"/>
    <n v="0"/>
    <n v="0"/>
    <n v="0"/>
    <m/>
    <m/>
    <m/>
    <m/>
    <m/>
    <m/>
    <m/>
    <m/>
    <n v="462"/>
    <n v="17361522"/>
    <n v="480"/>
    <n v="18940385"/>
  </r>
  <r>
    <x v="0"/>
    <s v="University of Alabama in Huntsville"/>
    <s v="Met the criteria for Four-Year 3 in 2010-11."/>
    <n v="100706"/>
    <x v="1"/>
    <n v="265"/>
    <n v="3506304"/>
    <n v="266"/>
    <n v="3319924"/>
    <n v="187"/>
    <n v="890273"/>
    <n v="226"/>
    <n v="1228124"/>
    <n v="265"/>
    <n v="100908"/>
    <n v="266"/>
    <n v="97466"/>
    <n v="265"/>
    <n v="1285622"/>
    <n v="266"/>
    <n v="1506142"/>
    <n v="265"/>
    <n v="6866"/>
    <n v="266"/>
    <n v="23698"/>
    <n v="265"/>
    <n v="56803"/>
    <n v="266"/>
    <n v="56811"/>
    <m/>
    <m/>
    <m/>
    <m/>
    <n v="11"/>
    <n v="16767"/>
    <n v="18"/>
    <n v="26163"/>
    <m/>
    <m/>
    <m/>
    <m/>
    <n v="265"/>
    <n v="5863543"/>
    <n v="266"/>
    <n v="6258328"/>
    <n v="38"/>
    <n v="664958"/>
    <n v="37"/>
    <n v="688631"/>
    <n v="31"/>
    <n v="157990"/>
    <n v="31"/>
    <n v="179127"/>
    <n v="38"/>
    <n v="13090"/>
    <n v="37"/>
    <n v="13072"/>
    <n v="38"/>
    <n v="183492"/>
    <n v="37"/>
    <n v="253332"/>
    <n v="38"/>
    <n v="1174"/>
    <n v="37"/>
    <n v="4479"/>
    <n v="38"/>
    <n v="7759"/>
    <n v="37"/>
    <n v="8057"/>
    <m/>
    <m/>
    <m/>
    <m/>
    <n v="1"/>
    <n v="1493"/>
    <n v="1"/>
    <n v="1718"/>
    <m/>
    <m/>
    <m/>
    <m/>
    <n v="38"/>
    <n v="1029956"/>
    <n v="37"/>
    <n v="1148416"/>
  </r>
  <r>
    <x v="0"/>
    <s v="Alabama Agricultural &amp; Mechanical University"/>
    <m/>
    <n v="100654"/>
    <x v="2"/>
    <n v="277"/>
    <n v="2016190"/>
    <n v="193"/>
    <n v="1201359"/>
    <n v="223"/>
    <n v="953342"/>
    <n v="160"/>
    <n v="781953"/>
    <m/>
    <m/>
    <m/>
    <m/>
    <n v="277"/>
    <n v="882538"/>
    <n v="205"/>
    <n v="706941"/>
    <n v="43"/>
    <n v="109"/>
    <n v="53"/>
    <n v="80"/>
    <n v="277"/>
    <n v="54227"/>
    <n v="166"/>
    <n v="27782"/>
    <m/>
    <m/>
    <m/>
    <m/>
    <m/>
    <m/>
    <m/>
    <m/>
    <m/>
    <m/>
    <m/>
    <m/>
    <n v="277"/>
    <n v="3906406"/>
    <n v="205"/>
    <n v="2718115"/>
    <n v="34"/>
    <n v="433861"/>
    <n v="31"/>
    <n v="374118"/>
    <n v="27"/>
    <n v="166404"/>
    <n v="22"/>
    <n v="142560"/>
    <m/>
    <m/>
    <m/>
    <m/>
    <n v="34"/>
    <n v="196351"/>
    <n v="31"/>
    <n v="183386"/>
    <n v="7"/>
    <n v="41"/>
    <n v="31"/>
    <n v="68"/>
    <n v="34"/>
    <n v="13724"/>
    <n v="31"/>
    <n v="13344"/>
    <m/>
    <m/>
    <m/>
    <m/>
    <m/>
    <m/>
    <m/>
    <m/>
    <m/>
    <m/>
    <m/>
    <m/>
    <n v="34"/>
    <n v="810381"/>
    <n v="31"/>
    <n v="713476"/>
  </r>
  <r>
    <x v="0"/>
    <s v="Jacksonville State University "/>
    <m/>
    <n v="101480"/>
    <x v="2"/>
    <n v="289"/>
    <n v="2942311"/>
    <n v="296"/>
    <n v="3016151"/>
    <n v="289"/>
    <n v="2607936"/>
    <n v="296"/>
    <n v="2671104"/>
    <n v="289"/>
    <n v="79481"/>
    <n v="296"/>
    <n v="81476"/>
    <n v="289"/>
    <n v="1041824"/>
    <n v="296"/>
    <n v="1067969"/>
    <n v="289"/>
    <n v="11763"/>
    <n v="296"/>
    <n v="15503"/>
    <n v="289"/>
    <n v="64526"/>
    <n v="296"/>
    <n v="66145"/>
    <m/>
    <m/>
    <m/>
    <m/>
    <m/>
    <m/>
    <m/>
    <m/>
    <m/>
    <m/>
    <n v="99"/>
    <n v="4453"/>
    <n v="289"/>
    <n v="6747841"/>
    <n v="296"/>
    <n v="6922801"/>
    <n v="33"/>
    <n v="534700"/>
    <n v="30"/>
    <n v="490228"/>
    <n v="33"/>
    <n v="297792"/>
    <n v="30"/>
    <n v="270720"/>
    <n v="33"/>
    <n v="14444"/>
    <n v="30"/>
    <n v="13243"/>
    <n v="33"/>
    <n v="189329"/>
    <n v="30"/>
    <n v="173582"/>
    <n v="33"/>
    <n v="2138"/>
    <n v="30"/>
    <n v="2520"/>
    <n v="33"/>
    <n v="11726"/>
    <n v="30"/>
    <n v="10751"/>
    <m/>
    <m/>
    <m/>
    <m/>
    <m/>
    <m/>
    <m/>
    <m/>
    <m/>
    <m/>
    <m/>
    <m/>
    <n v="33"/>
    <n v="1050129"/>
    <n v="30"/>
    <n v="961044"/>
  </r>
  <r>
    <x v="0"/>
    <s v="Troy University"/>
    <m/>
    <n v="102368"/>
    <x v="2"/>
    <n v="261"/>
    <n v="1689239"/>
    <n v="294"/>
    <n v="1957276"/>
    <n v="194"/>
    <n v="873310"/>
    <n v="229"/>
    <n v="1088717"/>
    <n v="261"/>
    <n v="17868"/>
    <n v="294"/>
    <n v="19253"/>
    <n v="261"/>
    <n v="964490"/>
    <n v="294"/>
    <n v="1114522"/>
    <n v="261"/>
    <n v="18866"/>
    <n v="294"/>
    <n v="21957"/>
    <n v="261"/>
    <n v="71780"/>
    <n v="294"/>
    <n v="71976"/>
    <n v="0"/>
    <n v="0"/>
    <m/>
    <m/>
    <n v="28"/>
    <n v="163081"/>
    <n v="26"/>
    <n v="140811"/>
    <n v="76"/>
    <n v="3420"/>
    <m/>
    <m/>
    <n v="261"/>
    <n v="3802054"/>
    <n v="294"/>
    <n v="4414512"/>
    <n v="124"/>
    <n v="780979"/>
    <n v="137"/>
    <n v="974598"/>
    <n v="66"/>
    <n v="356049"/>
    <n v="83"/>
    <n v="481509"/>
    <n v="124"/>
    <n v="8795"/>
    <n v="137"/>
    <n v="10696"/>
    <n v="124"/>
    <n v="442700"/>
    <n v="137"/>
    <n v="521011"/>
    <n v="124"/>
    <n v="8753"/>
    <n v="137"/>
    <n v="10998"/>
    <n v="124"/>
    <n v="38960"/>
    <n v="137"/>
    <n v="33495"/>
    <n v="0"/>
    <n v="0"/>
    <n v="0"/>
    <n v="0"/>
    <n v="8"/>
    <n v="48455"/>
    <n v="6"/>
    <n v="30378"/>
    <n v="28"/>
    <n v="1458"/>
    <n v="44"/>
    <n v="2268"/>
    <n v="124"/>
    <n v="1686149"/>
    <n v="137"/>
    <n v="2064953"/>
  </r>
  <r>
    <x v="0"/>
    <s v="University of South Alabama"/>
    <m/>
    <n v="102094"/>
    <x v="2"/>
    <n v="328"/>
    <n v="1950244"/>
    <n v="328"/>
    <n v="1941173"/>
    <n v="265"/>
    <n v="1437120"/>
    <n v="289"/>
    <n v="3246804"/>
    <n v="331"/>
    <n v="168240"/>
    <n v="328"/>
    <n v="162912"/>
    <n v="331"/>
    <n v="1621961"/>
    <n v="328"/>
    <n v="1586536"/>
    <m/>
    <m/>
    <m/>
    <m/>
    <n v="313"/>
    <n v="41430"/>
    <n v="328"/>
    <n v="42865"/>
    <m/>
    <m/>
    <m/>
    <m/>
    <m/>
    <m/>
    <m/>
    <m/>
    <m/>
    <m/>
    <m/>
    <m/>
    <n v="331"/>
    <n v="5218995"/>
    <n v="328"/>
    <n v="6980290"/>
    <n v="171"/>
    <n v="1422823"/>
    <n v="186"/>
    <n v="1465310"/>
    <n v="134"/>
    <n v="714624"/>
    <n v="162"/>
    <n v="1830120"/>
    <n v="172"/>
    <n v="119530"/>
    <n v="186"/>
    <n v="124240"/>
    <n v="172"/>
    <n v="1176479"/>
    <n v="186"/>
    <n v="1197609"/>
    <m/>
    <m/>
    <m/>
    <m/>
    <n v="164"/>
    <n v="26185"/>
    <n v="186"/>
    <n v="29278"/>
    <m/>
    <m/>
    <m/>
    <m/>
    <m/>
    <m/>
    <m/>
    <m/>
    <m/>
    <m/>
    <m/>
    <m/>
    <n v="172"/>
    <n v="3459641"/>
    <n v="186"/>
    <n v="4646557"/>
  </r>
  <r>
    <x v="0"/>
    <s v="Alabama State University "/>
    <m/>
    <n v="100724"/>
    <x v="3"/>
    <n v="225"/>
    <n v="1776200"/>
    <n v="242"/>
    <n v="1939214"/>
    <n v="225"/>
    <n v="916998"/>
    <n v="242"/>
    <n v="1156074"/>
    <n v="225"/>
    <n v="24137"/>
    <n v="242"/>
    <n v="26352"/>
    <n v="225"/>
    <n v="1086166"/>
    <n v="242"/>
    <n v="1185851"/>
    <m/>
    <m/>
    <m/>
    <m/>
    <n v="225"/>
    <n v="10638"/>
    <n v="242"/>
    <n v="11442"/>
    <m/>
    <m/>
    <m/>
    <m/>
    <n v="5"/>
    <n v="7725"/>
    <n v="5"/>
    <n v="9468"/>
    <m/>
    <m/>
    <m/>
    <m/>
    <n v="225"/>
    <n v="3821864"/>
    <n v="242"/>
    <n v="4328401"/>
    <n v="16"/>
    <n v="132199"/>
    <n v="11"/>
    <n v="85050"/>
    <n v="16"/>
    <n v="64884"/>
    <n v="11"/>
    <n v="52528"/>
    <n v="16"/>
    <n v="1796"/>
    <n v="11"/>
    <n v="1156"/>
    <n v="16"/>
    <n v="80394"/>
    <n v="11"/>
    <n v="52009"/>
    <m/>
    <m/>
    <m/>
    <m/>
    <n v="16"/>
    <n v="756"/>
    <n v="11"/>
    <n v="520"/>
    <m/>
    <m/>
    <m/>
    <m/>
    <m/>
    <m/>
    <m/>
    <m/>
    <m/>
    <m/>
    <m/>
    <m/>
    <n v="16"/>
    <n v="280029"/>
    <n v="11"/>
    <n v="191263"/>
  </r>
  <r>
    <x v="0"/>
    <s v="Auburn University at Montgomery"/>
    <m/>
    <n v="100830"/>
    <x v="3"/>
    <n v="156"/>
    <n v="1425466"/>
    <n v="143"/>
    <n v="1285398"/>
    <n v="122"/>
    <n v="626971"/>
    <n v="111"/>
    <n v="604244"/>
    <n v="140"/>
    <n v="11788"/>
    <n v="129"/>
    <n v="10915"/>
    <n v="156"/>
    <n v="613086"/>
    <n v="142"/>
    <n v="551655"/>
    <n v="156"/>
    <n v="10984"/>
    <n v="143"/>
    <n v="18974"/>
    <n v="156"/>
    <n v="6546"/>
    <n v="142"/>
    <n v="5950"/>
    <n v="156"/>
    <n v="15727"/>
    <n v="143"/>
    <n v="14230"/>
    <m/>
    <m/>
    <m/>
    <m/>
    <m/>
    <m/>
    <m/>
    <m/>
    <n v="156"/>
    <n v="2710568"/>
    <n v="143"/>
    <n v="2491366"/>
    <n v="29"/>
    <n v="370246"/>
    <n v="36"/>
    <n v="393548"/>
    <n v="24"/>
    <n v="132507"/>
    <n v="29"/>
    <n v="164124"/>
    <n v="27"/>
    <n v="30163"/>
    <n v="32"/>
    <n v="3275"/>
    <n v="29"/>
    <n v="27107"/>
    <n v="36"/>
    <n v="171675"/>
    <n v="29"/>
    <n v="2892"/>
    <n v="36"/>
    <n v="5914"/>
    <n v="29"/>
    <n v="1260"/>
    <n v="36"/>
    <n v="1512"/>
    <n v="29"/>
    <n v="4145"/>
    <n v="36"/>
    <n v="4435"/>
    <m/>
    <m/>
    <m/>
    <m/>
    <m/>
    <m/>
    <m/>
    <m/>
    <n v="29"/>
    <n v="568320"/>
    <n v="36"/>
    <n v="744483"/>
  </r>
  <r>
    <x v="0"/>
    <s v="University of North Alabama"/>
    <m/>
    <n v="101879"/>
    <x v="3"/>
    <n v="226"/>
    <n v="1774399"/>
    <n v="229"/>
    <n v="1877607"/>
    <n v="226"/>
    <n v="1073789"/>
    <n v="229"/>
    <n v="1181475"/>
    <n v="226"/>
    <n v="45388"/>
    <n v="229"/>
    <n v="48028"/>
    <n v="226"/>
    <n v="1085064"/>
    <n v="229"/>
    <n v="1148177"/>
    <m/>
    <m/>
    <m/>
    <m/>
    <n v="226"/>
    <n v="51062"/>
    <n v="229"/>
    <n v="54032"/>
    <m/>
    <m/>
    <m/>
    <m/>
    <n v="226"/>
    <n v="226444"/>
    <n v="229"/>
    <n v="254190"/>
    <m/>
    <m/>
    <m/>
    <m/>
    <n v="226"/>
    <n v="4256146"/>
    <n v="229"/>
    <n v="4563509"/>
    <n v="9"/>
    <n v="89034"/>
    <n v="9"/>
    <n v="89803"/>
    <n v="9"/>
    <n v="42761"/>
    <n v="9"/>
    <n v="46434"/>
    <n v="9"/>
    <n v="2278"/>
    <n v="9"/>
    <n v="2297"/>
    <n v="9"/>
    <n v="54445"/>
    <n v="9"/>
    <n v="54915"/>
    <m/>
    <m/>
    <m/>
    <m/>
    <n v="9"/>
    <n v="2563"/>
    <n v="9"/>
    <n v="2584"/>
    <m/>
    <m/>
    <m/>
    <m/>
    <n v="9"/>
    <n v="9018"/>
    <n v="9"/>
    <n v="9990"/>
    <m/>
    <m/>
    <m/>
    <m/>
    <n v="9"/>
    <n v="200099"/>
    <n v="9"/>
    <n v="206023"/>
  </r>
  <r>
    <x v="0"/>
    <s v="University of Montevallo"/>
    <m/>
    <n v="101709"/>
    <x v="4"/>
    <n v="137"/>
    <n v="1013836"/>
    <n v="131"/>
    <n v="976508"/>
    <n v="121"/>
    <n v="51331"/>
    <n v="118"/>
    <n v="52206"/>
    <n v="137"/>
    <n v="16208"/>
    <n v="131"/>
    <n v="15612"/>
    <n v="137"/>
    <n v="619972"/>
    <n v="131"/>
    <n v="597145"/>
    <n v="137"/>
    <n v="4052"/>
    <n v="131"/>
    <n v="3903"/>
    <n v="137"/>
    <n v="21844"/>
    <n v="131"/>
    <n v="21086"/>
    <m/>
    <m/>
    <m/>
    <m/>
    <n v="17"/>
    <n v="59030"/>
    <n v="15"/>
    <n v="53588"/>
    <n v="17"/>
    <n v="59030"/>
    <m/>
    <m/>
    <n v="137"/>
    <n v="1845303"/>
    <n v="131"/>
    <n v="1720048"/>
    <n v="0"/>
    <m/>
    <m/>
    <m/>
    <m/>
    <m/>
    <m/>
    <m/>
    <m/>
    <m/>
    <m/>
    <m/>
    <m/>
    <m/>
    <m/>
    <m/>
    <m/>
    <m/>
    <m/>
    <m/>
    <m/>
    <m/>
    <m/>
    <m/>
    <m/>
    <m/>
    <m/>
    <m/>
    <m/>
    <m/>
    <m/>
    <m/>
    <m/>
    <m/>
    <m/>
    <m/>
    <n v="0"/>
    <n v="0"/>
    <n v="0"/>
    <n v="0"/>
  </r>
  <r>
    <x v="0"/>
    <s v="University of West Alabama"/>
    <m/>
    <n v="101587"/>
    <x v="4"/>
    <n v="112"/>
    <n v="719263"/>
    <n v="110"/>
    <n v="742399"/>
    <n v="112"/>
    <n v="524076"/>
    <n v="110"/>
    <n v="613721"/>
    <n v="112"/>
    <n v="42310"/>
    <n v="110"/>
    <n v="42135"/>
    <n v="112"/>
    <n v="455871"/>
    <n v="110"/>
    <n v="453985"/>
    <n v="112"/>
    <n v="8939"/>
    <n v="6"/>
    <n v="12600"/>
    <n v="112"/>
    <n v="1919"/>
    <n v="110"/>
    <n v="1665"/>
    <m/>
    <m/>
    <m/>
    <m/>
    <n v="12"/>
    <n v="38328"/>
    <n v="20"/>
    <n v="41981"/>
    <n v="0"/>
    <n v="0"/>
    <n v="8"/>
    <n v="39104"/>
    <n v="112"/>
    <n v="1790706"/>
    <n v="110"/>
    <n v="1947590"/>
    <n v="3"/>
    <n v="9603"/>
    <n v="3"/>
    <n v="11634"/>
    <n v="3"/>
    <n v="13353"/>
    <n v="3"/>
    <n v="16738"/>
    <n v="3"/>
    <n v="624"/>
    <n v="3"/>
    <n v="660"/>
    <n v="3"/>
    <n v="6252"/>
    <n v="3"/>
    <n v="7115"/>
    <n v="3"/>
    <n v="132"/>
    <n v="0"/>
    <n v="0"/>
    <n v="3"/>
    <n v="31"/>
    <n v="3"/>
    <n v="30"/>
    <m/>
    <m/>
    <m/>
    <m/>
    <n v="0"/>
    <n v="0"/>
    <m/>
    <m/>
    <n v="0"/>
    <n v="0"/>
    <m/>
    <m/>
    <n v="3"/>
    <n v="29995"/>
    <n v="3"/>
    <n v="36177"/>
  </r>
  <r>
    <x v="0"/>
    <s v="Athens State University"/>
    <m/>
    <n v="100812"/>
    <x v="5"/>
    <n v="67"/>
    <n v="575498"/>
    <n v="74"/>
    <n v="631532"/>
    <n v="67"/>
    <n v="604608"/>
    <n v="74"/>
    <n v="667776"/>
    <m/>
    <m/>
    <m/>
    <m/>
    <n v="67"/>
    <n v="351923"/>
    <n v="74"/>
    <n v="386189"/>
    <m/>
    <m/>
    <m/>
    <m/>
    <m/>
    <m/>
    <m/>
    <m/>
    <m/>
    <m/>
    <m/>
    <m/>
    <m/>
    <m/>
    <m/>
    <m/>
    <n v="6"/>
    <n v="43616"/>
    <m/>
    <m/>
    <n v="67"/>
    <n v="1575645"/>
    <n v="74"/>
    <n v="1685497"/>
    <n v="15"/>
    <n v="154699"/>
    <n v="12"/>
    <n v="131829"/>
    <n v="15"/>
    <n v="135360"/>
    <n v="12"/>
    <n v="108288"/>
    <m/>
    <m/>
    <m/>
    <m/>
    <n v="15"/>
    <n v="94468"/>
    <n v="12"/>
    <n v="80477"/>
    <m/>
    <m/>
    <n v="0"/>
    <n v="0"/>
    <m/>
    <m/>
    <m/>
    <m/>
    <m/>
    <m/>
    <m/>
    <m/>
    <n v="0"/>
    <n v="0"/>
    <m/>
    <m/>
    <n v="3"/>
    <n v="22560"/>
    <n v="2"/>
    <n v="12032"/>
    <n v="15"/>
    <n v="407087"/>
    <n v="12"/>
    <n v="332626"/>
  </r>
  <r>
    <x v="0"/>
    <s v="Jefferson State Community College"/>
    <m/>
    <n v="101505"/>
    <x v="6"/>
    <n v="128"/>
    <n v="850716"/>
    <n v="120"/>
    <n v="798212"/>
    <n v="128"/>
    <n v="1155072"/>
    <n v="120"/>
    <n v="1082880"/>
    <m/>
    <m/>
    <m/>
    <m/>
    <n v="128"/>
    <n v="520222"/>
    <n v="120"/>
    <n v="488115"/>
    <n v="128"/>
    <n v="2040"/>
    <n v="120"/>
    <n v="19780"/>
    <m/>
    <m/>
    <m/>
    <m/>
    <m/>
    <m/>
    <m/>
    <m/>
    <n v="10"/>
    <n v="6672"/>
    <n v="7"/>
    <n v="10415"/>
    <m/>
    <m/>
    <m/>
    <m/>
    <n v="128"/>
    <n v="2534722"/>
    <n v="120"/>
    <n v="2399402"/>
    <n v="26"/>
    <n v="219746"/>
    <n v="16"/>
    <n v="120914"/>
    <n v="26"/>
    <n v="234624"/>
    <n v="16"/>
    <n v="144384"/>
    <m/>
    <m/>
    <m/>
    <m/>
    <n v="26"/>
    <n v="134377"/>
    <n v="16"/>
    <n v="73940"/>
    <n v="26"/>
    <n v="527"/>
    <n v="16"/>
    <n v="2996"/>
    <m/>
    <m/>
    <m/>
    <m/>
    <m/>
    <m/>
    <m/>
    <m/>
    <n v="2"/>
    <n v="1633"/>
    <n v="2"/>
    <n v="2800"/>
    <m/>
    <m/>
    <m/>
    <m/>
    <n v="26"/>
    <n v="590907"/>
    <n v="16"/>
    <n v="345034"/>
  </r>
  <r>
    <x v="0"/>
    <s v="John C. Calhoun State Community College "/>
    <m/>
    <n v="101514"/>
    <x v="6"/>
    <n v="141"/>
    <n v="958318"/>
    <n v="145"/>
    <n v="982024"/>
    <n v="141"/>
    <n v="1272384"/>
    <n v="145"/>
    <n v="1308480"/>
    <m/>
    <m/>
    <m/>
    <m/>
    <n v="141"/>
    <n v="586022"/>
    <n v="145"/>
    <n v="600518"/>
    <m/>
    <m/>
    <m/>
    <m/>
    <m/>
    <m/>
    <m/>
    <m/>
    <m/>
    <m/>
    <m/>
    <m/>
    <n v="16"/>
    <n v="10724"/>
    <n v="14"/>
    <n v="16039"/>
    <n v="0"/>
    <n v="0"/>
    <m/>
    <m/>
    <n v="141"/>
    <n v="2827448"/>
    <n v="145"/>
    <n v="2907061"/>
    <n v="0"/>
    <m/>
    <m/>
    <m/>
    <m/>
    <m/>
    <m/>
    <m/>
    <m/>
    <m/>
    <m/>
    <m/>
    <m/>
    <m/>
    <m/>
    <m/>
    <m/>
    <m/>
    <m/>
    <m/>
    <m/>
    <m/>
    <m/>
    <m/>
    <m/>
    <m/>
    <m/>
    <m/>
    <m/>
    <m/>
    <m/>
    <m/>
    <m/>
    <m/>
    <m/>
    <m/>
    <n v="0"/>
    <n v="0"/>
    <n v="0"/>
    <n v="0"/>
  </r>
  <r>
    <x v="0"/>
    <s v="Bevill State Community College"/>
    <m/>
    <n v="102429"/>
    <x v="7"/>
    <n v="112"/>
    <n v="790511"/>
    <n v="114"/>
    <n v="802008"/>
    <n v="112"/>
    <n v="1010688"/>
    <n v="114"/>
    <n v="1037760"/>
    <m/>
    <m/>
    <m/>
    <m/>
    <n v="112"/>
    <n v="483406"/>
    <n v="114"/>
    <n v="490437"/>
    <n v="112"/>
    <n v="20221"/>
    <n v="114"/>
    <n v="64109"/>
    <m/>
    <m/>
    <m/>
    <m/>
    <m/>
    <m/>
    <m/>
    <m/>
    <n v="28"/>
    <n v="16369"/>
    <n v="28"/>
    <n v="33930"/>
    <n v="0"/>
    <n v="0"/>
    <m/>
    <m/>
    <n v="112"/>
    <n v="2321195"/>
    <n v="114"/>
    <n v="2428244"/>
    <m/>
    <m/>
    <n v="5"/>
    <n v="14666"/>
    <m/>
    <m/>
    <n v="5"/>
    <n v="45120"/>
    <m/>
    <m/>
    <m/>
    <m/>
    <m/>
    <m/>
    <n v="5"/>
    <n v="8969"/>
    <m/>
    <m/>
    <n v="5"/>
    <n v="1172"/>
    <m/>
    <m/>
    <m/>
    <m/>
    <m/>
    <m/>
    <m/>
    <m/>
    <m/>
    <m/>
    <m/>
    <m/>
    <m/>
    <m/>
    <m/>
    <m/>
    <n v="0"/>
    <n v="0"/>
    <n v="5"/>
    <n v="69927"/>
  </r>
  <r>
    <x v="0"/>
    <s v="Bishop State Community College"/>
    <m/>
    <n v="102030"/>
    <x v="7"/>
    <n v="88"/>
    <n v="596338"/>
    <n v="81"/>
    <n v="553898"/>
    <n v="88"/>
    <n v="795223"/>
    <n v="81"/>
    <n v="730944"/>
    <m/>
    <m/>
    <m/>
    <m/>
    <n v="88"/>
    <n v="374756"/>
    <n v="81"/>
    <n v="338686"/>
    <m/>
    <m/>
    <m/>
    <m/>
    <m/>
    <m/>
    <m/>
    <m/>
    <m/>
    <m/>
    <m/>
    <m/>
    <m/>
    <m/>
    <m/>
    <m/>
    <n v="0"/>
    <n v="0"/>
    <m/>
    <m/>
    <n v="88"/>
    <n v="1766317"/>
    <n v="81"/>
    <n v="1623528"/>
    <n v="10"/>
    <n v="60474"/>
    <n v="9"/>
    <n v="57519"/>
    <n v="10"/>
    <n v="90240"/>
    <n v="9"/>
    <n v="80464"/>
    <n v="0"/>
    <n v="0"/>
    <m/>
    <m/>
    <n v="10"/>
    <n v="36977"/>
    <n v="9"/>
    <n v="35172"/>
    <m/>
    <m/>
    <m/>
    <m/>
    <m/>
    <m/>
    <m/>
    <m/>
    <m/>
    <m/>
    <m/>
    <m/>
    <n v="0"/>
    <n v="0"/>
    <m/>
    <m/>
    <m/>
    <m/>
    <m/>
    <m/>
    <n v="10"/>
    <n v="187691"/>
    <n v="9"/>
    <n v="173155"/>
  </r>
  <r>
    <x v="0"/>
    <s v="Gadsden State Community College"/>
    <s v="Met criteria for Two-Year 1 in 2009-10 and 2010-11."/>
    <n v="101240"/>
    <x v="7"/>
    <n v="153"/>
    <n v="1021661"/>
    <n v="152"/>
    <n v="1017945"/>
    <n v="153"/>
    <n v="1380672"/>
    <n v="152"/>
    <n v="1371648"/>
    <m/>
    <m/>
    <m/>
    <m/>
    <n v="153"/>
    <n v="624757"/>
    <n v="152"/>
    <n v="622484"/>
    <n v="153"/>
    <n v="16416"/>
    <n v="152"/>
    <n v="19241"/>
    <m/>
    <m/>
    <m/>
    <m/>
    <m/>
    <m/>
    <m/>
    <m/>
    <n v="28"/>
    <n v="72065"/>
    <n v="21"/>
    <n v="68795"/>
    <n v="0"/>
    <n v="0"/>
    <m/>
    <m/>
    <n v="153"/>
    <n v="3115571"/>
    <n v="152"/>
    <n v="3100113"/>
    <m/>
    <m/>
    <n v="1"/>
    <n v="11320"/>
    <m/>
    <m/>
    <n v="1"/>
    <n v="9024"/>
    <m/>
    <m/>
    <m/>
    <m/>
    <m/>
    <m/>
    <n v="1"/>
    <n v="6922"/>
    <m/>
    <m/>
    <n v="1"/>
    <n v="127"/>
    <m/>
    <m/>
    <m/>
    <m/>
    <m/>
    <m/>
    <m/>
    <m/>
    <m/>
    <m/>
    <n v="1"/>
    <n v="3270"/>
    <m/>
    <m/>
    <m/>
    <m/>
    <n v="0"/>
    <n v="0"/>
    <n v="1"/>
    <n v="30663"/>
  </r>
  <r>
    <x v="0"/>
    <s v="George C. Wallace Community College - Dothan"/>
    <m/>
    <n v="101286"/>
    <x v="7"/>
    <n v="127"/>
    <n v="811090"/>
    <n v="119"/>
    <n v="767516"/>
    <n v="127"/>
    <n v="1146048"/>
    <n v="119"/>
    <n v="1073856"/>
    <m/>
    <m/>
    <m/>
    <m/>
    <n v="127"/>
    <n v="495959"/>
    <n v="119"/>
    <n v="469316"/>
    <m/>
    <m/>
    <m/>
    <m/>
    <m/>
    <m/>
    <m/>
    <m/>
    <m/>
    <m/>
    <m/>
    <m/>
    <m/>
    <m/>
    <m/>
    <m/>
    <n v="0"/>
    <n v="0"/>
    <m/>
    <m/>
    <n v="127"/>
    <n v="2453097"/>
    <n v="119"/>
    <n v="2310688"/>
    <n v="2"/>
    <n v="15493"/>
    <n v="3"/>
    <n v="26947"/>
    <n v="2"/>
    <n v="18048"/>
    <n v="3"/>
    <n v="27072"/>
    <n v="0"/>
    <n v="0"/>
    <m/>
    <m/>
    <n v="2"/>
    <n v="9474"/>
    <n v="3"/>
    <n v="16478"/>
    <n v="0"/>
    <n v="0"/>
    <m/>
    <m/>
    <m/>
    <m/>
    <m/>
    <m/>
    <m/>
    <m/>
    <m/>
    <m/>
    <n v="0"/>
    <n v="0"/>
    <m/>
    <m/>
    <m/>
    <m/>
    <m/>
    <m/>
    <n v="2"/>
    <n v="43015"/>
    <n v="3"/>
    <n v="70497"/>
  </r>
  <r>
    <x v="0"/>
    <s v="James H. Faulkner State Community College"/>
    <m/>
    <n v="101161"/>
    <x v="7"/>
    <n v="57"/>
    <n v="390001"/>
    <n v="61"/>
    <n v="406877"/>
    <n v="57"/>
    <n v="514368"/>
    <n v="61"/>
    <n v="550464"/>
    <m/>
    <m/>
    <m/>
    <m/>
    <n v="57"/>
    <n v="238490"/>
    <n v="61"/>
    <n v="248810"/>
    <n v="0"/>
    <n v="0"/>
    <n v="0"/>
    <n v="0"/>
    <m/>
    <m/>
    <m/>
    <m/>
    <m/>
    <m/>
    <m/>
    <m/>
    <n v="5"/>
    <n v="3600"/>
    <n v="17"/>
    <n v="15464"/>
    <n v="0"/>
    <n v="0"/>
    <m/>
    <m/>
    <n v="57"/>
    <n v="1146459"/>
    <n v="61"/>
    <n v="1221615"/>
    <n v="10"/>
    <n v="97917"/>
    <n v="10"/>
    <n v="99110"/>
    <n v="10"/>
    <n v="90240"/>
    <n v="10"/>
    <n v="90240"/>
    <n v="0"/>
    <n v="0"/>
    <m/>
    <m/>
    <n v="10"/>
    <n v="59877"/>
    <n v="10"/>
    <n v="60607"/>
    <n v="0"/>
    <n v="0"/>
    <m/>
    <m/>
    <m/>
    <m/>
    <m/>
    <m/>
    <m/>
    <m/>
    <m/>
    <m/>
    <n v="0"/>
    <n v="0"/>
    <n v="1"/>
    <n v="270"/>
    <m/>
    <m/>
    <m/>
    <m/>
    <n v="10"/>
    <n v="248034"/>
    <n v="10"/>
    <n v="250227"/>
  </r>
  <r>
    <x v="0"/>
    <s v="Lawson State Community College "/>
    <m/>
    <n v="101569"/>
    <x v="7"/>
    <n v="94"/>
    <n v="628592"/>
    <n v="95"/>
    <n v="641260"/>
    <n v="94"/>
    <n v="848256"/>
    <n v="95"/>
    <n v="857280"/>
    <m/>
    <m/>
    <m/>
    <m/>
    <n v="94"/>
    <n v="348209"/>
    <n v="95"/>
    <n v="392138"/>
    <m/>
    <m/>
    <m/>
    <m/>
    <m/>
    <m/>
    <m/>
    <m/>
    <m/>
    <m/>
    <m/>
    <m/>
    <m/>
    <m/>
    <m/>
    <m/>
    <n v="0"/>
    <n v="0"/>
    <m/>
    <m/>
    <n v="94"/>
    <n v="1825057"/>
    <n v="95"/>
    <n v="1890678"/>
    <m/>
    <m/>
    <m/>
    <m/>
    <m/>
    <m/>
    <m/>
    <m/>
    <m/>
    <m/>
    <m/>
    <m/>
    <m/>
    <m/>
    <m/>
    <m/>
    <m/>
    <m/>
    <m/>
    <m/>
    <m/>
    <m/>
    <m/>
    <m/>
    <m/>
    <m/>
    <m/>
    <m/>
    <m/>
    <m/>
    <m/>
    <m/>
    <m/>
    <m/>
    <m/>
    <m/>
    <n v="0"/>
    <n v="0"/>
    <n v="0"/>
    <n v="0"/>
  </r>
  <r>
    <x v="0"/>
    <s v="Northwest-Shoals Community College"/>
    <m/>
    <n v="101736"/>
    <x v="7"/>
    <n v="81"/>
    <n v="548471"/>
    <n v="81"/>
    <n v="550388"/>
    <n v="81"/>
    <n v="730944"/>
    <n v="81"/>
    <n v="730944"/>
    <m/>
    <m/>
    <m/>
    <m/>
    <n v="81"/>
    <n v="335371"/>
    <n v="81"/>
    <n v="336543"/>
    <n v="81"/>
    <n v="877"/>
    <n v="81"/>
    <n v="880"/>
    <m/>
    <m/>
    <m/>
    <m/>
    <m/>
    <m/>
    <m/>
    <m/>
    <n v="23"/>
    <n v="20837"/>
    <n v="21"/>
    <n v="19201"/>
    <n v="0"/>
    <n v="0"/>
    <m/>
    <m/>
    <n v="81"/>
    <n v="1636500"/>
    <n v="81"/>
    <n v="1637956"/>
    <n v="9"/>
    <n v="54487"/>
    <n v="8"/>
    <n v="49259"/>
    <n v="9"/>
    <n v="81216"/>
    <n v="8"/>
    <n v="72192"/>
    <n v="0"/>
    <n v="0"/>
    <m/>
    <m/>
    <n v="9"/>
    <n v="33319"/>
    <n v="8"/>
    <n v="30121"/>
    <n v="9"/>
    <n v="87"/>
    <n v="8"/>
    <n v="79"/>
    <m/>
    <m/>
    <m/>
    <m/>
    <m/>
    <m/>
    <m/>
    <m/>
    <n v="0"/>
    <n v="0"/>
    <m/>
    <m/>
    <m/>
    <m/>
    <m/>
    <m/>
    <n v="9"/>
    <n v="169109"/>
    <n v="8"/>
    <n v="151651"/>
  </r>
  <r>
    <x v="0"/>
    <s v="Shelton State Community College"/>
    <s v="Met the criteria for Two-Year 1 in 2010-11."/>
    <n v="102067"/>
    <x v="7"/>
    <n v="82"/>
    <n v="569432"/>
    <n v="81"/>
    <n v="556569"/>
    <n v="82"/>
    <n v="748992"/>
    <n v="81"/>
    <n v="730944"/>
    <m/>
    <m/>
    <m/>
    <m/>
    <n v="82"/>
    <n v="348492"/>
    <n v="81"/>
    <n v="295858"/>
    <n v="82"/>
    <n v="7744"/>
    <n v="81"/>
    <n v="4445"/>
    <m/>
    <m/>
    <m/>
    <m/>
    <m/>
    <m/>
    <m/>
    <m/>
    <n v="18"/>
    <n v="75486"/>
    <n v="3"/>
    <n v="3510"/>
    <n v="0"/>
    <n v="0"/>
    <m/>
    <m/>
    <n v="82"/>
    <n v="1750146"/>
    <n v="81"/>
    <n v="1591326"/>
    <m/>
    <m/>
    <n v="6"/>
    <n v="37231"/>
    <m/>
    <m/>
    <n v="6"/>
    <n v="54144"/>
    <m/>
    <m/>
    <m/>
    <m/>
    <m/>
    <m/>
    <n v="6"/>
    <n v="19791"/>
    <m/>
    <m/>
    <n v="6"/>
    <n v="298"/>
    <m/>
    <m/>
    <m/>
    <m/>
    <m/>
    <m/>
    <m/>
    <m/>
    <m/>
    <m/>
    <m/>
    <m/>
    <m/>
    <m/>
    <m/>
    <m/>
    <n v="0"/>
    <n v="0"/>
    <n v="6"/>
    <n v="111464"/>
  </r>
  <r>
    <x v="0"/>
    <s v="Southern Union State Community College"/>
    <m/>
    <n v="251260"/>
    <x v="7"/>
    <n v="90"/>
    <n v="586933"/>
    <n v="82"/>
    <n v="529252"/>
    <n v="90"/>
    <n v="812160"/>
    <n v="82"/>
    <n v="739968"/>
    <m/>
    <m/>
    <m/>
    <m/>
    <n v="90"/>
    <n v="358916"/>
    <n v="82"/>
    <n v="323643"/>
    <m/>
    <m/>
    <m/>
    <m/>
    <m/>
    <m/>
    <m/>
    <m/>
    <m/>
    <m/>
    <m/>
    <m/>
    <n v="8"/>
    <n v="4992"/>
    <n v="6"/>
    <n v="4957"/>
    <n v="0"/>
    <n v="0"/>
    <m/>
    <m/>
    <n v="90"/>
    <n v="1763001"/>
    <n v="82"/>
    <n v="1597820"/>
    <m/>
    <m/>
    <n v="4"/>
    <n v="19461"/>
    <m/>
    <m/>
    <n v="4"/>
    <n v="36096"/>
    <m/>
    <m/>
    <m/>
    <m/>
    <m/>
    <m/>
    <n v="4"/>
    <n v="11900"/>
    <m/>
    <m/>
    <m/>
    <m/>
    <m/>
    <m/>
    <m/>
    <m/>
    <m/>
    <m/>
    <m/>
    <m/>
    <m/>
    <m/>
    <m/>
    <m/>
    <m/>
    <m/>
    <m/>
    <m/>
    <n v="0"/>
    <n v="0"/>
    <n v="4"/>
    <n v="67457"/>
  </r>
  <r>
    <x v="0"/>
    <s v="Wallace Community College - Hanceville"/>
    <s v="Met criteria for Two-Year 1 in 2009-10 and 2010-11."/>
    <n v="101295"/>
    <x v="7"/>
    <n v="123"/>
    <n v="808210"/>
    <n v="123"/>
    <n v="803390"/>
    <n v="123"/>
    <n v="1109952"/>
    <n v="123"/>
    <n v="1109952"/>
    <m/>
    <m/>
    <m/>
    <m/>
    <n v="123"/>
    <n v="494229"/>
    <n v="123"/>
    <n v="491282"/>
    <n v="123"/>
    <n v="646"/>
    <n v="123"/>
    <n v="2569"/>
    <m/>
    <m/>
    <m/>
    <m/>
    <m/>
    <m/>
    <m/>
    <m/>
    <n v="43"/>
    <n v="25809"/>
    <n v="32"/>
    <n v="22560"/>
    <n v="0"/>
    <n v="0"/>
    <m/>
    <m/>
    <n v="123"/>
    <n v="2438846"/>
    <n v="123"/>
    <n v="2429753"/>
    <m/>
    <m/>
    <n v="4"/>
    <n v="21232"/>
    <m/>
    <m/>
    <n v="4"/>
    <n v="36096"/>
    <m/>
    <m/>
    <m/>
    <m/>
    <m/>
    <m/>
    <n v="4"/>
    <n v="12984"/>
    <m/>
    <m/>
    <n v="4"/>
    <n v="68"/>
    <m/>
    <m/>
    <m/>
    <m/>
    <m/>
    <m/>
    <m/>
    <m/>
    <m/>
    <m/>
    <m/>
    <m/>
    <m/>
    <m/>
    <m/>
    <m/>
    <n v="0"/>
    <n v="0"/>
    <n v="4"/>
    <n v="70380"/>
  </r>
  <r>
    <x v="0"/>
    <s v="Alabama Southern Community College"/>
    <m/>
    <n v="101949"/>
    <x v="8"/>
    <n v="39"/>
    <n v="253718"/>
    <n v="39"/>
    <n v="257445"/>
    <n v="39"/>
    <n v="351936"/>
    <n v="39"/>
    <n v="351936"/>
    <m/>
    <m/>
    <m/>
    <m/>
    <n v="39"/>
    <n v="155151"/>
    <n v="39"/>
    <n v="157431"/>
    <m/>
    <m/>
    <m/>
    <m/>
    <m/>
    <m/>
    <m/>
    <m/>
    <m/>
    <m/>
    <m/>
    <m/>
    <n v="2"/>
    <n v="1491"/>
    <n v="3"/>
    <n v="3420"/>
    <n v="0"/>
    <n v="0"/>
    <m/>
    <m/>
    <n v="39"/>
    <n v="762296"/>
    <n v="39"/>
    <n v="770232"/>
    <n v="21"/>
    <n v="127559"/>
    <n v="17"/>
    <n v="103424"/>
    <n v="21"/>
    <n v="189504"/>
    <n v="17"/>
    <n v="153408"/>
    <n v="0"/>
    <n v="0"/>
    <m/>
    <m/>
    <n v="21"/>
    <n v="78004"/>
    <n v="17"/>
    <n v="63246"/>
    <m/>
    <m/>
    <m/>
    <m/>
    <m/>
    <m/>
    <m/>
    <m/>
    <m/>
    <m/>
    <m/>
    <m/>
    <n v="0"/>
    <n v="0"/>
    <m/>
    <m/>
    <m/>
    <m/>
    <m/>
    <m/>
    <n v="21"/>
    <n v="395067"/>
    <n v="17"/>
    <n v="320078"/>
  </r>
  <r>
    <x v="0"/>
    <s v="Central Alabama Community College"/>
    <s v="Met criteria for Two-Year 2 in 2009-10 and 2010-11."/>
    <n v="100760"/>
    <x v="8"/>
    <n v="56"/>
    <n v="373806"/>
    <n v="52"/>
    <n v="331191"/>
    <n v="56"/>
    <n v="505344"/>
    <n v="52"/>
    <n v="483600"/>
    <m/>
    <m/>
    <m/>
    <m/>
    <n v="56"/>
    <n v="228586"/>
    <n v="52"/>
    <n v="215626"/>
    <n v="56"/>
    <n v="3585"/>
    <n v="52"/>
    <n v="3382"/>
    <m/>
    <m/>
    <m/>
    <m/>
    <m/>
    <m/>
    <m/>
    <m/>
    <n v="5"/>
    <n v="4677"/>
    <n v="16"/>
    <n v="13588"/>
    <n v="0"/>
    <n v="0"/>
    <m/>
    <m/>
    <n v="56"/>
    <n v="1115998"/>
    <n v="52"/>
    <n v="1047387"/>
    <m/>
    <m/>
    <n v="4"/>
    <n v="31533"/>
    <m/>
    <m/>
    <n v="4"/>
    <n v="18600"/>
    <m/>
    <m/>
    <m/>
    <m/>
    <m/>
    <m/>
    <n v="4"/>
    <n v="20530"/>
    <m/>
    <m/>
    <n v="4"/>
    <n v="322"/>
    <m/>
    <m/>
    <m/>
    <m/>
    <m/>
    <m/>
    <m/>
    <m/>
    <m/>
    <m/>
    <m/>
    <m/>
    <m/>
    <m/>
    <m/>
    <m/>
    <n v="0"/>
    <n v="0"/>
    <n v="4"/>
    <n v="70985"/>
  </r>
  <r>
    <x v="0"/>
    <s v="Chattahoochee Valley State Community College "/>
    <m/>
    <n v="101028"/>
    <x v="8"/>
    <n v="36"/>
    <n v="250183"/>
    <n v="34"/>
    <n v="233662"/>
    <n v="36"/>
    <n v="324864"/>
    <n v="34"/>
    <n v="306816"/>
    <m/>
    <m/>
    <m/>
    <m/>
    <n v="36"/>
    <n v="152990"/>
    <n v="34"/>
    <n v="142887"/>
    <m/>
    <m/>
    <m/>
    <m/>
    <m/>
    <m/>
    <m/>
    <m/>
    <m/>
    <m/>
    <m/>
    <m/>
    <m/>
    <m/>
    <m/>
    <m/>
    <n v="0"/>
    <n v="0"/>
    <m/>
    <m/>
    <n v="36"/>
    <n v="728037"/>
    <n v="34"/>
    <n v="683365"/>
    <m/>
    <m/>
    <m/>
    <m/>
    <m/>
    <m/>
    <m/>
    <m/>
    <m/>
    <m/>
    <m/>
    <m/>
    <m/>
    <m/>
    <m/>
    <m/>
    <m/>
    <m/>
    <m/>
    <m/>
    <m/>
    <m/>
    <m/>
    <m/>
    <m/>
    <m/>
    <m/>
    <m/>
    <m/>
    <m/>
    <m/>
    <m/>
    <m/>
    <m/>
    <m/>
    <m/>
    <n v="0"/>
    <n v="0"/>
    <n v="0"/>
    <n v="0"/>
  </r>
  <r>
    <x v="0"/>
    <s v="Enterprise-Ozark Community College"/>
    <s v="Met criteria for Two-Year 2 in 2009-10 and 2010-11."/>
    <n v="101143"/>
    <x v="8"/>
    <n v="63"/>
    <n v="386097"/>
    <n v="69"/>
    <n v="443561"/>
    <n v="63"/>
    <n v="568512"/>
    <n v="69"/>
    <n v="622656"/>
    <m/>
    <m/>
    <m/>
    <m/>
    <n v="63"/>
    <n v="211071"/>
    <n v="69"/>
    <n v="271459"/>
    <m/>
    <m/>
    <n v="0"/>
    <n v="0"/>
    <m/>
    <m/>
    <m/>
    <m/>
    <m/>
    <m/>
    <m/>
    <m/>
    <n v="20"/>
    <n v="12042"/>
    <n v="22"/>
    <n v="15300"/>
    <n v="0"/>
    <n v="0"/>
    <m/>
    <m/>
    <n v="63"/>
    <n v="1177722"/>
    <n v="69"/>
    <n v="1352976"/>
    <m/>
    <m/>
    <m/>
    <m/>
    <m/>
    <m/>
    <m/>
    <m/>
    <m/>
    <m/>
    <m/>
    <m/>
    <m/>
    <m/>
    <m/>
    <m/>
    <m/>
    <m/>
    <m/>
    <m/>
    <m/>
    <m/>
    <m/>
    <m/>
    <m/>
    <m/>
    <m/>
    <m/>
    <m/>
    <m/>
    <m/>
    <m/>
    <m/>
    <m/>
    <m/>
    <m/>
    <n v="0"/>
    <n v="0"/>
    <n v="0"/>
    <n v="0"/>
  </r>
  <r>
    <x v="0"/>
    <s v="George Corley Wallace State Community College - Selma"/>
    <m/>
    <n v="101301"/>
    <x v="8"/>
    <n v="48"/>
    <n v="302665"/>
    <n v="52"/>
    <n v="325532"/>
    <n v="48"/>
    <n v="433152"/>
    <n v="52"/>
    <n v="469248"/>
    <m/>
    <m/>
    <m/>
    <m/>
    <n v="48"/>
    <n v="185083"/>
    <n v="52"/>
    <n v="199067"/>
    <m/>
    <m/>
    <n v="0"/>
    <n v="0"/>
    <m/>
    <m/>
    <m/>
    <m/>
    <m/>
    <m/>
    <m/>
    <m/>
    <n v="6"/>
    <n v="4520"/>
    <n v="5"/>
    <n v="7541"/>
    <n v="0"/>
    <n v="0"/>
    <m/>
    <m/>
    <n v="48"/>
    <n v="925420"/>
    <n v="52"/>
    <n v="1001388"/>
    <m/>
    <m/>
    <n v="3"/>
    <n v="14429"/>
    <m/>
    <m/>
    <n v="3"/>
    <n v="27072"/>
    <m/>
    <m/>
    <m/>
    <m/>
    <m/>
    <m/>
    <n v="3"/>
    <n v="8824"/>
    <m/>
    <m/>
    <m/>
    <m/>
    <m/>
    <m/>
    <m/>
    <m/>
    <m/>
    <m/>
    <m/>
    <m/>
    <m/>
    <m/>
    <m/>
    <m/>
    <m/>
    <m/>
    <m/>
    <m/>
    <n v="0"/>
    <n v="0"/>
    <n v="3"/>
    <n v="50325"/>
  </r>
  <r>
    <x v="0"/>
    <s v="Jefferson Davis Community College"/>
    <m/>
    <n v="101499"/>
    <x v="8"/>
    <n v="34"/>
    <n v="222635"/>
    <n v="29"/>
    <n v="195806"/>
    <n v="34"/>
    <n v="306816"/>
    <n v="33"/>
    <n v="297792"/>
    <m/>
    <m/>
    <m/>
    <m/>
    <n v="34"/>
    <n v="136143"/>
    <n v="33"/>
    <n v="133084"/>
    <n v="34"/>
    <n v="534"/>
    <n v="33"/>
    <n v="5045"/>
    <m/>
    <m/>
    <m/>
    <m/>
    <m/>
    <m/>
    <m/>
    <m/>
    <n v="2"/>
    <n v="2250"/>
    <n v="3"/>
    <n v="3240"/>
    <n v="0"/>
    <n v="0"/>
    <m/>
    <m/>
    <n v="34"/>
    <n v="668378"/>
    <n v="33"/>
    <n v="634967"/>
    <n v="5"/>
    <n v="50315"/>
    <n v="4"/>
    <n v="42875"/>
    <n v="5"/>
    <n v="45120"/>
    <n v="4"/>
    <n v="36096"/>
    <n v="0"/>
    <n v="0"/>
    <m/>
    <m/>
    <n v="5"/>
    <n v="30768"/>
    <n v="4"/>
    <n v="26219"/>
    <n v="5"/>
    <n v="121"/>
    <n v="4"/>
    <n v="994"/>
    <m/>
    <m/>
    <m/>
    <m/>
    <m/>
    <m/>
    <m/>
    <m/>
    <n v="0"/>
    <n v="0"/>
    <m/>
    <m/>
    <m/>
    <m/>
    <m/>
    <m/>
    <n v="5"/>
    <n v="126324"/>
    <n v="4"/>
    <n v="106184"/>
  </r>
  <r>
    <x v="0"/>
    <s v="Lurleen B. Wallace Community College "/>
    <m/>
    <n v="101602"/>
    <x v="8"/>
    <n v="51"/>
    <n v="339693"/>
    <n v="52"/>
    <n v="332436"/>
    <n v="51"/>
    <n v="460224"/>
    <n v="52"/>
    <n v="469248"/>
    <m/>
    <m/>
    <m/>
    <m/>
    <n v="51"/>
    <n v="207726"/>
    <n v="52"/>
    <n v="203288"/>
    <m/>
    <m/>
    <m/>
    <m/>
    <m/>
    <m/>
    <m/>
    <m/>
    <m/>
    <m/>
    <m/>
    <m/>
    <m/>
    <m/>
    <m/>
    <m/>
    <n v="0"/>
    <n v="0"/>
    <m/>
    <m/>
    <n v="51"/>
    <n v="1007643"/>
    <n v="52"/>
    <n v="1004972"/>
    <m/>
    <m/>
    <m/>
    <m/>
    <m/>
    <m/>
    <m/>
    <m/>
    <m/>
    <m/>
    <m/>
    <m/>
    <m/>
    <m/>
    <m/>
    <m/>
    <m/>
    <m/>
    <m/>
    <m/>
    <m/>
    <m/>
    <m/>
    <m/>
    <m/>
    <m/>
    <m/>
    <m/>
    <m/>
    <m/>
    <m/>
    <m/>
    <m/>
    <m/>
    <m/>
    <m/>
    <n v="0"/>
    <n v="0"/>
    <n v="0"/>
    <n v="0"/>
  </r>
  <r>
    <x v="0"/>
    <s v="Northeast Alabama State Community College "/>
    <s v="Reclassified: met the criteria for Two-Year 2 in 2008-09, 2009-10 and 2010-11."/>
    <n v="101897"/>
    <x v="7"/>
    <n v="43"/>
    <n v="301441"/>
    <n v="39"/>
    <n v="270775"/>
    <n v="43"/>
    <n v="388032"/>
    <n v="39"/>
    <n v="351936"/>
    <m/>
    <m/>
    <m/>
    <m/>
    <n v="43"/>
    <n v="184334"/>
    <n v="39"/>
    <n v="165582"/>
    <m/>
    <m/>
    <m/>
    <m/>
    <m/>
    <m/>
    <m/>
    <m/>
    <m/>
    <m/>
    <m/>
    <m/>
    <m/>
    <m/>
    <m/>
    <m/>
    <n v="0"/>
    <n v="0"/>
    <m/>
    <m/>
    <n v="43"/>
    <n v="873807"/>
    <n v="39"/>
    <n v="788293"/>
    <n v="6"/>
    <n v="63656"/>
    <n v="12"/>
    <n v="105086"/>
    <n v="6"/>
    <n v="54144"/>
    <n v="12"/>
    <n v="108288"/>
    <n v="0"/>
    <n v="0"/>
    <m/>
    <m/>
    <n v="6"/>
    <n v="38926"/>
    <n v="12"/>
    <n v="64261"/>
    <m/>
    <m/>
    <m/>
    <m/>
    <m/>
    <m/>
    <m/>
    <m/>
    <m/>
    <m/>
    <m/>
    <m/>
    <n v="0"/>
    <n v="0"/>
    <m/>
    <m/>
    <m/>
    <m/>
    <m/>
    <m/>
    <n v="6"/>
    <n v="156726"/>
    <n v="12"/>
    <n v="277635"/>
  </r>
  <r>
    <x v="0"/>
    <s v="Snead State Community College "/>
    <s v="Met the criteria for Two-Year 2 in 2010-11."/>
    <n v="102076"/>
    <x v="8"/>
    <n v="18"/>
    <n v="125018"/>
    <n v="22"/>
    <n v="149896"/>
    <n v="18"/>
    <n v="162432"/>
    <n v="22"/>
    <n v="198528"/>
    <m/>
    <m/>
    <m/>
    <m/>
    <n v="18"/>
    <n v="76450"/>
    <n v="22"/>
    <n v="91663"/>
    <n v="18"/>
    <n v="600"/>
    <n v="22"/>
    <n v="3934"/>
    <m/>
    <m/>
    <m/>
    <m/>
    <m/>
    <m/>
    <m/>
    <m/>
    <n v="5"/>
    <n v="12450"/>
    <n v="5"/>
    <n v="16950"/>
    <n v="0"/>
    <n v="0"/>
    <m/>
    <m/>
    <n v="18"/>
    <n v="376950"/>
    <n v="22"/>
    <n v="460971"/>
    <n v="17"/>
    <n v="163441"/>
    <n v="15"/>
    <n v="140423"/>
    <n v="17"/>
    <n v="153408"/>
    <n v="15"/>
    <n v="135360"/>
    <n v="0"/>
    <n v="0"/>
    <m/>
    <m/>
    <n v="17"/>
    <n v="99946"/>
    <n v="15"/>
    <n v="86008"/>
    <n v="17"/>
    <n v="784"/>
    <n v="15"/>
    <n v="3710"/>
    <m/>
    <m/>
    <m/>
    <m/>
    <m/>
    <m/>
    <m/>
    <m/>
    <n v="5"/>
    <n v="12450"/>
    <n v="5"/>
    <n v="16950"/>
    <m/>
    <m/>
    <m/>
    <m/>
    <n v="17"/>
    <n v="430029"/>
    <n v="15"/>
    <n v="382451"/>
  </r>
  <r>
    <x v="0"/>
    <s v="Trenholm State Technical College "/>
    <m/>
    <n v="102313"/>
    <x v="9"/>
    <n v="67"/>
    <n v="436972"/>
    <n v="69"/>
    <n v="455052"/>
    <n v="67"/>
    <n v="554976"/>
    <n v="69"/>
    <n v="570768"/>
    <m/>
    <m/>
    <m/>
    <m/>
    <n v="67"/>
    <n v="267213"/>
    <n v="69"/>
    <n v="278269"/>
    <m/>
    <m/>
    <m/>
    <m/>
    <m/>
    <m/>
    <m/>
    <m/>
    <m/>
    <m/>
    <m/>
    <m/>
    <n v="3"/>
    <n v="1884"/>
    <n v="2"/>
    <n v="2217"/>
    <n v="3"/>
    <n v="1884"/>
    <m/>
    <m/>
    <n v="67"/>
    <n v="1262929"/>
    <n v="69"/>
    <n v="1306306"/>
    <n v="7"/>
    <n v="82017"/>
    <n v="7"/>
    <n v="77193"/>
    <n v="7"/>
    <n v="58656"/>
    <n v="7"/>
    <n v="57904"/>
    <n v="0"/>
    <n v="0"/>
    <m/>
    <m/>
    <n v="7"/>
    <n v="50154"/>
    <n v="7"/>
    <n v="47204"/>
    <m/>
    <m/>
    <m/>
    <m/>
    <m/>
    <m/>
    <m/>
    <m/>
    <m/>
    <m/>
    <m/>
    <m/>
    <m/>
    <m/>
    <m/>
    <m/>
    <m/>
    <m/>
    <m/>
    <m/>
    <n v="7"/>
    <n v="190827"/>
    <n v="7"/>
    <n v="182301"/>
  </r>
  <r>
    <x v="0"/>
    <s v="J.F. Drake State Technical College "/>
    <s v="Met the criteria for Technical Institute 1 in 2010-11."/>
    <n v="101462"/>
    <x v="10"/>
    <n v="25"/>
    <n v="163064"/>
    <n v="24"/>
    <n v="160474"/>
    <n v="25"/>
    <n v="225600"/>
    <n v="24"/>
    <n v="216576"/>
    <m/>
    <m/>
    <m/>
    <m/>
    <n v="25"/>
    <n v="102135"/>
    <n v="24"/>
    <n v="83380"/>
    <m/>
    <m/>
    <m/>
    <m/>
    <m/>
    <m/>
    <m/>
    <m/>
    <m/>
    <m/>
    <m/>
    <m/>
    <m/>
    <m/>
    <m/>
    <m/>
    <m/>
    <m/>
    <m/>
    <m/>
    <n v="25"/>
    <n v="490799"/>
    <n v="24"/>
    <n v="460430"/>
    <m/>
    <m/>
    <n v="4"/>
    <n v="15090"/>
    <m/>
    <m/>
    <m/>
    <m/>
    <m/>
    <m/>
    <m/>
    <m/>
    <m/>
    <m/>
    <n v="4"/>
    <n v="7841"/>
    <m/>
    <m/>
    <m/>
    <m/>
    <m/>
    <m/>
    <n v="4"/>
    <n v="36096"/>
    <m/>
    <m/>
    <m/>
    <m/>
    <m/>
    <m/>
    <m/>
    <m/>
    <m/>
    <m/>
    <m/>
    <m/>
    <n v="0"/>
    <n v="0"/>
    <n v="4"/>
    <n v="59027"/>
  </r>
  <r>
    <x v="0"/>
    <s v="J.F. Ingram State Technical College "/>
    <m/>
    <n v="101471"/>
    <x v="10"/>
    <n v="17"/>
    <n v="102574"/>
    <n v="17"/>
    <n v="102259"/>
    <n v="17"/>
    <n v="153408"/>
    <n v="17"/>
    <n v="153408"/>
    <m/>
    <m/>
    <m/>
    <m/>
    <n v="17"/>
    <n v="62723"/>
    <n v="17"/>
    <n v="62531"/>
    <m/>
    <m/>
    <m/>
    <m/>
    <m/>
    <m/>
    <m/>
    <m/>
    <m/>
    <m/>
    <m/>
    <m/>
    <m/>
    <m/>
    <m/>
    <m/>
    <m/>
    <m/>
    <m/>
    <m/>
    <n v="17"/>
    <n v="318705"/>
    <n v="17"/>
    <n v="318198"/>
    <n v="21"/>
    <n v="201973"/>
    <n v="14"/>
    <n v="150785"/>
    <n v="21"/>
    <n v="189504"/>
    <n v="14"/>
    <n v="126336"/>
    <n v="0"/>
    <n v="0"/>
    <m/>
    <m/>
    <n v="21"/>
    <n v="121427"/>
    <n v="14"/>
    <n v="92201"/>
    <m/>
    <m/>
    <m/>
    <m/>
    <m/>
    <m/>
    <m/>
    <m/>
    <m/>
    <m/>
    <m/>
    <m/>
    <m/>
    <m/>
    <m/>
    <m/>
    <m/>
    <m/>
    <m/>
    <m/>
    <n v="21"/>
    <n v="512904"/>
    <n v="14"/>
    <n v="369322"/>
  </r>
  <r>
    <x v="0"/>
    <s v="Reid State Technical College "/>
    <m/>
    <n v="101994"/>
    <x v="10"/>
    <n v="20"/>
    <n v="125224"/>
    <n v="20"/>
    <n v="126977"/>
    <n v="20"/>
    <n v="180480"/>
    <n v="20"/>
    <n v="180480"/>
    <m/>
    <m/>
    <m/>
    <m/>
    <n v="20"/>
    <n v="76576"/>
    <n v="20"/>
    <n v="77648"/>
    <m/>
    <m/>
    <m/>
    <m/>
    <m/>
    <m/>
    <m/>
    <m/>
    <m/>
    <m/>
    <m/>
    <m/>
    <n v="1"/>
    <n v="994"/>
    <m/>
    <m/>
    <m/>
    <m/>
    <n v="4"/>
    <n v="14400"/>
    <n v="20"/>
    <n v="383274"/>
    <n v="20"/>
    <n v="399505"/>
    <n v="6"/>
    <n v="39793"/>
    <n v="6"/>
    <n v="40606"/>
    <n v="6"/>
    <n v="54144"/>
    <n v="6"/>
    <n v="54144"/>
    <n v="0"/>
    <n v="0"/>
    <m/>
    <m/>
    <n v="6"/>
    <n v="24334"/>
    <n v="6"/>
    <n v="24831"/>
    <m/>
    <m/>
    <m/>
    <m/>
    <m/>
    <m/>
    <m/>
    <m/>
    <m/>
    <m/>
    <m/>
    <m/>
    <m/>
    <m/>
    <n v="1"/>
    <n v="480"/>
    <m/>
    <m/>
    <m/>
    <m/>
    <n v="6"/>
    <n v="118271"/>
    <n v="6"/>
    <n v="120061"/>
  </r>
  <r>
    <x v="1"/>
    <s v="University of Arkansas, Fayetteville"/>
    <m/>
    <n v="106397"/>
    <x v="0"/>
    <n v="655"/>
    <n v="4493003"/>
    <n v="703"/>
    <n v="4741574"/>
    <n v="612"/>
    <n v="3912911"/>
    <n v="653"/>
    <n v="4297728"/>
    <n v="655"/>
    <n v="36029"/>
    <n v="703"/>
    <n v="38628"/>
    <n v="653"/>
    <n v="3536624"/>
    <n v="700"/>
    <n v="3839585"/>
    <n v="656"/>
    <n v="93620"/>
    <n v="706"/>
    <n v="220651"/>
    <n v="655"/>
    <n v="95503"/>
    <n v="703"/>
    <n v="101825"/>
    <n v="656"/>
    <n v="112387"/>
    <n v="706"/>
    <n v="175456"/>
    <n v="48"/>
    <n v="84941"/>
    <n v="54"/>
    <n v="105338"/>
    <n v="1"/>
    <n v="15228"/>
    <n v="0"/>
    <n v="0"/>
    <n v="656"/>
    <n v="12380246"/>
    <n v="706"/>
    <n v="13520785"/>
    <n v="252"/>
    <n v="2353369"/>
    <n v="246"/>
    <n v="2277037"/>
    <n v="244"/>
    <n v="1743392"/>
    <n v="238"/>
    <n v="1776698"/>
    <n v="252"/>
    <n v="14130"/>
    <n v="246"/>
    <n v="13776"/>
    <n v="251"/>
    <n v="1764700"/>
    <n v="245"/>
    <n v="1749951"/>
    <n v="252"/>
    <n v="49014"/>
    <n v="246"/>
    <n v="104610"/>
    <n v="252"/>
    <n v="38631"/>
    <n v="246"/>
    <n v="37510"/>
    <n v="252"/>
    <n v="58846"/>
    <n v="246"/>
    <n v="83187"/>
    <n v="27"/>
    <n v="60780"/>
    <n v="23"/>
    <n v="55204"/>
    <m/>
    <m/>
    <m/>
    <m/>
    <n v="252"/>
    <n v="6082862"/>
    <n v="246"/>
    <n v="6097973"/>
  </r>
  <r>
    <x v="1"/>
    <s v="Arkansas State University"/>
    <m/>
    <n v="106458"/>
    <x v="2"/>
    <n v="414"/>
    <n v="2379714"/>
    <n v="413"/>
    <n v="2375152"/>
    <n v="377"/>
    <n v="1651097"/>
    <n v="379"/>
    <n v="2021217"/>
    <n v="370"/>
    <n v="72188"/>
    <n v="384"/>
    <n v="75146"/>
    <n v="416"/>
    <n v="1683949"/>
    <n v="414"/>
    <n v="1656943"/>
    <n v="416"/>
    <n v="60227"/>
    <n v="414"/>
    <n v="89972"/>
    <n v="415"/>
    <n v="68326"/>
    <n v="414"/>
    <n v="67668"/>
    <n v="416"/>
    <n v="148253"/>
    <n v="414"/>
    <n v="39219"/>
    <n v="42"/>
    <n v="49881"/>
    <n v="39"/>
    <n v="48605"/>
    <m/>
    <m/>
    <m/>
    <m/>
    <n v="416"/>
    <n v="6113635"/>
    <n v="414"/>
    <n v="6373922"/>
    <n v="66"/>
    <n v="532745"/>
    <n v="67"/>
    <n v="545068"/>
    <n v="61"/>
    <n v="283880"/>
    <n v="61"/>
    <n v="333130"/>
    <n v="63"/>
    <n v="17448"/>
    <n v="65"/>
    <n v="17172"/>
    <n v="66"/>
    <n v="372559"/>
    <n v="67"/>
    <n v="389475"/>
    <n v="66"/>
    <n v="13559"/>
    <n v="67"/>
    <n v="20619"/>
    <n v="66"/>
    <n v="11217"/>
    <n v="67"/>
    <n v="11196"/>
    <n v="66"/>
    <n v="33373"/>
    <n v="67"/>
    <n v="8988"/>
    <n v="6"/>
    <n v="8289"/>
    <n v="6"/>
    <n v="7669"/>
    <m/>
    <m/>
    <m/>
    <m/>
    <n v="66"/>
    <n v="1273070"/>
    <n v="67"/>
    <n v="1333317"/>
  </r>
  <r>
    <x v="1"/>
    <s v="University of Arkansas at Little Rock"/>
    <m/>
    <n v="106245"/>
    <x v="2"/>
    <n v="426"/>
    <n v="2624212"/>
    <n v="397"/>
    <n v="2424996"/>
    <n v="392"/>
    <n v="2034343"/>
    <n v="370"/>
    <n v="2404324"/>
    <n v="426"/>
    <n v="22478"/>
    <n v="397"/>
    <n v="21142"/>
    <n v="426"/>
    <n v="2110022"/>
    <n v="397"/>
    <n v="2098069"/>
    <n v="426"/>
    <n v="28698"/>
    <n v="394"/>
    <n v="25875"/>
    <n v="426"/>
    <n v="59698"/>
    <n v="397"/>
    <n v="55982"/>
    <n v="426"/>
    <n v="69012"/>
    <n v="394"/>
    <n v="52533"/>
    <m/>
    <m/>
    <m/>
    <m/>
    <m/>
    <m/>
    <m/>
    <m/>
    <n v="426"/>
    <n v="6948463"/>
    <n v="397"/>
    <n v="7082921"/>
    <n v="89"/>
    <n v="599120"/>
    <n v="76"/>
    <n v="481318"/>
    <n v="85"/>
    <n v="453406"/>
    <n v="73"/>
    <n v="476214"/>
    <n v="89"/>
    <n v="4646"/>
    <n v="76"/>
    <n v="3908"/>
    <n v="93"/>
    <n v="463030"/>
    <n v="76"/>
    <n v="427494"/>
    <n v="93"/>
    <n v="12242"/>
    <n v="76"/>
    <n v="5329"/>
    <n v="89"/>
    <n v="12652"/>
    <n v="76"/>
    <n v="10506"/>
    <n v="93"/>
    <n v="6350"/>
    <n v="76"/>
    <n v="10819"/>
    <m/>
    <m/>
    <m/>
    <m/>
    <n v="1"/>
    <n v="950"/>
    <n v="8"/>
    <n v="5000"/>
    <n v="93"/>
    <n v="1552396"/>
    <n v="76"/>
    <n v="1420588"/>
  </r>
  <r>
    <x v="1"/>
    <s v="University of Central Arkansas "/>
    <m/>
    <n v="106704"/>
    <x v="2"/>
    <n v="450"/>
    <n v="2588049"/>
    <n v="447"/>
    <n v="2612117"/>
    <n v="419"/>
    <n v="1786878"/>
    <n v="418"/>
    <n v="1859249"/>
    <n v="440"/>
    <n v="45144"/>
    <n v="437"/>
    <n v="52317"/>
    <n v="455"/>
    <n v="1819809"/>
    <n v="455"/>
    <n v="1842983"/>
    <n v="455"/>
    <n v="11223"/>
    <n v="455"/>
    <n v="11167"/>
    <n v="437"/>
    <n v="66204"/>
    <n v="433"/>
    <n v="57624"/>
    <n v="455"/>
    <n v="7740"/>
    <n v="455"/>
    <n v="6421"/>
    <m/>
    <m/>
    <m/>
    <m/>
    <m/>
    <m/>
    <m/>
    <m/>
    <n v="455"/>
    <n v="6325047"/>
    <n v="455"/>
    <n v="6441878"/>
    <n v="57"/>
    <n v="500352"/>
    <n v="55"/>
    <n v="481526"/>
    <n v="56"/>
    <n v="250812"/>
    <n v="53"/>
    <n v="250096"/>
    <n v="57"/>
    <n v="9036"/>
    <n v="55"/>
    <n v="10110"/>
    <n v="57"/>
    <n v="351540"/>
    <n v="55"/>
    <n v="336846"/>
    <n v="57"/>
    <n v="1440"/>
    <n v="56"/>
    <n v="1568"/>
    <n v="57"/>
    <n v="13224"/>
    <n v="55"/>
    <n v="9205"/>
    <n v="57"/>
    <n v="1400"/>
    <n v="56"/>
    <n v="1008"/>
    <m/>
    <m/>
    <n v="0"/>
    <n v="0"/>
    <m/>
    <m/>
    <m/>
    <m/>
    <n v="57"/>
    <n v="1127804"/>
    <n v="56"/>
    <n v="1090359"/>
  </r>
  <r>
    <x v="1"/>
    <s v="Arkansas Tech University"/>
    <s v="Met the criteria for Four-Year 3 in 2010-11."/>
    <n v="106467"/>
    <x v="3"/>
    <n v="266"/>
    <n v="1443138"/>
    <n v="264"/>
    <n v="1465078"/>
    <n v="259"/>
    <n v="1051462"/>
    <n v="260"/>
    <n v="1129235"/>
    <m/>
    <m/>
    <m/>
    <m/>
    <n v="265"/>
    <n v="1038917"/>
    <n v="269"/>
    <n v="1053516"/>
    <n v="265"/>
    <n v="9413"/>
    <n v="269"/>
    <n v="77171"/>
    <n v="167"/>
    <n v="30360"/>
    <n v="165"/>
    <n v="29946"/>
    <n v="265"/>
    <n v="14119"/>
    <n v="269"/>
    <n v="22049"/>
    <n v="28"/>
    <n v="36507"/>
    <n v="0"/>
    <n v="0"/>
    <m/>
    <m/>
    <m/>
    <m/>
    <n v="266"/>
    <n v="3623916"/>
    <n v="269"/>
    <n v="3776995"/>
    <n v="27"/>
    <n v="217499"/>
    <n v="26"/>
    <n v="218375"/>
    <n v="27"/>
    <n v="108947"/>
    <n v="21"/>
    <n v="112447"/>
    <m/>
    <m/>
    <m/>
    <m/>
    <n v="29"/>
    <n v="160435"/>
    <n v="21"/>
    <n v="159605"/>
    <n v="29"/>
    <n v="1259"/>
    <n v="21"/>
    <n v="11691"/>
    <n v="15"/>
    <n v="2625"/>
    <n v="16"/>
    <n v="2873"/>
    <n v="29"/>
    <n v="1889"/>
    <n v="21"/>
    <n v="3340"/>
    <n v="3"/>
    <n v="3201"/>
    <n v="0"/>
    <n v="0"/>
    <m/>
    <m/>
    <m/>
    <m/>
    <n v="29"/>
    <n v="495855"/>
    <n v="26"/>
    <n v="508331"/>
  </r>
  <r>
    <x v="1"/>
    <s v="Henderson State University"/>
    <m/>
    <n v="107071"/>
    <x v="3"/>
    <n v="153"/>
    <n v="856867"/>
    <n v="153"/>
    <n v="859412"/>
    <n v="150"/>
    <n v="599002"/>
    <n v="149"/>
    <n v="706040"/>
    <n v="153"/>
    <n v="27861"/>
    <n v="153"/>
    <n v="27892"/>
    <n v="153"/>
    <n v="508312"/>
    <n v="153"/>
    <n v="508365"/>
    <m/>
    <m/>
    <m/>
    <m/>
    <n v="147"/>
    <n v="29860"/>
    <n v="147"/>
    <n v="30042"/>
    <n v="153"/>
    <n v="1024822"/>
    <n v="153"/>
    <n v="102492"/>
    <m/>
    <m/>
    <m/>
    <m/>
    <m/>
    <m/>
    <m/>
    <m/>
    <n v="153"/>
    <n v="3046724"/>
    <n v="153"/>
    <n v="2234243"/>
    <n v="21"/>
    <n v="127364"/>
    <n v="13"/>
    <n v="78907"/>
    <n v="19"/>
    <n v="74875"/>
    <n v="12"/>
    <n v="65431"/>
    <n v="21"/>
    <n v="3888"/>
    <n v="13"/>
    <n v="2683"/>
    <n v="21"/>
    <n v="72852"/>
    <n v="13"/>
    <n v="48922"/>
    <m/>
    <m/>
    <m/>
    <m/>
    <n v="21"/>
    <n v="3965"/>
    <n v="13"/>
    <n v="2302"/>
    <n v="21"/>
    <n v="146878"/>
    <n v="13"/>
    <n v="9863"/>
    <m/>
    <m/>
    <m/>
    <m/>
    <m/>
    <m/>
    <m/>
    <m/>
    <n v="21"/>
    <n v="429822"/>
    <n v="13"/>
    <n v="208108"/>
  </r>
  <r>
    <x v="1"/>
    <s v="Southern Arkansas University"/>
    <s v="Met the criteria for Four-Year 4 in 2009-10 and 2010-11."/>
    <n v="107983"/>
    <x v="4"/>
    <n v="130"/>
    <n v="665191"/>
    <n v="132"/>
    <n v="660403"/>
    <n v="127"/>
    <n v="700071"/>
    <n v="122"/>
    <n v="769185"/>
    <n v="134"/>
    <n v="18962"/>
    <n v="134"/>
    <n v="18600"/>
    <n v="134"/>
    <n v="537670"/>
    <n v="134"/>
    <n v="522224"/>
    <n v="136"/>
    <n v="4493"/>
    <n v="135"/>
    <n v="11898"/>
    <n v="135"/>
    <n v="24930"/>
    <n v="134"/>
    <n v="24499"/>
    <n v="136"/>
    <n v="12856"/>
    <n v="135"/>
    <n v="25290"/>
    <n v="11"/>
    <n v="31331"/>
    <n v="0"/>
    <n v="0"/>
    <m/>
    <m/>
    <m/>
    <m/>
    <n v="136"/>
    <n v="1995504"/>
    <n v="135"/>
    <n v="2032099"/>
    <n v="26"/>
    <n v="150815"/>
    <n v="26"/>
    <n v="150133"/>
    <n v="25"/>
    <n v="157603"/>
    <n v="26"/>
    <n v="173370"/>
    <n v="26"/>
    <n v="4225"/>
    <n v="26"/>
    <n v="4191"/>
    <n v="26"/>
    <n v="117326"/>
    <n v="26"/>
    <n v="116606"/>
    <n v="26"/>
    <n v="963"/>
    <n v="26"/>
    <n v="2595"/>
    <n v="26"/>
    <n v="5591"/>
    <n v="26"/>
    <n v="5558"/>
    <n v="26"/>
    <n v="2762"/>
    <n v="26"/>
    <n v="5514"/>
    <n v="5"/>
    <n v="20178"/>
    <n v="6"/>
    <n v="37286"/>
    <m/>
    <m/>
    <m/>
    <m/>
    <n v="26"/>
    <n v="459463"/>
    <n v="26"/>
    <n v="495253"/>
  </r>
  <r>
    <x v="1"/>
    <s v="University of Arkansas at Monticello"/>
    <m/>
    <n v="106485"/>
    <x v="4"/>
    <n v="103"/>
    <n v="476098"/>
    <n v="110"/>
    <n v="490012"/>
    <n v="103"/>
    <n v="579300"/>
    <n v="110"/>
    <n v="641443"/>
    <n v="103"/>
    <n v="2932"/>
    <n v="110"/>
    <n v="3092"/>
    <n v="103"/>
    <n v="387262"/>
    <n v="110"/>
    <n v="398540"/>
    <n v="103"/>
    <n v="14302"/>
    <n v="110"/>
    <n v="10373"/>
    <n v="103"/>
    <n v="14362"/>
    <n v="110"/>
    <n v="14838"/>
    <n v="103"/>
    <n v="33903"/>
    <n v="110"/>
    <n v="1637"/>
    <n v="5"/>
    <n v="8208"/>
    <n v="11"/>
    <n v="14321"/>
    <m/>
    <m/>
    <m/>
    <m/>
    <n v="103"/>
    <n v="1516367"/>
    <n v="110"/>
    <n v="1574256"/>
    <n v="45"/>
    <n v="235783"/>
    <n v="41"/>
    <n v="204689"/>
    <n v="45"/>
    <n v="292233"/>
    <n v="41"/>
    <n v="264676"/>
    <n v="45"/>
    <n v="1232"/>
    <n v="41"/>
    <n v="1117"/>
    <n v="45"/>
    <n v="178950"/>
    <n v="41"/>
    <n v="159553"/>
    <n v="45"/>
    <n v="6613"/>
    <n v="41"/>
    <n v="4149"/>
    <n v="45"/>
    <n v="6115"/>
    <n v="41"/>
    <n v="5469"/>
    <n v="45"/>
    <n v="15676"/>
    <n v="41"/>
    <n v="656"/>
    <n v="11"/>
    <n v="9525"/>
    <n v="7"/>
    <n v="5855"/>
    <m/>
    <m/>
    <m/>
    <m/>
    <n v="45"/>
    <n v="746127"/>
    <n v="41"/>
    <n v="646164"/>
  </r>
  <r>
    <x v="1"/>
    <s v="University of Arkansas at Fort Smith"/>
    <m/>
    <n v="108092"/>
    <x v="5"/>
    <n v="200"/>
    <n v="1122654"/>
    <n v="195"/>
    <n v="1094100"/>
    <n v="200"/>
    <n v="990000"/>
    <n v="195"/>
    <n v="1000350"/>
    <n v="200"/>
    <n v="123539"/>
    <n v="195"/>
    <n v="120309"/>
    <n v="200"/>
    <n v="843814"/>
    <n v="195"/>
    <n v="714337"/>
    <n v="200"/>
    <n v="61769"/>
    <n v="195"/>
    <n v="60155"/>
    <n v="200"/>
    <n v="52151"/>
    <n v="195"/>
    <n v="50788"/>
    <n v="200"/>
    <n v="48533"/>
    <n v="195"/>
    <n v="47624"/>
    <n v="66"/>
    <n v="28512"/>
    <n v="64"/>
    <n v="27799"/>
    <n v="200"/>
    <n v="9060"/>
    <n v="0"/>
    <n v="0"/>
    <n v="200"/>
    <n v="3280032"/>
    <n v="195"/>
    <n v="3115462"/>
    <n v="22"/>
    <n v="159542"/>
    <n v="31"/>
    <n v="218591"/>
    <n v="22"/>
    <n v="108900"/>
    <n v="31"/>
    <n v="159030"/>
    <n v="22"/>
    <n v="17488"/>
    <n v="31"/>
    <n v="24482"/>
    <n v="22"/>
    <n v="119449"/>
    <n v="31"/>
    <n v="145363"/>
    <n v="22"/>
    <n v="8744"/>
    <n v="31"/>
    <n v="12241"/>
    <n v="22"/>
    <n v="7382"/>
    <n v="31"/>
    <n v="10335"/>
    <n v="22"/>
    <n v="6870"/>
    <n v="31"/>
    <n v="9618"/>
    <n v="7"/>
    <n v="3136"/>
    <n v="10"/>
    <n v="4419"/>
    <n v="22"/>
    <n v="990"/>
    <n v="0"/>
    <n v="0"/>
    <n v="22"/>
    <n v="432501"/>
    <n v="31"/>
    <n v="584079"/>
  </r>
  <r>
    <x v="1"/>
    <s v="University of Arkansas at Pine Bluff"/>
    <s v="Met the criteria for Four-Year 5 in 2010-11."/>
    <n v="106412"/>
    <x v="5"/>
    <n v="110"/>
    <n v="463255"/>
    <n v="110"/>
    <n v="493102"/>
    <n v="99"/>
    <n v="520344"/>
    <n v="100"/>
    <n v="524986"/>
    <n v="110"/>
    <n v="6160"/>
    <n v="110"/>
    <n v="6160"/>
    <n v="110"/>
    <n v="378536"/>
    <n v="110"/>
    <n v="387280"/>
    <n v="110"/>
    <n v="50380"/>
    <n v="110"/>
    <n v="42525"/>
    <n v="110"/>
    <n v="16390"/>
    <n v="110"/>
    <n v="16390"/>
    <n v="110"/>
    <n v="81150"/>
    <n v="110"/>
    <n v="75937"/>
    <n v="2"/>
    <n v="3540"/>
    <n v="5"/>
    <n v="9375"/>
    <m/>
    <m/>
    <m/>
    <m/>
    <n v="110"/>
    <n v="1519755"/>
    <n v="110"/>
    <n v="1555755"/>
    <n v="63"/>
    <n v="336835"/>
    <n v="61"/>
    <n v="331892"/>
    <n v="63"/>
    <n v="331128"/>
    <n v="58"/>
    <n v="331892"/>
    <n v="63"/>
    <n v="3528"/>
    <n v="61"/>
    <n v="3416"/>
    <n v="63"/>
    <n v="292337"/>
    <n v="61"/>
    <n v="284516"/>
    <n v="63"/>
    <n v="29043"/>
    <n v="61"/>
    <n v="31241"/>
    <n v="63"/>
    <n v="9387"/>
    <n v="61"/>
    <n v="9089"/>
    <n v="63"/>
    <n v="62671"/>
    <n v="61"/>
    <n v="55788"/>
    <n v="4"/>
    <n v="7080"/>
    <n v="4"/>
    <n v="7500"/>
    <m/>
    <m/>
    <m/>
    <m/>
    <n v="63"/>
    <n v="1072009"/>
    <n v="61"/>
    <n v="1055334"/>
  </r>
  <r>
    <x v="1"/>
    <s v="Pulaski Technical College"/>
    <m/>
    <n v="107664"/>
    <x v="6"/>
    <n v="144"/>
    <n v="663143"/>
    <n v="157"/>
    <n v="741900"/>
    <n v="144"/>
    <n v="720000"/>
    <n v="157"/>
    <n v="790000"/>
    <n v="144"/>
    <n v="19231"/>
    <n v="157"/>
    <n v="21515"/>
    <n v="144"/>
    <n v="507305"/>
    <n v="157"/>
    <n v="567553"/>
    <n v="144"/>
    <n v="23210"/>
    <n v="157"/>
    <n v="50449"/>
    <n v="144"/>
    <n v="7257"/>
    <n v="157"/>
    <n v="7963"/>
    <m/>
    <m/>
    <m/>
    <m/>
    <n v="24"/>
    <n v="33126"/>
    <n v="24"/>
    <n v="41575"/>
    <m/>
    <m/>
    <m/>
    <m/>
    <n v="144"/>
    <n v="1973272"/>
    <n v="157"/>
    <n v="2220955"/>
    <n v="14"/>
    <n v="80941"/>
    <n v="14"/>
    <n v="83978"/>
    <n v="14"/>
    <n v="70000"/>
    <n v="14"/>
    <n v="70000"/>
    <n v="14"/>
    <n v="2347"/>
    <n v="14"/>
    <n v="2435"/>
    <n v="14"/>
    <n v="61920"/>
    <n v="14"/>
    <n v="64243"/>
    <n v="14"/>
    <n v="2833"/>
    <n v="14"/>
    <n v="5710"/>
    <n v="14"/>
    <n v="706"/>
    <n v="14"/>
    <n v="706"/>
    <m/>
    <m/>
    <m/>
    <m/>
    <n v="1"/>
    <n v="649"/>
    <n v="1"/>
    <n v="1480"/>
    <m/>
    <m/>
    <m/>
    <m/>
    <n v="14"/>
    <n v="219396"/>
    <n v="14"/>
    <n v="228552"/>
  </r>
  <r>
    <x v="1"/>
    <s v="Arkansas State University-Beebe"/>
    <m/>
    <n v="106449"/>
    <x v="7"/>
    <n v="106"/>
    <n v="496957"/>
    <n v="97"/>
    <n v="467295"/>
    <n v="84"/>
    <n v="356840"/>
    <n v="84"/>
    <n v="436828"/>
    <n v="106"/>
    <n v="15831"/>
    <n v="96"/>
    <n v="14407"/>
    <n v="106"/>
    <n v="346328"/>
    <n v="100"/>
    <n v="329830"/>
    <n v="106"/>
    <n v="25805"/>
    <n v="100"/>
    <n v="15090"/>
    <n v="106"/>
    <n v="17728"/>
    <n v="96"/>
    <n v="16083"/>
    <n v="106"/>
    <n v="0"/>
    <n v="0"/>
    <n v="0"/>
    <n v="26"/>
    <n v="33759"/>
    <n v="10"/>
    <n v="6500"/>
    <m/>
    <m/>
    <m/>
    <m/>
    <n v="106"/>
    <n v="1293248"/>
    <n v="100"/>
    <n v="1286033"/>
    <n v="16"/>
    <n v="104506"/>
    <n v="22"/>
    <n v="130127"/>
    <n v="16"/>
    <n v="76289"/>
    <n v="18"/>
    <n v="109577"/>
    <n v="16"/>
    <n v="3136"/>
    <n v="21"/>
    <n v="3858"/>
    <n v="16"/>
    <n v="75340"/>
    <n v="21"/>
    <n v="91685"/>
    <n v="16"/>
    <n v="5614"/>
    <n v="21"/>
    <n v="4195"/>
    <n v="16"/>
    <n v="2488"/>
    <n v="21"/>
    <n v="3484"/>
    <n v="16"/>
    <n v="0"/>
    <n v="0"/>
    <n v="0"/>
    <n v="5"/>
    <n v="5144"/>
    <n v="0"/>
    <n v="0"/>
    <m/>
    <m/>
    <m/>
    <m/>
    <n v="16"/>
    <n v="272517"/>
    <n v="22"/>
    <n v="342926"/>
  </r>
  <r>
    <x v="1"/>
    <s v="Northwest Arkansas Community College "/>
    <s v="Met the criteria for Two-Year 1 in 2009-10 and 2010-11."/>
    <n v="367459"/>
    <x v="7"/>
    <n v="130"/>
    <n v="769798"/>
    <n v="145"/>
    <n v="816961"/>
    <n v="130"/>
    <n v="877513"/>
    <n v="141"/>
    <n v="3891"/>
    <n v="129"/>
    <n v="26885"/>
    <n v="140"/>
    <n v="28532"/>
    <n v="130"/>
    <n v="431153"/>
    <n v="143"/>
    <n v="447408"/>
    <n v="130"/>
    <n v="22357"/>
    <n v="143"/>
    <n v="69276"/>
    <n v="130"/>
    <n v="3666"/>
    <n v="141"/>
    <n v="3891"/>
    <n v="130"/>
    <n v="3180"/>
    <n v="143"/>
    <n v="4330"/>
    <n v="18"/>
    <n v="8934"/>
    <n v="59"/>
    <n v="30400"/>
    <m/>
    <m/>
    <m/>
    <m/>
    <n v="130"/>
    <n v="2143486"/>
    <n v="145"/>
    <n v="1404689"/>
    <n v="1"/>
    <n v="5411"/>
    <n v="0"/>
    <n v="0"/>
    <n v="1"/>
    <n v="9699"/>
    <n v="0"/>
    <n v="0"/>
    <n v="1"/>
    <n v="14"/>
    <n v="0"/>
    <n v="0"/>
    <n v="1"/>
    <n v="3179"/>
    <n v="0"/>
    <n v="0"/>
    <n v="1"/>
    <n v="167"/>
    <n v="0"/>
    <n v="0"/>
    <n v="1"/>
    <n v="170"/>
    <n v="0"/>
    <n v="0"/>
    <n v="1"/>
    <n v="24"/>
    <n v="0"/>
    <n v="0"/>
    <n v="1"/>
    <n v="100"/>
    <n v="0"/>
    <n v="0"/>
    <m/>
    <m/>
    <m/>
    <m/>
    <n v="1"/>
    <n v="18764"/>
    <n v="0"/>
    <n v="0"/>
  </r>
  <r>
    <x v="1"/>
    <s v="Arkansas Northeastern College"/>
    <m/>
    <n v="107327"/>
    <x v="8"/>
    <n v="77"/>
    <n v="426273"/>
    <n v="73"/>
    <n v="406445"/>
    <n v="70"/>
    <n v="381960"/>
    <n v="72"/>
    <n v="369179"/>
    <n v="77"/>
    <n v="20286"/>
    <n v="73"/>
    <n v="19071"/>
    <n v="77"/>
    <n v="256628"/>
    <n v="73"/>
    <n v="241404"/>
    <m/>
    <m/>
    <n v="73"/>
    <n v="9467"/>
    <n v="77"/>
    <n v="40998"/>
    <n v="73"/>
    <n v="38241"/>
    <m/>
    <m/>
    <n v="73"/>
    <n v="947"/>
    <n v="12"/>
    <n v="8222"/>
    <n v="10"/>
    <n v="8839"/>
    <m/>
    <m/>
    <m/>
    <m/>
    <n v="77"/>
    <n v="1134367"/>
    <n v="73"/>
    <n v="1093593"/>
    <n v="5"/>
    <n v="40779"/>
    <n v="6"/>
    <n v="47958"/>
    <n v="5"/>
    <n v="26837"/>
    <n v="6"/>
    <n v="32109"/>
    <n v="5"/>
    <n v="1556"/>
    <n v="6"/>
    <n v="1871"/>
    <n v="5"/>
    <n v="25026"/>
    <n v="6"/>
    <n v="29788"/>
    <m/>
    <m/>
    <n v="6"/>
    <n v="1168"/>
    <n v="5"/>
    <n v="4080"/>
    <n v="6"/>
    <n v="4805"/>
    <m/>
    <m/>
    <n v="6"/>
    <n v="117"/>
    <n v="1"/>
    <n v="614"/>
    <n v="1"/>
    <n v="428"/>
    <m/>
    <m/>
    <m/>
    <m/>
    <n v="5"/>
    <n v="98892"/>
    <n v="6"/>
    <n v="118244"/>
  </r>
  <r>
    <x v="1"/>
    <s v="Arkansas State University Mountain Home"/>
    <m/>
    <n v="420538"/>
    <x v="8"/>
    <n v="43"/>
    <n v="181633"/>
    <n v="48"/>
    <n v="203559"/>
    <n v="37"/>
    <n v="180265"/>
    <n v="42"/>
    <n v="219185"/>
    <n v="43"/>
    <n v="6084"/>
    <n v="48"/>
    <n v="6494"/>
    <n v="43"/>
    <n v="133935"/>
    <n v="48"/>
    <n v="149556"/>
    <m/>
    <m/>
    <n v="48"/>
    <n v="0"/>
    <n v="43"/>
    <n v="7032"/>
    <n v="48"/>
    <n v="7654"/>
    <m/>
    <m/>
    <n v="48"/>
    <n v="0"/>
    <m/>
    <m/>
    <m/>
    <m/>
    <m/>
    <m/>
    <m/>
    <m/>
    <n v="43"/>
    <n v="508949"/>
    <n v="48"/>
    <n v="586448"/>
    <m/>
    <m/>
    <m/>
    <m/>
    <m/>
    <m/>
    <m/>
    <m/>
    <m/>
    <m/>
    <m/>
    <m/>
    <m/>
    <m/>
    <m/>
    <m/>
    <m/>
    <m/>
    <m/>
    <m/>
    <m/>
    <m/>
    <m/>
    <m/>
    <m/>
    <m/>
    <m/>
    <m/>
    <m/>
    <m/>
    <m/>
    <m/>
    <m/>
    <m/>
    <m/>
    <m/>
    <n v="0"/>
    <n v="0"/>
    <n v="0"/>
    <n v="0"/>
  </r>
  <r>
    <x v="1"/>
    <s v="Arkansas State University-Newport"/>
    <m/>
    <n v="440402"/>
    <x v="8"/>
    <n v="45"/>
    <n v="205564"/>
    <n v="45"/>
    <n v="205646"/>
    <n v="40"/>
    <n v="165820"/>
    <n v="39"/>
    <n v="179649"/>
    <n v="46"/>
    <n v="5346"/>
    <n v="45"/>
    <n v="6435"/>
    <n v="47"/>
    <n v="137200"/>
    <n v="45"/>
    <n v="140355"/>
    <n v="47"/>
    <n v="5340"/>
    <n v="45"/>
    <n v="22106"/>
    <n v="47"/>
    <n v="4782"/>
    <n v="45"/>
    <n v="5940"/>
    <n v="47"/>
    <n v="2471"/>
    <n v="45"/>
    <n v="3060"/>
    <n v="23"/>
    <n v="12466"/>
    <n v="14"/>
    <n v="24248"/>
    <m/>
    <m/>
    <m/>
    <m/>
    <n v="47"/>
    <n v="538989"/>
    <n v="45"/>
    <n v="587439"/>
    <n v="18"/>
    <n v="89091"/>
    <n v="17"/>
    <n v="90697"/>
    <n v="17"/>
    <n v="85466"/>
    <n v="17"/>
    <n v="81826"/>
    <n v="18"/>
    <n v="2708"/>
    <n v="17"/>
    <n v="2999"/>
    <n v="18"/>
    <n v="62081"/>
    <n v="17"/>
    <n v="65560"/>
    <n v="18"/>
    <n v="2552"/>
    <n v="17"/>
    <n v="10327"/>
    <n v="18"/>
    <n v="2700"/>
    <n v="17"/>
    <n v="2754"/>
    <n v="18"/>
    <n v="1181"/>
    <n v="17"/>
    <n v="1445"/>
    <n v="16"/>
    <n v="7680"/>
    <n v="1"/>
    <n v="1755"/>
    <m/>
    <m/>
    <m/>
    <m/>
    <n v="18"/>
    <n v="253459"/>
    <n v="17"/>
    <n v="257363"/>
  </r>
  <r>
    <x v="1"/>
    <s v="Black River Technical College"/>
    <s v="Met the criteria for Two-Year 2 in 2010-11."/>
    <n v="106625"/>
    <x v="8"/>
    <n v="59"/>
    <n v="345765"/>
    <n v="64"/>
    <n v="370879"/>
    <m/>
    <m/>
    <m/>
    <m/>
    <m/>
    <m/>
    <m/>
    <m/>
    <n v="59"/>
    <n v="188936"/>
    <n v="64"/>
    <n v="202659"/>
    <n v="59"/>
    <n v="5680"/>
    <n v="64"/>
    <n v="18544"/>
    <m/>
    <m/>
    <m/>
    <m/>
    <m/>
    <m/>
    <m/>
    <m/>
    <m/>
    <m/>
    <m/>
    <m/>
    <n v="59"/>
    <n v="330060"/>
    <n v="0"/>
    <n v="0"/>
    <n v="59"/>
    <n v="870441"/>
    <n v="64"/>
    <n v="592082"/>
    <n v="4"/>
    <n v="26672"/>
    <n v="4"/>
    <n v="27361"/>
    <m/>
    <m/>
    <m/>
    <m/>
    <m/>
    <m/>
    <m/>
    <m/>
    <n v="4"/>
    <n v="14574"/>
    <n v="4"/>
    <n v="14951"/>
    <n v="4"/>
    <n v="438"/>
    <n v="4"/>
    <n v="1368"/>
    <m/>
    <m/>
    <m/>
    <m/>
    <m/>
    <m/>
    <m/>
    <m/>
    <m/>
    <m/>
    <m/>
    <m/>
    <n v="4"/>
    <n v="12756"/>
    <n v="0"/>
    <n v="0"/>
    <n v="4"/>
    <n v="54440"/>
    <n v="4"/>
    <n v="43680"/>
  </r>
  <r>
    <x v="1"/>
    <s v="Cossatot Community College of the University of Arkansas"/>
    <m/>
    <n v="106795"/>
    <x v="8"/>
    <n v="30"/>
    <n v="162994"/>
    <n v="31"/>
    <n v="165812"/>
    <n v="28"/>
    <n v="154536"/>
    <n v="29"/>
    <n v="165648"/>
    <m/>
    <m/>
    <m/>
    <m/>
    <n v="30"/>
    <n v="92990"/>
    <n v="31"/>
    <n v="94705"/>
    <n v="30"/>
    <n v="243"/>
    <n v="31"/>
    <n v="13742"/>
    <n v="30"/>
    <n v="1512"/>
    <n v="31"/>
    <n v="1562"/>
    <m/>
    <m/>
    <n v="31"/>
    <n v="1486"/>
    <m/>
    <m/>
    <m/>
    <m/>
    <m/>
    <m/>
    <m/>
    <m/>
    <n v="30"/>
    <n v="412275"/>
    <n v="31"/>
    <n v="442955"/>
    <n v="3"/>
    <n v="15716"/>
    <n v="3"/>
    <n v="15716"/>
    <n v="3"/>
    <n v="17136"/>
    <n v="3"/>
    <n v="17136"/>
    <m/>
    <m/>
    <m/>
    <m/>
    <n v="3"/>
    <n v="9113"/>
    <n v="3"/>
    <n v="9113"/>
    <n v="3"/>
    <n v="24"/>
    <n v="3"/>
    <n v="1322"/>
    <n v="3"/>
    <n v="151"/>
    <n v="3"/>
    <n v="151"/>
    <m/>
    <m/>
    <n v="3"/>
    <n v="143"/>
    <m/>
    <m/>
    <m/>
    <m/>
    <m/>
    <m/>
    <m/>
    <m/>
    <n v="3"/>
    <n v="42140"/>
    <n v="3"/>
    <n v="43581"/>
  </r>
  <r>
    <x v="1"/>
    <s v="East Arkansas Community College "/>
    <m/>
    <n v="106883"/>
    <x v="8"/>
    <n v="29"/>
    <n v="193822"/>
    <n v="28"/>
    <n v="180978"/>
    <n v="29"/>
    <n v="169299"/>
    <n v="28"/>
    <n v="164171"/>
    <n v="29"/>
    <n v="5538"/>
    <n v="28"/>
    <n v="5214"/>
    <n v="29"/>
    <n v="105910"/>
    <n v="28"/>
    <n v="99718"/>
    <n v="29"/>
    <n v="2215"/>
    <n v="28"/>
    <n v="6909"/>
    <n v="29"/>
    <n v="2332"/>
    <n v="28"/>
    <n v="1981"/>
    <m/>
    <m/>
    <m/>
    <m/>
    <n v="2"/>
    <n v="408"/>
    <n v="1"/>
    <n v="272"/>
    <m/>
    <m/>
    <m/>
    <m/>
    <n v="29"/>
    <n v="479524"/>
    <n v="28"/>
    <n v="459243"/>
    <n v="8"/>
    <n v="52255"/>
    <n v="6"/>
    <n v="42614"/>
    <n v="8"/>
    <n v="46362"/>
    <n v="6"/>
    <n v="35115"/>
    <n v="8"/>
    <n v="1541"/>
    <n v="6"/>
    <n v="1218"/>
    <n v="8"/>
    <n v="29473"/>
    <n v="6"/>
    <n v="23286"/>
    <n v="8"/>
    <n v="231"/>
    <n v="6"/>
    <n v="1613"/>
    <n v="8"/>
    <n v="643"/>
    <n v="6"/>
    <n v="1218"/>
    <m/>
    <m/>
    <m/>
    <m/>
    <n v="2"/>
    <n v="876"/>
    <n v="1"/>
    <n v="125"/>
    <m/>
    <m/>
    <m/>
    <m/>
    <n v="8"/>
    <n v="131381"/>
    <n v="6"/>
    <n v="105189"/>
  </r>
  <r>
    <x v="1"/>
    <s v="Mid-South Community College "/>
    <m/>
    <n v="107318"/>
    <x v="8"/>
    <n v="23"/>
    <n v="132480"/>
    <n v="28"/>
    <n v="160745"/>
    <n v="21"/>
    <n v="114552"/>
    <n v="25"/>
    <n v="143112"/>
    <n v="23"/>
    <n v="4419"/>
    <n v="28"/>
    <n v="5378"/>
    <n v="23"/>
    <n v="72391"/>
    <n v="28"/>
    <n v="88093"/>
    <n v="23"/>
    <n v="23"/>
    <n v="28"/>
    <n v="28"/>
    <n v="23"/>
    <n v="1159"/>
    <n v="28"/>
    <n v="1411"/>
    <n v="23"/>
    <n v="23"/>
    <n v="28"/>
    <n v="28"/>
    <m/>
    <m/>
    <m/>
    <m/>
    <m/>
    <m/>
    <m/>
    <m/>
    <n v="23"/>
    <n v="325047"/>
    <n v="28"/>
    <n v="398795"/>
    <n v="8"/>
    <n v="58030"/>
    <n v="12"/>
    <n v="91484"/>
    <n v="8"/>
    <n v="34896"/>
    <n v="10"/>
    <n v="51720"/>
    <n v="8"/>
    <n v="1935"/>
    <n v="12"/>
    <n v="3052"/>
    <n v="8"/>
    <n v="31709"/>
    <n v="12"/>
    <n v="49990"/>
    <n v="8"/>
    <n v="8"/>
    <n v="12"/>
    <n v="12"/>
    <n v="8"/>
    <n v="403"/>
    <n v="12"/>
    <n v="605"/>
    <n v="8"/>
    <n v="8"/>
    <n v="12"/>
    <n v="12"/>
    <m/>
    <m/>
    <m/>
    <m/>
    <m/>
    <m/>
    <m/>
    <m/>
    <n v="8"/>
    <n v="126989"/>
    <n v="12"/>
    <n v="196875"/>
  </r>
  <r>
    <x v="1"/>
    <s v="National Park Community College"/>
    <s v="Reclassifed: met the criteria for Two-Year 2 in 2008-09, 2009-10 and 2010-11."/>
    <n v="106980"/>
    <x v="7"/>
    <n v="73"/>
    <n v="441846"/>
    <n v="77"/>
    <n v="461230"/>
    <n v="68"/>
    <n v="364752"/>
    <n v="72"/>
    <n v="387936"/>
    <n v="73"/>
    <n v="9153"/>
    <n v="77"/>
    <n v="9625"/>
    <n v="73"/>
    <n v="241437"/>
    <n v="77"/>
    <n v="252021"/>
    <n v="73"/>
    <n v="10414"/>
    <n v="77"/>
    <n v="22715"/>
    <n v="73"/>
    <n v="8410"/>
    <n v="77"/>
    <n v="8855"/>
    <m/>
    <m/>
    <n v="77"/>
    <n v="5313"/>
    <n v="8"/>
    <n v="8406"/>
    <n v="13"/>
    <n v="8597"/>
    <m/>
    <m/>
    <m/>
    <m/>
    <n v="73"/>
    <n v="1084418"/>
    <n v="77"/>
    <n v="1156292"/>
    <n v="18"/>
    <n v="134575"/>
    <n v="14"/>
    <n v="103768"/>
    <n v="15"/>
    <n v="80460"/>
    <n v="11"/>
    <n v="59268"/>
    <n v="18"/>
    <n v="2788"/>
    <n v="14"/>
    <n v="2142"/>
    <n v="18"/>
    <n v="73536"/>
    <n v="14"/>
    <n v="56700"/>
    <n v="18"/>
    <n v="3173"/>
    <n v="14"/>
    <n v="5110"/>
    <n v="18"/>
    <n v="2070"/>
    <n v="14"/>
    <n v="1610"/>
    <m/>
    <m/>
    <m/>
    <m/>
    <m/>
    <m/>
    <n v="1"/>
    <n v="926"/>
    <m/>
    <m/>
    <m/>
    <m/>
    <n v="18"/>
    <n v="296602"/>
    <n v="14"/>
    <n v="229524"/>
  </r>
  <r>
    <x v="1"/>
    <s v="North Arkansas College"/>
    <m/>
    <n v="107460"/>
    <x v="8"/>
    <n v="57"/>
    <n v="357388"/>
    <n v="56"/>
    <n v="366563"/>
    <n v="48"/>
    <n v="544896"/>
    <n v="45"/>
    <n v="511056"/>
    <n v="57"/>
    <n v="7972"/>
    <n v="56"/>
    <n v="7593"/>
    <n v="57"/>
    <n v="210309"/>
    <n v="56"/>
    <n v="200301"/>
    <n v="57"/>
    <n v="13471"/>
    <n v="56"/>
    <n v="2357"/>
    <n v="57"/>
    <n v="5223"/>
    <n v="56"/>
    <n v="4975"/>
    <n v="57"/>
    <n v="17594"/>
    <n v="56"/>
    <n v="0"/>
    <n v="6"/>
    <n v="4993"/>
    <n v="7"/>
    <n v="5956"/>
    <m/>
    <m/>
    <m/>
    <m/>
    <n v="57"/>
    <n v="1161846"/>
    <n v="56"/>
    <n v="1098801"/>
    <n v="9"/>
    <n v="64792"/>
    <n v="9"/>
    <n v="70614"/>
    <n v="9"/>
    <n v="102168"/>
    <n v="9"/>
    <n v="102168"/>
    <n v="9"/>
    <n v="1445"/>
    <n v="9"/>
    <n v="1463"/>
    <n v="9"/>
    <n v="38128"/>
    <n v="9"/>
    <n v="38586"/>
    <n v="9"/>
    <n v="2442"/>
    <n v="9"/>
    <n v="454"/>
    <n v="9"/>
    <n v="947"/>
    <n v="9"/>
    <n v="958"/>
    <n v="9"/>
    <n v="3189"/>
    <n v="9"/>
    <n v="0"/>
    <n v="3"/>
    <n v="1509"/>
    <n v="2"/>
    <n v="1006"/>
    <m/>
    <m/>
    <m/>
    <m/>
    <n v="9"/>
    <n v="214620"/>
    <n v="9"/>
    <n v="215249"/>
  </r>
  <r>
    <x v="1"/>
    <s v="Ouachita Technical College "/>
    <m/>
    <n v="107521"/>
    <x v="8"/>
    <n v="32"/>
    <n v="187737"/>
    <n v="32"/>
    <n v="186486"/>
    <n v="21"/>
    <n v="98280"/>
    <n v="29"/>
    <n v="135720"/>
    <m/>
    <m/>
    <m/>
    <m/>
    <n v="32"/>
    <n v="102249"/>
    <n v="32"/>
    <n v="105330"/>
    <n v="32"/>
    <n v="0"/>
    <n v="32"/>
    <n v="4263"/>
    <m/>
    <m/>
    <m/>
    <m/>
    <n v="32"/>
    <n v="6227"/>
    <n v="32"/>
    <n v="646"/>
    <n v="12"/>
    <n v="8933"/>
    <n v="7"/>
    <n v="5936"/>
    <n v="21"/>
    <n v="4762"/>
    <n v="0"/>
    <n v="0"/>
    <n v="32"/>
    <n v="408188"/>
    <n v="32"/>
    <n v="438381"/>
    <n v="7"/>
    <n v="40794"/>
    <n v="8"/>
    <n v="44570"/>
    <n v="6"/>
    <n v="28080"/>
    <n v="7"/>
    <n v="32760"/>
    <m/>
    <m/>
    <m/>
    <m/>
    <n v="7"/>
    <n v="22218"/>
    <n v="8"/>
    <n v="25174"/>
    <n v="7"/>
    <n v="0"/>
    <n v="8"/>
    <n v="1066"/>
    <m/>
    <m/>
    <m/>
    <m/>
    <n v="7"/>
    <n v="1362"/>
    <n v="8"/>
    <n v="1236"/>
    <m/>
    <m/>
    <m/>
    <m/>
    <n v="6"/>
    <n v="1237"/>
    <n v="0"/>
    <n v="0"/>
    <n v="7"/>
    <n v="93691"/>
    <n v="8"/>
    <n v="104806"/>
  </r>
  <r>
    <x v="1"/>
    <s v="Ozarka College "/>
    <m/>
    <n v="107549"/>
    <x v="8"/>
    <n v="27"/>
    <n v="136029"/>
    <n v="28"/>
    <n v="140211"/>
    <n v="27"/>
    <n v="249312"/>
    <n v="28"/>
    <n v="273123"/>
    <n v="27"/>
    <n v="3121"/>
    <n v="28"/>
    <n v="3246"/>
    <n v="27"/>
    <n v="82333"/>
    <n v="28"/>
    <n v="85622"/>
    <n v="27"/>
    <n v="0"/>
    <n v="28"/>
    <n v="0"/>
    <m/>
    <m/>
    <m/>
    <m/>
    <n v="27"/>
    <n v="0"/>
    <n v="28"/>
    <n v="0"/>
    <n v="12"/>
    <n v="16960"/>
    <n v="7"/>
    <n v="7555"/>
    <m/>
    <m/>
    <m/>
    <m/>
    <n v="27"/>
    <n v="487755"/>
    <n v="28"/>
    <n v="509757"/>
    <n v="6"/>
    <n v="35089"/>
    <n v="7"/>
    <n v="41022"/>
    <n v="6"/>
    <n v="57632"/>
    <n v="7"/>
    <n v="69377"/>
    <n v="6"/>
    <n v="848"/>
    <n v="7"/>
    <n v="991"/>
    <n v="6"/>
    <n v="22369"/>
    <n v="7"/>
    <n v="26151"/>
    <n v="6"/>
    <n v="0"/>
    <n v="7"/>
    <n v="0"/>
    <m/>
    <m/>
    <m/>
    <m/>
    <n v="6"/>
    <n v="0"/>
    <n v="7"/>
    <n v="0"/>
    <n v="2"/>
    <n v="320"/>
    <n v="1"/>
    <n v="2555"/>
    <m/>
    <m/>
    <m/>
    <m/>
    <n v="6"/>
    <n v="116258"/>
    <n v="7"/>
    <n v="140096"/>
  </r>
  <r>
    <x v="1"/>
    <s v="Phillips Community College of the Univ of Arkansas"/>
    <m/>
    <n v="107619"/>
    <x v="8"/>
    <n v="66"/>
    <n v="251784"/>
    <n v="66"/>
    <n v="256100"/>
    <n v="63"/>
    <n v="332328"/>
    <n v="62"/>
    <n v="311225"/>
    <n v="66"/>
    <n v="6546"/>
    <n v="66"/>
    <n v="6546"/>
    <n v="66"/>
    <n v="192614"/>
    <n v="66"/>
    <n v="195917"/>
    <n v="66"/>
    <n v="24927"/>
    <n v="66"/>
    <n v="2817"/>
    <n v="66"/>
    <n v="6043"/>
    <n v="66"/>
    <n v="6146"/>
    <n v="66"/>
    <n v="2520"/>
    <n v="66"/>
    <n v="8707"/>
    <n v="15"/>
    <n v="8548"/>
    <n v="16"/>
    <n v="9120"/>
    <m/>
    <m/>
    <m/>
    <m/>
    <n v="66"/>
    <n v="825310"/>
    <n v="66"/>
    <n v="796578"/>
    <n v="13"/>
    <n v="60417"/>
    <n v="13"/>
    <n v="60269"/>
    <n v="13"/>
    <n v="69016"/>
    <n v="12"/>
    <n v="79635"/>
    <n v="13"/>
    <n v="1571"/>
    <n v="13"/>
    <n v="1567"/>
    <n v="13"/>
    <n v="46219"/>
    <n v="13"/>
    <n v="46106"/>
    <n v="13"/>
    <n v="5981"/>
    <n v="13"/>
    <n v="663"/>
    <n v="13"/>
    <n v="1450"/>
    <n v="13"/>
    <n v="1447"/>
    <n v="12"/>
    <n v="605"/>
    <n v="13"/>
    <n v="2049"/>
    <n v="3"/>
    <n v="1637"/>
    <n v="2"/>
    <n v="1140"/>
    <m/>
    <m/>
    <m/>
    <m/>
    <n v="13"/>
    <n v="186896"/>
    <n v="13"/>
    <n v="192876"/>
  </r>
  <r>
    <x v="1"/>
    <s v="Rich Mountain Community College "/>
    <m/>
    <n v="107743"/>
    <x v="8"/>
    <n v="17"/>
    <n v="113998"/>
    <n v="19"/>
    <n v="119898"/>
    <n v="18"/>
    <n v="184196"/>
    <n v="19"/>
    <n v="218880"/>
    <n v="18"/>
    <n v="864"/>
    <n v="19"/>
    <n v="4963"/>
    <n v="18"/>
    <n v="68710"/>
    <n v="19"/>
    <n v="69028"/>
    <n v="18"/>
    <n v="594"/>
    <n v="19"/>
    <n v="594"/>
    <n v="18"/>
    <n v="4659"/>
    <n v="19"/>
    <n v="958"/>
    <n v="18"/>
    <n v="594"/>
    <n v="19"/>
    <n v="594"/>
    <m/>
    <m/>
    <m/>
    <m/>
    <m/>
    <m/>
    <m/>
    <m/>
    <n v="18"/>
    <n v="373615"/>
    <n v="19"/>
    <n v="414915"/>
    <n v="2"/>
    <n v="13678"/>
    <n v="2"/>
    <n v="10471"/>
    <n v="1"/>
    <n v="11208"/>
    <n v="2"/>
    <n v="23040"/>
    <n v="2"/>
    <n v="96"/>
    <n v="2"/>
    <n v="411"/>
    <n v="2"/>
    <n v="7739"/>
    <n v="2"/>
    <n v="5722"/>
    <n v="2"/>
    <n v="66"/>
    <n v="2"/>
    <n v="66"/>
    <n v="2"/>
    <n v="560"/>
    <n v="2"/>
    <n v="101"/>
    <n v="2"/>
    <n v="66"/>
    <n v="2"/>
    <n v="66"/>
    <m/>
    <m/>
    <m/>
    <m/>
    <m/>
    <m/>
    <m/>
    <m/>
    <n v="2"/>
    <n v="33413"/>
    <n v="2"/>
    <n v="39877"/>
  </r>
  <r>
    <x v="1"/>
    <s v="South Arkansas Community College"/>
    <m/>
    <n v="107974"/>
    <x v="8"/>
    <n v="31"/>
    <n v="150527"/>
    <n v="32"/>
    <n v="162186"/>
    <n v="31"/>
    <n v="198730"/>
    <n v="32"/>
    <n v="200480"/>
    <n v="31"/>
    <n v="5317"/>
    <n v="25"/>
    <n v="4247"/>
    <n v="31"/>
    <n v="111841"/>
    <n v="32"/>
    <n v="108951"/>
    <m/>
    <m/>
    <n v="32"/>
    <n v="0"/>
    <n v="31"/>
    <n v="7794"/>
    <n v="32"/>
    <n v="7400"/>
    <m/>
    <m/>
    <n v="32"/>
    <n v="0"/>
    <m/>
    <m/>
    <n v="1"/>
    <n v="100"/>
    <m/>
    <m/>
    <m/>
    <m/>
    <n v="31"/>
    <n v="474209"/>
    <n v="32"/>
    <n v="483364"/>
    <n v="28"/>
    <n v="167244"/>
    <n v="29"/>
    <n v="175844"/>
    <n v="28"/>
    <n v="169495"/>
    <n v="29"/>
    <n v="175180"/>
    <n v="26"/>
    <n v="5385"/>
    <n v="24"/>
    <n v="4974"/>
    <n v="28"/>
    <n v="108050"/>
    <n v="29"/>
    <n v="111635"/>
    <m/>
    <m/>
    <n v="29"/>
    <n v="0"/>
    <n v="28"/>
    <n v="6780"/>
    <n v="29"/>
    <n v="6986"/>
    <m/>
    <m/>
    <n v="29"/>
    <n v="0"/>
    <m/>
    <m/>
    <n v="8"/>
    <n v="5334"/>
    <m/>
    <m/>
    <m/>
    <m/>
    <n v="28"/>
    <n v="456954"/>
    <n v="29"/>
    <n v="479953"/>
  </r>
  <r>
    <x v="1"/>
    <s v="Southeast Arkansas College"/>
    <m/>
    <n v="107637"/>
    <x v="8"/>
    <n v="37"/>
    <n v="203161"/>
    <n v="43"/>
    <n v="205913"/>
    <n v="37"/>
    <n v="191880"/>
    <n v="43"/>
    <n v="201240"/>
    <m/>
    <m/>
    <m/>
    <m/>
    <n v="37"/>
    <n v="133822"/>
    <n v="43"/>
    <n v="120840"/>
    <m/>
    <m/>
    <m/>
    <m/>
    <m/>
    <m/>
    <m/>
    <m/>
    <m/>
    <m/>
    <m/>
    <m/>
    <n v="37"/>
    <n v="22422"/>
    <n v="6"/>
    <n v="4331"/>
    <m/>
    <m/>
    <m/>
    <m/>
    <n v="37"/>
    <n v="551285"/>
    <n v="43"/>
    <n v="532324"/>
    <n v="6"/>
    <n v="33715"/>
    <n v="5"/>
    <n v="32523"/>
    <n v="6"/>
    <n v="32760"/>
    <n v="5"/>
    <n v="23400"/>
    <m/>
    <m/>
    <m/>
    <m/>
    <n v="6"/>
    <n v="22391"/>
    <n v="5"/>
    <n v="18407"/>
    <m/>
    <m/>
    <m/>
    <m/>
    <m/>
    <m/>
    <m/>
    <m/>
    <m/>
    <m/>
    <m/>
    <m/>
    <m/>
    <m/>
    <m/>
    <m/>
    <m/>
    <m/>
    <m/>
    <m/>
    <n v="6"/>
    <n v="88866"/>
    <n v="5"/>
    <n v="74330"/>
  </r>
  <r>
    <x v="1"/>
    <s v="Southern Arkansas University Tech"/>
    <m/>
    <n v="107992"/>
    <x v="8"/>
    <n v="23"/>
    <n v="117078"/>
    <n v="22"/>
    <n v="113043"/>
    <n v="23"/>
    <n v="88021"/>
    <n v="22"/>
    <n v="44868"/>
    <n v="22"/>
    <n v="3105"/>
    <n v="20"/>
    <n v="2790"/>
    <n v="23"/>
    <n v="75000"/>
    <n v="22"/>
    <n v="70941"/>
    <n v="23"/>
    <n v="3235"/>
    <n v="22"/>
    <n v="7233"/>
    <n v="23"/>
    <n v="3875"/>
    <n v="22"/>
    <n v="3864"/>
    <n v="23"/>
    <n v="3725"/>
    <n v="22"/>
    <n v="6213"/>
    <n v="2"/>
    <n v="1635"/>
    <n v="2"/>
    <n v="2294"/>
    <m/>
    <m/>
    <m/>
    <m/>
    <n v="23"/>
    <n v="295674"/>
    <n v="22"/>
    <n v="251246"/>
    <n v="9"/>
    <n v="50699"/>
    <n v="9"/>
    <n v="47797"/>
    <n v="9"/>
    <n v="34443"/>
    <n v="9"/>
    <n v="33651"/>
    <n v="6"/>
    <n v="975"/>
    <n v="8"/>
    <n v="1239"/>
    <n v="9"/>
    <n v="32234"/>
    <n v="9"/>
    <n v="31414"/>
    <n v="9"/>
    <n v="1390"/>
    <n v="9"/>
    <n v="3202"/>
    <n v="9"/>
    <n v="1664"/>
    <n v="9"/>
    <n v="1671"/>
    <n v="9"/>
    <n v="1601"/>
    <n v="9"/>
    <n v="2751"/>
    <n v="1"/>
    <n v="318"/>
    <n v="2"/>
    <n v="2325"/>
    <m/>
    <m/>
    <m/>
    <m/>
    <n v="9"/>
    <n v="123324"/>
    <n v="9"/>
    <n v="124050"/>
  </r>
  <r>
    <x v="1"/>
    <s v="University of Arkansas Community College at Batesville"/>
    <m/>
    <n v="106999"/>
    <x v="8"/>
    <n v="29"/>
    <n v="137122"/>
    <n v="31"/>
    <n v="164856"/>
    <n v="20"/>
    <n v="126059"/>
    <n v="24"/>
    <n v="167406"/>
    <n v="29"/>
    <n v="4832"/>
    <n v="31"/>
    <n v="5200"/>
    <n v="29"/>
    <n v="90015"/>
    <n v="31"/>
    <n v="105888"/>
    <n v="29"/>
    <n v="0"/>
    <n v="31"/>
    <n v="2800"/>
    <n v="29"/>
    <n v="3622"/>
    <n v="29"/>
    <n v="3602"/>
    <n v="29"/>
    <n v="0"/>
    <n v="31"/>
    <n v="0"/>
    <m/>
    <m/>
    <m/>
    <m/>
    <n v="11"/>
    <n v="487"/>
    <n v="0"/>
    <n v="0"/>
    <n v="29"/>
    <n v="362137"/>
    <n v="31"/>
    <n v="449752"/>
    <n v="20"/>
    <n v="113985"/>
    <n v="18"/>
    <n v="98688"/>
    <n v="16"/>
    <n v="2758"/>
    <n v="13"/>
    <n v="67033"/>
    <n v="20"/>
    <n v="4054"/>
    <n v="18"/>
    <n v="4100"/>
    <n v="20"/>
    <n v="74186"/>
    <n v="18"/>
    <n v="57601"/>
    <n v="20"/>
    <n v="0"/>
    <n v="18"/>
    <n v="1620"/>
    <n v="20"/>
    <n v="2758"/>
    <n v="18"/>
    <n v="2531"/>
    <n v="20"/>
    <n v="0"/>
    <n v="18"/>
    <n v="0"/>
    <m/>
    <m/>
    <m/>
    <m/>
    <n v="1"/>
    <n v="44"/>
    <n v="0"/>
    <n v="0"/>
    <n v="20"/>
    <n v="197785"/>
    <n v="18"/>
    <n v="231573"/>
  </r>
  <r>
    <x v="1"/>
    <s v="University of Arkansas Community College at Hope"/>
    <m/>
    <n v="107725"/>
    <x v="8"/>
    <n v="35"/>
    <n v="159515"/>
    <n v="32"/>
    <n v="130570"/>
    <n v="35"/>
    <n v="277958"/>
    <n v="32"/>
    <n v="235200"/>
    <m/>
    <m/>
    <m/>
    <m/>
    <n v="35"/>
    <n v="99485"/>
    <n v="32"/>
    <n v="85899"/>
    <n v="35"/>
    <n v="21197"/>
    <n v="32"/>
    <n v="9151"/>
    <n v="35"/>
    <n v="1764"/>
    <n v="32"/>
    <n v="1279"/>
    <n v="35"/>
    <n v="0"/>
    <n v="32"/>
    <n v="0"/>
    <m/>
    <m/>
    <m/>
    <m/>
    <m/>
    <m/>
    <m/>
    <m/>
    <n v="35"/>
    <n v="559919"/>
    <n v="32"/>
    <n v="462099"/>
    <n v="5"/>
    <n v="33963"/>
    <n v="6"/>
    <n v="36531"/>
    <n v="5"/>
    <n v="21781"/>
    <n v="6"/>
    <n v="49261"/>
    <m/>
    <m/>
    <m/>
    <m/>
    <n v="5"/>
    <n v="22011"/>
    <n v="6"/>
    <n v="24837"/>
    <n v="5"/>
    <n v="4690"/>
    <n v="6"/>
    <n v="2646"/>
    <n v="5"/>
    <n v="252"/>
    <n v="6"/>
    <n v="252"/>
    <n v="5"/>
    <n v="0"/>
    <n v="6"/>
    <n v="0"/>
    <m/>
    <m/>
    <m/>
    <m/>
    <m/>
    <m/>
    <m/>
    <m/>
    <n v="5"/>
    <n v="82697"/>
    <n v="6"/>
    <n v="113527"/>
  </r>
  <r>
    <x v="1"/>
    <s v="University of Arkansas Community College at Morrilton"/>
    <m/>
    <n v="107585"/>
    <x v="8"/>
    <n v="56"/>
    <n v="331158"/>
    <n v="68"/>
    <n v="382890"/>
    <m/>
    <m/>
    <m/>
    <m/>
    <n v="60"/>
    <n v="8537"/>
    <n v="68"/>
    <n v="9656"/>
    <n v="60"/>
    <n v="173719"/>
    <n v="68"/>
    <n v="199647"/>
    <n v="60"/>
    <n v="949"/>
    <n v="68"/>
    <n v="14500"/>
    <n v="60"/>
    <n v="3834"/>
    <n v="68"/>
    <n v="4346"/>
    <m/>
    <m/>
    <m/>
    <m/>
    <n v="4"/>
    <n v="5373"/>
    <n v="13"/>
    <n v="9172"/>
    <n v="53"/>
    <n v="310242"/>
    <n v="0"/>
    <n v="0"/>
    <n v="60"/>
    <n v="833812"/>
    <n v="68"/>
    <n v="620211"/>
    <m/>
    <m/>
    <m/>
    <m/>
    <m/>
    <m/>
    <m/>
    <m/>
    <m/>
    <m/>
    <m/>
    <m/>
    <m/>
    <m/>
    <m/>
    <m/>
    <m/>
    <m/>
    <m/>
    <m/>
    <m/>
    <m/>
    <m/>
    <m/>
    <m/>
    <m/>
    <m/>
    <m/>
    <m/>
    <m/>
    <m/>
    <m/>
    <m/>
    <m/>
    <m/>
    <m/>
    <n v="0"/>
    <n v="0"/>
    <n v="0"/>
    <n v="0"/>
  </r>
  <r>
    <x v="2"/>
    <s v="University of Delaware"/>
    <m/>
    <n v="130943"/>
    <x v="0"/>
    <n v="1029"/>
    <n v="11100322"/>
    <n v="1039"/>
    <n v="11421684"/>
    <n v="1029"/>
    <n v="10961110"/>
    <n v="1039"/>
    <n v="12334024"/>
    <n v="1029"/>
    <n v="272579"/>
    <n v="1039"/>
    <n v="284847"/>
    <n v="1029"/>
    <n v="7042483"/>
    <n v="1039"/>
    <n v="7206497"/>
    <n v="1029"/>
    <n v="209916"/>
    <n v="1039"/>
    <n v="211956"/>
    <n v="1029"/>
    <n v="325431"/>
    <n v="1039"/>
    <n v="342406"/>
    <n v="1029"/>
    <n v="409653"/>
    <n v="1039"/>
    <n v="333468"/>
    <n v="146"/>
    <n v="884206"/>
    <n v="145"/>
    <n v="1265080"/>
    <m/>
    <m/>
    <m/>
    <m/>
    <n v="1029"/>
    <n v="31205700"/>
    <n v="1039"/>
    <n v="33399962"/>
    <n v="83"/>
    <n v="1109309"/>
    <n v="87"/>
    <n v="1124980"/>
    <n v="83"/>
    <n v="905522"/>
    <n v="87"/>
    <n v="1102913"/>
    <n v="83"/>
    <n v="27082"/>
    <n v="87"/>
    <n v="27858"/>
    <n v="83"/>
    <n v="643296"/>
    <n v="87"/>
    <n v="657866"/>
    <n v="83"/>
    <n v="16932"/>
    <n v="87"/>
    <n v="17748"/>
    <n v="83"/>
    <n v="32211"/>
    <n v="87"/>
    <n v="33772"/>
    <n v="83"/>
    <n v="40704"/>
    <n v="87"/>
    <n v="32615"/>
    <n v="12"/>
    <n v="68520"/>
    <n v="12"/>
    <n v="88469"/>
    <m/>
    <m/>
    <m/>
    <m/>
    <n v="83"/>
    <n v="2843576"/>
    <n v="87"/>
    <n v="3086221"/>
  </r>
  <r>
    <x v="2"/>
    <s v="Delaware State University"/>
    <s v="Met the criteria for Four-Year 3 in 2010-11."/>
    <n v="130934"/>
    <x v="3"/>
    <n v="135"/>
    <n v="2348252"/>
    <n v="148"/>
    <n v="1679160"/>
    <n v="135"/>
    <n v="749542"/>
    <n v="148"/>
    <n v="1371807"/>
    <m/>
    <m/>
    <m/>
    <m/>
    <n v="135"/>
    <n v="547424"/>
    <n v="148"/>
    <n v="746836"/>
    <n v="135"/>
    <n v="15010"/>
    <n v="148"/>
    <n v="16596"/>
    <n v="135"/>
    <n v="27524"/>
    <n v="148"/>
    <n v="23277"/>
    <n v="135"/>
    <n v="176588"/>
    <n v="148"/>
    <n v="190370"/>
    <m/>
    <m/>
    <n v="3"/>
    <n v="8852"/>
    <m/>
    <m/>
    <m/>
    <m/>
    <n v="135"/>
    <n v="3864340"/>
    <n v="148"/>
    <n v="4036898"/>
    <n v="55"/>
    <n v="641280"/>
    <n v="50"/>
    <n v="654691"/>
    <n v="55"/>
    <n v="305369"/>
    <n v="50"/>
    <n v="499043"/>
    <m/>
    <m/>
    <m/>
    <m/>
    <n v="55"/>
    <n v="260376"/>
    <n v="50"/>
    <n v="289638"/>
    <n v="55"/>
    <n v="7139"/>
    <n v="50"/>
    <n v="6471"/>
    <n v="55"/>
    <n v="11214"/>
    <n v="50"/>
    <n v="6052"/>
    <n v="55"/>
    <n v="83992"/>
    <n v="50"/>
    <n v="74224"/>
    <m/>
    <m/>
    <n v="1"/>
    <n v="2950"/>
    <m/>
    <m/>
    <m/>
    <m/>
    <n v="55"/>
    <n v="1309370"/>
    <n v="50"/>
    <n v="1533069"/>
  </r>
  <r>
    <x v="2"/>
    <s v="Delaware Technical and Community College--Owens"/>
    <m/>
    <n v="130891"/>
    <x v="7"/>
    <n v="79"/>
    <n v="753485"/>
    <n v="80"/>
    <n v="877326"/>
    <n v="71"/>
    <n v="764257"/>
    <n v="74"/>
    <n v="853989"/>
    <n v="79"/>
    <n v="1114"/>
    <n v="80"/>
    <n v="1597"/>
    <n v="79"/>
    <n v="377483"/>
    <n v="80"/>
    <n v="390206"/>
    <n v="79"/>
    <n v="8389"/>
    <n v="80"/>
    <n v="8671"/>
    <n v="54"/>
    <n v="13748"/>
    <n v="48"/>
    <n v="9241"/>
    <n v="79"/>
    <n v="98688"/>
    <n v="80"/>
    <n v="99464"/>
    <m/>
    <m/>
    <m/>
    <m/>
    <m/>
    <m/>
    <m/>
    <m/>
    <n v="79"/>
    <n v="2017164"/>
    <n v="80"/>
    <n v="2240494"/>
    <n v="38"/>
    <n v="451772"/>
    <n v="41"/>
    <n v="574295"/>
    <n v="35"/>
    <n v="397675"/>
    <n v="39"/>
    <n v="460540"/>
    <n v="38"/>
    <n v="2863"/>
    <n v="41"/>
    <n v="1981"/>
    <n v="38"/>
    <n v="226330"/>
    <n v="41"/>
    <n v="255428"/>
    <n v="38"/>
    <n v="5030"/>
    <n v="41"/>
    <n v="5676"/>
    <n v="28"/>
    <n v="9473"/>
    <n v="27"/>
    <n v="6365"/>
    <n v="38"/>
    <n v="59171"/>
    <n v="41"/>
    <n v="65109"/>
    <m/>
    <m/>
    <m/>
    <m/>
    <m/>
    <m/>
    <m/>
    <m/>
    <n v="38"/>
    <n v="1152314"/>
    <n v="41"/>
    <n v="1369394"/>
  </r>
  <r>
    <x v="2"/>
    <s v="Delaware Technical and Community College--Stanton-Wilmington"/>
    <s v="Met the criteria for Two-Year 1 in 2009-10 and in 2010-11."/>
    <n v="130916"/>
    <x v="7"/>
    <n v="131"/>
    <n v="1249494"/>
    <n v="134"/>
    <n v="1480298"/>
    <n v="111"/>
    <n v="1086001"/>
    <n v="115"/>
    <n v="1364961"/>
    <n v="131"/>
    <n v="2343"/>
    <n v="134"/>
    <n v="2365"/>
    <n v="131"/>
    <n v="625974"/>
    <n v="134"/>
    <n v="658389"/>
    <n v="131"/>
    <n v="13911"/>
    <n v="134"/>
    <n v="14631"/>
    <n v="89"/>
    <n v="26351"/>
    <n v="88"/>
    <n v="18891"/>
    <n v="131"/>
    <n v="163653"/>
    <n v="134"/>
    <n v="167825"/>
    <m/>
    <m/>
    <m/>
    <m/>
    <m/>
    <m/>
    <m/>
    <m/>
    <n v="131"/>
    <n v="3167727"/>
    <n v="134"/>
    <n v="3707360"/>
    <n v="47"/>
    <n v="561502"/>
    <n v="45"/>
    <n v="652751"/>
    <n v="46"/>
    <n v="502411"/>
    <n v="38"/>
    <n v="474577"/>
    <n v="47"/>
    <n v="927"/>
    <n v="45"/>
    <n v="1051"/>
    <n v="47"/>
    <n v="281302"/>
    <n v="45"/>
    <n v="290322"/>
    <n v="47"/>
    <n v="6251"/>
    <n v="45"/>
    <n v="6452"/>
    <n v="31"/>
    <n v="10522"/>
    <n v="30"/>
    <n v="7731"/>
    <n v="47"/>
    <n v="73543"/>
    <n v="45"/>
    <n v="74004"/>
    <m/>
    <m/>
    <m/>
    <m/>
    <m/>
    <m/>
    <m/>
    <m/>
    <n v="47"/>
    <n v="1436458"/>
    <n v="45"/>
    <n v="1506888"/>
  </r>
  <r>
    <x v="2"/>
    <s v="Delaware Technical and Community College--Terry"/>
    <m/>
    <n v="130907"/>
    <x v="8"/>
    <n v="60"/>
    <n v="566287"/>
    <n v="60"/>
    <n v="657800"/>
    <n v="53"/>
    <n v="537754"/>
    <n v="51"/>
    <n v="633929"/>
    <n v="60"/>
    <n v="395"/>
    <n v="60"/>
    <n v="405"/>
    <n v="60"/>
    <n v="283700"/>
    <n v="60"/>
    <n v="292568"/>
    <n v="60"/>
    <n v="6304"/>
    <n v="60"/>
    <n v="6502"/>
    <n v="37"/>
    <n v="10844"/>
    <n v="37"/>
    <n v="8376"/>
    <n v="60"/>
    <n v="74170"/>
    <n v="60"/>
    <n v="74576"/>
    <m/>
    <m/>
    <m/>
    <m/>
    <m/>
    <m/>
    <m/>
    <m/>
    <n v="60"/>
    <n v="1479454"/>
    <n v="60"/>
    <n v="1674156"/>
    <n v="21"/>
    <n v="251990"/>
    <n v="24"/>
    <n v="340750"/>
    <n v="21"/>
    <n v="224502"/>
    <n v="23"/>
    <n v="265546"/>
    <n v="0"/>
    <n v="0"/>
    <n v="0"/>
    <n v="0"/>
    <n v="21"/>
    <n v="126243"/>
    <n v="24"/>
    <n v="151555"/>
    <n v="21"/>
    <n v="2805"/>
    <n v="24"/>
    <n v="3368"/>
    <n v="11"/>
    <n v="3244"/>
    <n v="13"/>
    <n v="2431"/>
    <n v="21"/>
    <n v="33005"/>
    <n v="24"/>
    <n v="38632"/>
    <m/>
    <m/>
    <m/>
    <m/>
    <m/>
    <m/>
    <m/>
    <m/>
    <n v="21"/>
    <n v="641789"/>
    <n v="24"/>
    <n v="802282"/>
  </r>
  <r>
    <x v="3"/>
    <s v="Florida International University"/>
    <m/>
    <n v="133951"/>
    <x v="0"/>
    <n v="790"/>
    <n v="8717384.6009999998"/>
    <n v="806"/>
    <n v="6766084"/>
    <n v="753"/>
    <n v="7214065.316999997"/>
    <n v="774"/>
    <n v="7934450"/>
    <m/>
    <m/>
    <m/>
    <m/>
    <n v="788"/>
    <n v="4658249.7"/>
    <n v="806"/>
    <n v="3977458"/>
    <m/>
    <m/>
    <n v="0"/>
    <n v="0"/>
    <n v="643"/>
    <n v="124120.11599999995"/>
    <n v="655"/>
    <n v="128819"/>
    <m/>
    <m/>
    <n v="0"/>
    <n v="0"/>
    <m/>
    <m/>
    <m/>
    <m/>
    <m/>
    <m/>
    <m/>
    <m/>
    <n v="790"/>
    <n v="20713819.733999997"/>
    <n v="806"/>
    <n v="18806811"/>
    <n v="49"/>
    <n v="651003.94800000009"/>
    <n v="52"/>
    <n v="642941"/>
    <n v="47"/>
    <n v="480537.01800000004"/>
    <n v="49"/>
    <n v="473815"/>
    <m/>
    <m/>
    <m/>
    <m/>
    <n v="49"/>
    <n v="244207.26"/>
    <n v="52"/>
    <n v="284952"/>
    <m/>
    <m/>
    <n v="0"/>
    <n v="0"/>
    <n v="45"/>
    <n v="13578.002999999999"/>
    <n v="46"/>
    <n v="13594"/>
    <m/>
    <m/>
    <n v="0"/>
    <n v="0"/>
    <m/>
    <m/>
    <m/>
    <m/>
    <m/>
    <m/>
    <m/>
    <m/>
    <n v="49"/>
    <n v="1389326.2290000003"/>
    <n v="52"/>
    <n v="1415302"/>
  </r>
  <r>
    <x v="3"/>
    <s v="Florida State University "/>
    <m/>
    <n v="134097"/>
    <x v="0"/>
    <n v="1189"/>
    <n v="9993412.2599999998"/>
    <n v="1144"/>
    <n v="10005207"/>
    <n v="1114"/>
    <n v="9639500"/>
    <n v="1063"/>
    <n v="9771788"/>
    <m/>
    <m/>
    <m/>
    <m/>
    <n v="1189"/>
    <n v="6751102.2599999998"/>
    <n v="1144"/>
    <n v="6559684"/>
    <n v="1189"/>
    <n v="145086.0765"/>
    <n v="1144"/>
    <n v="330776"/>
    <n v="865"/>
    <n v="227496.48"/>
    <n v="847"/>
    <n v="225772"/>
    <n v="1189"/>
    <n v="145086.0765"/>
    <n v="1144"/>
    <n v="330776"/>
    <m/>
    <m/>
    <m/>
    <m/>
    <m/>
    <m/>
    <m/>
    <m/>
    <n v="1189"/>
    <n v="26901683.152999997"/>
    <n v="1144"/>
    <n v="27224003"/>
    <n v="104"/>
    <n v="764249.92"/>
    <n v="104"/>
    <n v="788091"/>
    <n v="94"/>
    <n v="832885"/>
    <n v="95"/>
    <n v="911341"/>
    <m/>
    <m/>
    <m/>
    <m/>
    <n v="104"/>
    <n v="541359.72"/>
    <n v="104"/>
    <n v="537960"/>
    <n v="104"/>
    <n v="11230.852500000001"/>
    <n v="104"/>
    <n v="25881"/>
    <n v="71"/>
    <n v="17114.759999999998"/>
    <n v="70"/>
    <n v="16846"/>
    <n v="104"/>
    <n v="11230.852500000001"/>
    <n v="104"/>
    <n v="25881"/>
    <m/>
    <m/>
    <m/>
    <m/>
    <m/>
    <m/>
    <m/>
    <m/>
    <n v="104"/>
    <n v="2178071.105"/>
    <n v="104"/>
    <n v="2306000"/>
  </r>
  <r>
    <x v="3"/>
    <s v="University of Central Florida "/>
    <m/>
    <n v="132903"/>
    <x v="0"/>
    <n v="976"/>
    <n v="7204237"/>
    <n v="1012"/>
    <n v="7419917"/>
    <n v="976"/>
    <n v="7062977"/>
    <n v="1012"/>
    <n v="7274430"/>
    <m/>
    <m/>
    <m/>
    <m/>
    <n v="976"/>
    <n v="5204885"/>
    <n v="1012"/>
    <n v="5341214"/>
    <n v="976"/>
    <n v="105942"/>
    <n v="1012"/>
    <n v="363721"/>
    <n v="976"/>
    <n v="265908"/>
    <n v="1012"/>
    <n v="273773"/>
    <n v="976"/>
    <n v="423776"/>
    <n v="1012"/>
    <n v="363721"/>
    <m/>
    <m/>
    <m/>
    <m/>
    <m/>
    <m/>
    <m/>
    <m/>
    <n v="976"/>
    <n v="20267725"/>
    <n v="1012"/>
    <n v="21036776"/>
    <n v="121"/>
    <n v="1386790"/>
    <n v="133"/>
    <n v="1528691"/>
    <n v="121"/>
    <n v="1359599"/>
    <n v="133"/>
    <n v="1498717"/>
    <m/>
    <m/>
    <m/>
    <m/>
    <n v="121"/>
    <n v="843649"/>
    <n v="133"/>
    <n v="926997"/>
    <n v="121"/>
    <n v="20392"/>
    <n v="133"/>
    <n v="74936"/>
    <n v="121"/>
    <n v="52325"/>
    <n v="133"/>
    <n v="57688"/>
    <n v="121"/>
    <n v="81574"/>
    <n v="133"/>
    <n v="74936"/>
    <m/>
    <m/>
    <m/>
    <m/>
    <m/>
    <m/>
    <m/>
    <m/>
    <n v="121"/>
    <n v="3744329"/>
    <n v="133"/>
    <n v="4161965"/>
  </r>
  <r>
    <x v="3"/>
    <s v="University of Florida"/>
    <m/>
    <n v="134130"/>
    <x v="0"/>
    <n v="1297"/>
    <n v="11952183.82"/>
    <n v="1303"/>
    <n v="12624878"/>
    <n v="1297"/>
    <n v="13420654"/>
    <n v="1303"/>
    <n v="14155940"/>
    <m/>
    <m/>
    <m/>
    <m/>
    <n v="1297"/>
    <n v="8046620.3599999994"/>
    <n v="1303"/>
    <n v="8376425"/>
    <m/>
    <m/>
    <n v="0"/>
    <n v="0"/>
    <n v="1297"/>
    <n v="249121.92000000001"/>
    <n v="1303"/>
    <n v="263143"/>
    <n v="1297"/>
    <n v="114589.03"/>
    <n v="1303"/>
    <n v="121039"/>
    <m/>
    <m/>
    <m/>
    <m/>
    <m/>
    <m/>
    <m/>
    <m/>
    <n v="1297"/>
    <n v="33783169.129999995"/>
    <n v="1303"/>
    <n v="35541425"/>
    <n v="690"/>
    <n v="6997049.8899999997"/>
    <n v="689"/>
    <n v="7274706"/>
    <n v="690"/>
    <n v="7162788"/>
    <n v="689"/>
    <n v="7650922"/>
    <m/>
    <m/>
    <m/>
    <m/>
    <n v="690"/>
    <n v="4650601.72"/>
    <n v="689"/>
    <n v="4780662"/>
    <m/>
    <m/>
    <n v="0"/>
    <n v="0"/>
    <n v="690"/>
    <n v="145841.60999999999"/>
    <n v="689"/>
    <n v="151628"/>
    <n v="690"/>
    <n v="67083.38"/>
    <n v="689"/>
    <n v="69745"/>
    <m/>
    <m/>
    <m/>
    <m/>
    <m/>
    <m/>
    <m/>
    <m/>
    <n v="690"/>
    <n v="19023364.600000001"/>
    <n v="689"/>
    <n v="19927663"/>
  </r>
  <r>
    <x v="3"/>
    <s v="University of South Florida "/>
    <m/>
    <n v="137351"/>
    <x v="0"/>
    <n v="1026"/>
    <n v="8274280"/>
    <n v="1056"/>
    <n v="8799263"/>
    <n v="960"/>
    <n v="6893739"/>
    <n v="999"/>
    <n v="7519320"/>
    <m/>
    <m/>
    <m/>
    <m/>
    <n v="1024"/>
    <n v="5030044.5"/>
    <n v="1053"/>
    <n v="5034827"/>
    <n v="1026"/>
    <n v="24050"/>
    <n v="1056"/>
    <n v="25065"/>
    <n v="799"/>
    <n v="104834"/>
    <n v="821"/>
    <n v="107878"/>
    <n v="1026"/>
    <n v="689391"/>
    <n v="1056"/>
    <n v="718470"/>
    <m/>
    <m/>
    <m/>
    <m/>
    <m/>
    <m/>
    <m/>
    <m/>
    <n v="1026"/>
    <n v="21016338.5"/>
    <n v="1056"/>
    <n v="22204823"/>
    <n v="261"/>
    <n v="2445036"/>
    <n v="297"/>
    <n v="2882445"/>
    <n v="241"/>
    <n v="2369528"/>
    <n v="278"/>
    <n v="2768072"/>
    <m/>
    <m/>
    <m/>
    <m/>
    <n v="260"/>
    <n v="1429105"/>
    <n v="296"/>
    <n v="1597550.8"/>
    <n v="261"/>
    <n v="6928"/>
    <n v="297"/>
    <n v="7935.9"/>
    <n v="205"/>
    <n v="39221"/>
    <n v="235"/>
    <n v="44508.2"/>
    <n v="261"/>
    <n v="198583"/>
    <n v="297"/>
    <n v="227511.30000000002"/>
    <m/>
    <m/>
    <m/>
    <m/>
    <m/>
    <m/>
    <m/>
    <m/>
    <n v="261"/>
    <n v="6488401"/>
    <n v="297"/>
    <n v="7528023.2000000002"/>
  </r>
  <r>
    <x v="3"/>
    <s v="Florida Atlantic University "/>
    <m/>
    <n v="133669"/>
    <x v="1"/>
    <n v="722"/>
    <n v="5149831.4620480007"/>
    <n v="719"/>
    <n v="5376637"/>
    <n v="684"/>
    <n v="5339052"/>
    <n v="686"/>
    <n v="6517607"/>
    <m/>
    <m/>
    <m/>
    <m/>
    <n v="722"/>
    <n v="3003528.6888200003"/>
    <n v="719"/>
    <n v="3796831"/>
    <n v="722"/>
    <n v="524671.75635000004"/>
    <n v="719"/>
    <n v="537768"/>
    <n v="559"/>
    <n v="209812.23955839995"/>
    <n v="544"/>
    <n v="88713"/>
    <n v="722"/>
    <n v="299812.4322000001"/>
    <n v="719"/>
    <n v="306472"/>
    <m/>
    <m/>
    <m/>
    <m/>
    <m/>
    <m/>
    <m/>
    <m/>
    <n v="722"/>
    <n v="14526708.5789764"/>
    <n v="719"/>
    <n v="16624028"/>
    <n v="57"/>
    <n v="455024.62672900007"/>
    <n v="55"/>
    <n v="455919"/>
    <n v="54"/>
    <n v="407411"/>
    <n v="51"/>
    <n v="470992"/>
    <m/>
    <m/>
    <m/>
    <m/>
    <n v="57"/>
    <n v="263643.41777999996"/>
    <n v="55"/>
    <n v="325174"/>
    <n v="57"/>
    <n v="46148.169585000003"/>
    <n v="55"/>
    <n v="45878"/>
    <n v="45"/>
    <n v="18487.306644479999"/>
    <n v="41"/>
    <n v="7384"/>
    <n v="57"/>
    <n v="26370.382620000004"/>
    <n v="55"/>
    <n v="26216"/>
    <m/>
    <m/>
    <m/>
    <m/>
    <m/>
    <m/>
    <m/>
    <m/>
    <n v="57"/>
    <n v="1217084.90335848"/>
    <n v="55"/>
    <n v="1331563"/>
  </r>
  <r>
    <x v="3"/>
    <s v="Florida Agricultural &amp; Mechanical University "/>
    <m/>
    <n v="133650"/>
    <x v="2"/>
    <n v="355"/>
    <n v="3364773"/>
    <n v="355"/>
    <n v="3364773"/>
    <n v="331"/>
    <n v="2786081"/>
    <n v="331"/>
    <n v="2786081"/>
    <m/>
    <m/>
    <m/>
    <m/>
    <n v="358"/>
    <n v="2317466"/>
    <n v="358"/>
    <n v="2317466"/>
    <n v="375"/>
    <n v="155551"/>
    <n v="375"/>
    <n v="155551"/>
    <n v="257"/>
    <n v="40550"/>
    <n v="257"/>
    <n v="40550"/>
    <n v="375"/>
    <n v="155793"/>
    <n v="375"/>
    <n v="155793"/>
    <m/>
    <m/>
    <m/>
    <m/>
    <m/>
    <m/>
    <m/>
    <m/>
    <n v="375"/>
    <n v="8820214"/>
    <n v="375"/>
    <n v="8820214"/>
    <n v="206"/>
    <n v="1912388"/>
    <n v="206"/>
    <n v="1912388"/>
    <n v="189"/>
    <n v="1680511"/>
    <n v="189"/>
    <n v="1680511"/>
    <m/>
    <m/>
    <m/>
    <m/>
    <n v="206"/>
    <n v="1261181"/>
    <n v="206"/>
    <n v="1261181"/>
    <n v="215"/>
    <n v="112648"/>
    <n v="215"/>
    <n v="112648"/>
    <n v="154"/>
    <n v="30429"/>
    <n v="154"/>
    <n v="30429"/>
    <n v="215"/>
    <n v="112648"/>
    <n v="215"/>
    <n v="112648"/>
    <m/>
    <m/>
    <m/>
    <m/>
    <m/>
    <m/>
    <m/>
    <m/>
    <n v="215"/>
    <n v="5109805"/>
    <n v="215"/>
    <n v="5109805"/>
  </r>
  <r>
    <x v="3"/>
    <s v="University of North Florida"/>
    <m/>
    <n v="136172"/>
    <x v="2"/>
    <n v="433"/>
    <n v="2752372"/>
    <n v="416"/>
    <n v="2688922"/>
    <n v="393"/>
    <n v="2579313.42"/>
    <n v="383"/>
    <n v="2705336"/>
    <m/>
    <m/>
    <m/>
    <m/>
    <n v="435"/>
    <n v="1453919"/>
    <n v="415"/>
    <n v="1433076"/>
    <m/>
    <m/>
    <n v="0"/>
    <n v="0"/>
    <n v="317"/>
    <n v="44485"/>
    <n v="305"/>
    <n v="34461"/>
    <n v="435"/>
    <n v="68730"/>
    <n v="415"/>
    <n v="134385"/>
    <m/>
    <m/>
    <m/>
    <m/>
    <m/>
    <m/>
    <m/>
    <m/>
    <n v="435"/>
    <n v="6898819.4199999999"/>
    <n v="416"/>
    <n v="6996180"/>
    <n v="57"/>
    <n v="470976"/>
    <n v="34"/>
    <n v="338524"/>
    <n v="53"/>
    <n v="507373"/>
    <n v="32"/>
    <n v="369175"/>
    <m/>
    <m/>
    <m/>
    <m/>
    <n v="57"/>
    <n v="248278"/>
    <n v="34"/>
    <n v="157148"/>
    <m/>
    <m/>
    <n v="0"/>
    <n v="0"/>
    <n v="44"/>
    <n v="8162"/>
    <n v="26"/>
    <n v="4848"/>
    <n v="57"/>
    <n v="9006"/>
    <n v="34"/>
    <n v="11010"/>
    <m/>
    <m/>
    <m/>
    <m/>
    <m/>
    <m/>
    <m/>
    <m/>
    <n v="57"/>
    <n v="1243795"/>
    <n v="34"/>
    <n v="880705"/>
  </r>
  <r>
    <x v="3"/>
    <s v="University of West Florida"/>
    <m/>
    <n v="138354"/>
    <x v="2"/>
    <n v="234"/>
    <n v="1546431"/>
    <n v="233"/>
    <n v="1605883"/>
    <n v="214"/>
    <n v="1521735"/>
    <n v="215"/>
    <n v="1599247"/>
    <m/>
    <m/>
    <m/>
    <m/>
    <n v="234"/>
    <n v="1128480"/>
    <n v="235"/>
    <n v="1149963"/>
    <n v="234"/>
    <n v="11416"/>
    <n v="235"/>
    <n v="42509"/>
    <n v="183"/>
    <n v="21537"/>
    <n v="174"/>
    <n v="20626"/>
    <n v="234"/>
    <n v="43757"/>
    <n v="235"/>
    <n v="194367"/>
    <m/>
    <m/>
    <m/>
    <m/>
    <n v="212"/>
    <n v="27436"/>
    <n v="218"/>
    <n v="29340"/>
    <n v="234"/>
    <n v="4300792"/>
    <n v="235"/>
    <n v="4641935"/>
    <n v="78"/>
    <n v="608664"/>
    <n v="68"/>
    <n v="580088"/>
    <n v="72"/>
    <n v="695621"/>
    <n v="62"/>
    <n v="675770"/>
    <m/>
    <m/>
    <m/>
    <m/>
    <n v="78"/>
    <n v="427359"/>
    <n v="68"/>
    <n v="384969"/>
    <n v="78"/>
    <n v="3806"/>
    <n v="68"/>
    <n v="12354"/>
    <n v="69"/>
    <n v="12631"/>
    <n v="58"/>
    <n v="11450"/>
    <n v="78"/>
    <n v="16845"/>
    <n v="68"/>
    <n v="66431"/>
    <m/>
    <m/>
    <m/>
    <m/>
    <n v="71"/>
    <n v="12584"/>
    <n v="63"/>
    <n v="27066"/>
    <n v="78"/>
    <n v="1777510"/>
    <n v="68"/>
    <n v="1758128"/>
  </r>
  <r>
    <x v="3"/>
    <s v="Florida Gulf Coast University"/>
    <m/>
    <n v="433660"/>
    <x v="3"/>
    <n v="288"/>
    <n v="1827368"/>
    <n v="303"/>
    <n v="1940921"/>
    <n v="282"/>
    <n v="2204526"/>
    <n v="283"/>
    <n v="2613723"/>
    <m/>
    <m/>
    <m/>
    <m/>
    <n v="288"/>
    <n v="1350590"/>
    <n v="303"/>
    <n v="1397712"/>
    <n v="288"/>
    <n v="14400"/>
    <n v="303"/>
    <n v="22725"/>
    <n v="214"/>
    <n v="6906"/>
    <n v="217"/>
    <n v="6976"/>
    <n v="288"/>
    <n v="19296"/>
    <n v="303"/>
    <n v="19089"/>
    <n v="288"/>
    <n v="12960"/>
    <n v="303"/>
    <n v="13635"/>
    <m/>
    <m/>
    <m/>
    <m/>
    <n v="288"/>
    <n v="5436046"/>
    <n v="303"/>
    <n v="6014781"/>
    <n v="60"/>
    <n v="541766"/>
    <n v="70"/>
    <n v="638263"/>
    <n v="60"/>
    <n v="484864"/>
    <n v="68"/>
    <n v="591596"/>
    <m/>
    <m/>
    <m/>
    <m/>
    <n v="60"/>
    <n v="380085"/>
    <n v="70"/>
    <n v="440282"/>
    <n v="60"/>
    <n v="3000"/>
    <n v="70"/>
    <n v="5250"/>
    <n v="51"/>
    <n v="2370"/>
    <n v="57"/>
    <n v="2635"/>
    <n v="60"/>
    <n v="4020"/>
    <n v="70"/>
    <n v="4410"/>
    <n v="60"/>
    <n v="2700"/>
    <n v="70"/>
    <n v="3150"/>
    <m/>
    <m/>
    <m/>
    <m/>
    <n v="60"/>
    <n v="1418805"/>
    <n v="70"/>
    <n v="1685586"/>
  </r>
  <r>
    <x v="3"/>
    <s v="New College of Florida"/>
    <m/>
    <n v="262129"/>
    <x v="5"/>
    <n v="71"/>
    <n v="504984"/>
    <n v="71"/>
    <n v="507682.67793284799"/>
    <n v="71"/>
    <n v="647826"/>
    <n v="71"/>
    <n v="713928"/>
    <m/>
    <m/>
    <m/>
    <m/>
    <n v="71"/>
    <n v="372549"/>
    <n v="71"/>
    <n v="370427.98560903996"/>
    <m/>
    <m/>
    <n v="0"/>
    <n v="0"/>
    <n v="59"/>
    <n v="8809"/>
    <n v="71"/>
    <n v="5800.5758700521601"/>
    <m/>
    <m/>
    <n v="0"/>
    <n v="0"/>
    <m/>
    <m/>
    <m/>
    <m/>
    <m/>
    <m/>
    <m/>
    <m/>
    <n v="71"/>
    <n v="1534168"/>
    <n v="71"/>
    <n v="1597839.2394119401"/>
    <m/>
    <m/>
    <n v="0"/>
    <n v="0"/>
    <m/>
    <m/>
    <n v="0"/>
    <n v="0"/>
    <m/>
    <m/>
    <m/>
    <m/>
    <m/>
    <m/>
    <n v="0"/>
    <n v="0"/>
    <m/>
    <m/>
    <n v="0"/>
    <n v="0"/>
    <m/>
    <m/>
    <n v="0"/>
    <n v="0"/>
    <m/>
    <m/>
    <n v="0"/>
    <n v="0"/>
    <m/>
    <m/>
    <m/>
    <m/>
    <m/>
    <m/>
    <m/>
    <m/>
    <n v="0"/>
    <n v="0"/>
    <n v="0"/>
    <n v="0"/>
  </r>
  <r>
    <x v="3"/>
    <s v="Brevard Community College "/>
    <m/>
    <n v="132693"/>
    <x v="6"/>
    <n v="219"/>
    <n v="1136415"/>
    <n v="243"/>
    <n v="1404309"/>
    <n v="219"/>
    <n v="1158265"/>
    <n v="243"/>
    <n v="1318732"/>
    <m/>
    <m/>
    <m/>
    <m/>
    <n v="219"/>
    <n v="882597"/>
    <n v="243"/>
    <n v="997490"/>
    <m/>
    <m/>
    <m/>
    <m/>
    <n v="219"/>
    <n v="53994"/>
    <n v="243"/>
    <n v="30511"/>
    <n v="219"/>
    <n v="137293"/>
    <n v="243"/>
    <n v="155165"/>
    <m/>
    <m/>
    <m/>
    <m/>
    <m/>
    <m/>
    <m/>
    <m/>
    <n v="219"/>
    <n v="3368564"/>
    <n v="243"/>
    <n v="3906207"/>
    <m/>
    <m/>
    <m/>
    <m/>
    <m/>
    <m/>
    <m/>
    <m/>
    <m/>
    <m/>
    <m/>
    <m/>
    <m/>
    <m/>
    <m/>
    <m/>
    <m/>
    <m/>
    <m/>
    <m/>
    <m/>
    <m/>
    <m/>
    <m/>
    <m/>
    <m/>
    <m/>
    <m/>
    <m/>
    <m/>
    <m/>
    <m/>
    <m/>
    <m/>
    <m/>
    <m/>
    <n v="0"/>
    <n v="0"/>
    <n v="0"/>
    <n v="0"/>
  </r>
  <r>
    <x v="3"/>
    <s v="Broward College "/>
    <s v="Formerly Broward Community College."/>
    <n v="132709"/>
    <x v="6"/>
    <n v="307"/>
    <n v="1765673"/>
    <n v="287"/>
    <n v="1761824"/>
    <n v="341"/>
    <n v="3273788"/>
    <n v="352"/>
    <n v="3380664"/>
    <n v="341"/>
    <n v="62333"/>
    <n v="352"/>
    <n v="66237"/>
    <n v="341"/>
    <n v="1538224"/>
    <n v="352"/>
    <n v="1578546"/>
    <n v="341"/>
    <n v="16523"/>
    <n v="352"/>
    <n v="33015"/>
    <n v="341"/>
    <n v="40768"/>
    <n v="352"/>
    <n v="41838"/>
    <n v="341"/>
    <n v="251978"/>
    <n v="352"/>
    <n v="241423"/>
    <n v="22"/>
    <n v="11196"/>
    <n v="26"/>
    <n v="13350"/>
    <n v="53"/>
    <n v="3816"/>
    <n v="49"/>
    <n v="3528"/>
    <n v="341"/>
    <n v="6964299"/>
    <n v="352"/>
    <n v="7120425"/>
    <n v="1"/>
    <n v="6004"/>
    <n v="1"/>
    <n v="6937"/>
    <n v="1"/>
    <n v="9716"/>
    <n v="1"/>
    <n v="9716"/>
    <n v="1"/>
    <n v="189"/>
    <n v="1"/>
    <n v="196"/>
    <n v="1"/>
    <n v="4663"/>
    <n v="1"/>
    <n v="4663"/>
    <n v="1"/>
    <n v="49"/>
    <n v="1"/>
    <n v="98"/>
    <n v="1"/>
    <n v="124"/>
    <n v="1"/>
    <n v="124"/>
    <n v="1"/>
    <n v="744"/>
    <n v="1"/>
    <n v="713"/>
    <m/>
    <m/>
    <m/>
    <m/>
    <m/>
    <m/>
    <m/>
    <m/>
    <n v="1"/>
    <n v="21489"/>
    <n v="1"/>
    <n v="22447"/>
  </r>
  <r>
    <x v="3"/>
    <s v="College of Central Florida"/>
    <s v="Reclassified: met the criteria for Two-Year 1 in 2008-09, 2009-10 and 2010-11. Formerly Central Florida Community College. "/>
    <n v="132851"/>
    <x v="6"/>
    <n v="114"/>
    <n v="524350"/>
    <n v="121"/>
    <n v="633028"/>
    <n v="114"/>
    <n v="491853"/>
    <n v="121"/>
    <n v="569757"/>
    <m/>
    <m/>
    <m/>
    <m/>
    <n v="114"/>
    <n v="524350"/>
    <n v="105"/>
    <n v="317382"/>
    <m/>
    <m/>
    <m/>
    <m/>
    <n v="114"/>
    <n v="6592"/>
    <n v="121"/>
    <n v="6938"/>
    <m/>
    <m/>
    <m/>
    <m/>
    <m/>
    <m/>
    <m/>
    <m/>
    <m/>
    <m/>
    <m/>
    <m/>
    <n v="114"/>
    <n v="1547145"/>
    <n v="121"/>
    <n v="1527105"/>
    <n v="2"/>
    <n v="9200"/>
    <n v="6"/>
    <n v="39985"/>
    <n v="2"/>
    <n v="8629"/>
    <n v="6"/>
    <n v="29448"/>
    <m/>
    <m/>
    <m/>
    <m/>
    <n v="2"/>
    <n v="9199"/>
    <n v="3"/>
    <n v="13091"/>
    <m/>
    <m/>
    <m/>
    <m/>
    <n v="2"/>
    <n v="116"/>
    <n v="6"/>
    <n v="341"/>
    <m/>
    <m/>
    <m/>
    <m/>
    <m/>
    <m/>
    <m/>
    <m/>
    <m/>
    <m/>
    <m/>
    <m/>
    <n v="2"/>
    <n v="27144"/>
    <n v="6"/>
    <n v="82865"/>
  </r>
  <r>
    <x v="3"/>
    <s v="Chipola College "/>
    <m/>
    <n v="133021"/>
    <x v="11"/>
    <n v="43"/>
    <n v="207402"/>
    <n v="43"/>
    <n v="226446"/>
    <n v="43"/>
    <n v="194880"/>
    <n v="43"/>
    <n v="205876"/>
    <n v="0"/>
    <n v="0"/>
    <n v="0"/>
    <n v="0"/>
    <n v="43"/>
    <n v="159771"/>
    <n v="43"/>
    <n v="159279"/>
    <n v="0"/>
    <n v="0"/>
    <n v="0"/>
    <n v="0"/>
    <n v="43"/>
    <n v="4900"/>
    <n v="43"/>
    <n v="4900"/>
    <n v="43"/>
    <n v="35000"/>
    <n v="43"/>
    <n v="35000"/>
    <n v="0"/>
    <n v="0"/>
    <n v="0"/>
    <n v="0"/>
    <n v="0"/>
    <n v="0"/>
    <n v="0"/>
    <n v="0"/>
    <n v="43"/>
    <n v="601953"/>
    <n v="43"/>
    <n v="631501"/>
    <m/>
    <m/>
    <m/>
    <m/>
    <m/>
    <m/>
    <m/>
    <m/>
    <m/>
    <m/>
    <m/>
    <m/>
    <m/>
    <m/>
    <m/>
    <m/>
    <m/>
    <m/>
    <m/>
    <m/>
    <m/>
    <m/>
    <m/>
    <m/>
    <m/>
    <m/>
    <m/>
    <m/>
    <m/>
    <m/>
    <m/>
    <m/>
    <m/>
    <m/>
    <m/>
    <m/>
    <n v="0"/>
    <n v="0"/>
    <n v="0"/>
    <n v="0"/>
  </r>
  <r>
    <x v="3"/>
    <s v="Daytona State College "/>
    <s v="Formerly Daytona Beacah Community College."/>
    <n v="133386"/>
    <x v="11"/>
    <n v="251"/>
    <n v="1613093"/>
    <n v="282"/>
    <n v="1988366"/>
    <n v="251"/>
    <n v="1453282"/>
    <n v="283"/>
    <n v="1714131"/>
    <n v="251"/>
    <n v="514365"/>
    <n v="283"/>
    <n v="50202"/>
    <n v="251"/>
    <n v="1214473"/>
    <n v="283"/>
    <n v="1422397"/>
    <n v="0"/>
    <n v="0"/>
    <n v="0"/>
    <n v="0"/>
    <n v="251"/>
    <n v="108588"/>
    <n v="283"/>
    <n v="127180"/>
    <n v="0"/>
    <n v="0"/>
    <n v="0"/>
    <n v="0"/>
    <n v="9"/>
    <n v="12799"/>
    <n v="19"/>
    <n v="30291"/>
    <n v="0"/>
    <n v="0"/>
    <n v="0"/>
    <n v="0"/>
    <n v="251"/>
    <n v="4916600"/>
    <n v="283"/>
    <n v="5332567"/>
    <n v="23"/>
    <n v="190501"/>
    <n v="24"/>
    <n v="219500"/>
    <n v="23"/>
    <n v="133170"/>
    <n v="24"/>
    <n v="145368"/>
    <n v="23"/>
    <n v="60847"/>
    <n v="24"/>
    <n v="5474"/>
    <n v="23"/>
    <n v="143666"/>
    <n v="24"/>
    <n v="155084"/>
    <n v="0"/>
    <n v="0"/>
    <n v="0"/>
    <n v="0"/>
    <n v="23"/>
    <n v="12845"/>
    <n v="24"/>
    <n v="13868"/>
    <n v="0"/>
    <n v="0"/>
    <n v="0"/>
    <n v="0"/>
    <n v="3"/>
    <n v="1325"/>
    <n v="2"/>
    <n v="3753"/>
    <n v="0"/>
    <n v="0"/>
    <n v="0"/>
    <n v="0"/>
    <n v="23"/>
    <n v="542354"/>
    <n v="24"/>
    <n v="543047"/>
  </r>
  <r>
    <x v="3"/>
    <s v="Edison State College "/>
    <s v="Reclassified: met the criteria for Two-Year with Bachelor's in 2008-09, 2009-10 and 2010-11"/>
    <n v="133508"/>
    <x v="11"/>
    <n v="116"/>
    <n v="641693"/>
    <n v="138"/>
    <n v="821808"/>
    <n v="116"/>
    <n v="633384"/>
    <n v="138"/>
    <n v="767155"/>
    <n v="116"/>
    <n v="30206"/>
    <n v="138"/>
    <n v="33657"/>
    <n v="116"/>
    <n v="498371"/>
    <n v="138"/>
    <n v="583736"/>
    <n v="116"/>
    <n v="175896"/>
    <n v="138"/>
    <n v="206024"/>
    <n v="116"/>
    <n v="4365"/>
    <n v="138"/>
    <n v="4818"/>
    <n v="116"/>
    <n v="69055"/>
    <n v="138"/>
    <n v="80883"/>
    <n v="5"/>
    <n v="2000"/>
    <n v="4"/>
    <n v="2612"/>
    <m/>
    <m/>
    <m/>
    <m/>
    <n v="116"/>
    <n v="2054970"/>
    <n v="138"/>
    <n v="2500693"/>
    <m/>
    <m/>
    <n v="2"/>
    <n v="15117"/>
    <m/>
    <m/>
    <n v="2"/>
    <n v="11280"/>
    <m/>
    <m/>
    <n v="2"/>
    <n v="622"/>
    <m/>
    <m/>
    <n v="2"/>
    <n v="10738"/>
    <m/>
    <m/>
    <n v="2"/>
    <n v="3789"/>
    <m/>
    <m/>
    <n v="2"/>
    <n v="69"/>
    <m/>
    <m/>
    <n v="2"/>
    <n v="1487"/>
    <m/>
    <m/>
    <m/>
    <m/>
    <m/>
    <m/>
    <m/>
    <m/>
    <n v="0"/>
    <n v="0"/>
    <n v="2"/>
    <n v="43102"/>
  </r>
  <r>
    <x v="3"/>
    <s v="Florida State College at Jacksonville"/>
    <s v="Formerly Florida Community College at Jacksonville. Met the criteria for Two-Year with Bachelor's in 2009-10 and 2010-11."/>
    <n v="133702"/>
    <x v="6"/>
    <n v="384"/>
    <n v="1886409"/>
    <n v="395"/>
    <n v="2130388"/>
    <n v="384"/>
    <n v="2649600"/>
    <n v="395"/>
    <n v="2870070"/>
    <n v="384"/>
    <n v="47160"/>
    <n v="395"/>
    <n v="49677"/>
    <n v="384"/>
    <n v="1387600"/>
    <n v="395"/>
    <n v="1461656"/>
    <n v="384"/>
    <n v="29022"/>
    <n v="395"/>
    <n v="30570"/>
    <n v="384"/>
    <n v="44622"/>
    <n v="395"/>
    <n v="47003"/>
    <n v="384"/>
    <n v="34560"/>
    <n v="395"/>
    <n v="35550"/>
    <n v="82"/>
    <n v="73000"/>
    <n v="82"/>
    <n v="91000"/>
    <n v="0"/>
    <n v="0"/>
    <n v="0"/>
    <n v="0"/>
    <n v="384"/>
    <n v="6151973"/>
    <n v="395"/>
    <n v="6715914"/>
    <m/>
    <m/>
    <m/>
    <m/>
    <m/>
    <m/>
    <m/>
    <m/>
    <m/>
    <m/>
    <m/>
    <m/>
    <m/>
    <m/>
    <m/>
    <m/>
    <m/>
    <m/>
    <m/>
    <m/>
    <m/>
    <m/>
    <m/>
    <m/>
    <m/>
    <m/>
    <m/>
    <m/>
    <m/>
    <m/>
    <m/>
    <m/>
    <m/>
    <m/>
    <m/>
    <m/>
    <n v="0"/>
    <n v="0"/>
    <n v="0"/>
    <n v="0"/>
  </r>
  <r>
    <x v="3"/>
    <s v="Florida Keys Community College "/>
    <m/>
    <n v="133960"/>
    <x v="8"/>
    <n v="20"/>
    <n v="70009"/>
    <n v="26"/>
    <n v="95434"/>
    <n v="20"/>
    <n v="84047"/>
    <n v="26"/>
    <n v="94056"/>
    <m/>
    <m/>
    <m/>
    <m/>
    <n v="20"/>
    <n v="70009"/>
    <n v="26"/>
    <n v="65932"/>
    <m/>
    <m/>
    <m/>
    <m/>
    <n v="20"/>
    <n v="1636"/>
    <n v="26"/>
    <n v="2082"/>
    <m/>
    <m/>
    <m/>
    <m/>
    <m/>
    <m/>
    <m/>
    <m/>
    <m/>
    <m/>
    <m/>
    <m/>
    <n v="20"/>
    <n v="225701"/>
    <n v="26"/>
    <n v="257504"/>
    <n v="2"/>
    <n v="10556"/>
    <n v="2"/>
    <n v="14587"/>
    <n v="2"/>
    <n v="6976"/>
    <n v="2"/>
    <n v="7804"/>
    <m/>
    <m/>
    <m/>
    <m/>
    <n v="2"/>
    <n v="10556"/>
    <n v="2"/>
    <n v="9042"/>
    <m/>
    <m/>
    <m/>
    <m/>
    <n v="2"/>
    <n v="308"/>
    <n v="2"/>
    <n v="308"/>
    <m/>
    <m/>
    <m/>
    <m/>
    <m/>
    <m/>
    <m/>
    <m/>
    <m/>
    <m/>
    <m/>
    <m/>
    <n v="2"/>
    <n v="28396"/>
    <n v="2"/>
    <n v="31741"/>
  </r>
  <r>
    <x v="3"/>
    <s v="Gulf Coast Community College "/>
    <s v="Met the criteria for Two-Year 1 in 2009-10 and 2010-11."/>
    <n v="134343"/>
    <x v="7"/>
    <n v="78"/>
    <n v="373274"/>
    <n v="76"/>
    <n v="378642"/>
    <n v="72"/>
    <n v="371472"/>
    <n v="76"/>
    <n v="421630"/>
    <m/>
    <m/>
    <m/>
    <m/>
    <n v="78"/>
    <n v="282336"/>
    <n v="76"/>
    <n v="268711"/>
    <m/>
    <m/>
    <m/>
    <m/>
    <n v="78"/>
    <n v="875"/>
    <n v="76"/>
    <n v="681"/>
    <n v="78"/>
    <n v="14762"/>
    <n v="76"/>
    <n v="14050"/>
    <m/>
    <m/>
    <m/>
    <m/>
    <m/>
    <m/>
    <m/>
    <m/>
    <n v="78"/>
    <n v="1042719"/>
    <n v="76"/>
    <n v="1083714"/>
    <n v="36"/>
    <n v="238074"/>
    <n v="35"/>
    <n v="250907"/>
    <n v="36"/>
    <n v="131179"/>
    <n v="34"/>
    <n v="125988"/>
    <m/>
    <m/>
    <m/>
    <m/>
    <n v="36"/>
    <n v="179356"/>
    <n v="35"/>
    <n v="175465"/>
    <m/>
    <m/>
    <m/>
    <m/>
    <n v="36"/>
    <n v="556"/>
    <n v="35"/>
    <n v="445"/>
    <n v="36"/>
    <n v="9392"/>
    <n v="35"/>
    <n v="9175"/>
    <m/>
    <m/>
    <m/>
    <m/>
    <m/>
    <m/>
    <m/>
    <m/>
    <n v="36"/>
    <n v="558557"/>
    <n v="35"/>
    <n v="561980"/>
  </r>
  <r>
    <x v="3"/>
    <s v="Hillsborough Community College "/>
    <m/>
    <n v="134495"/>
    <x v="6"/>
    <n v="264"/>
    <n v="1467388"/>
    <n v="252"/>
    <n v="1384789"/>
    <n v="268"/>
    <n v="1551831"/>
    <n v="292"/>
    <n v="1821140"/>
    <n v="279"/>
    <n v="26534"/>
    <n v="292"/>
    <n v="27826"/>
    <n v="276"/>
    <n v="1269040"/>
    <n v="269"/>
    <n v="1193335"/>
    <n v="0"/>
    <n v="0"/>
    <n v="0"/>
    <n v="0"/>
    <n v="279"/>
    <n v="28220"/>
    <n v="292"/>
    <n v="29366"/>
    <n v="282"/>
    <n v="111003"/>
    <n v="292"/>
    <n v="116843"/>
    <n v="0"/>
    <n v="0"/>
    <n v="0"/>
    <n v="0"/>
    <n v="0"/>
    <n v="0"/>
    <n v="0"/>
    <n v="0"/>
    <n v="282"/>
    <n v="4454016"/>
    <n v="292"/>
    <n v="4573299"/>
    <m/>
    <m/>
    <m/>
    <m/>
    <m/>
    <m/>
    <m/>
    <m/>
    <m/>
    <m/>
    <m/>
    <m/>
    <m/>
    <m/>
    <m/>
    <m/>
    <m/>
    <m/>
    <m/>
    <m/>
    <m/>
    <m/>
    <m/>
    <m/>
    <m/>
    <m/>
    <m/>
    <m/>
    <m/>
    <m/>
    <m/>
    <m/>
    <m/>
    <m/>
    <m/>
    <m/>
    <n v="0"/>
    <n v="0"/>
    <n v="0"/>
    <n v="0"/>
  </r>
  <r>
    <x v="3"/>
    <s v="Indian River State College "/>
    <s v="Formerly Indian River Community College. Met the criteria for Two-Year with Bachelor's in 2009-10 and 2010-11."/>
    <n v="134608"/>
    <x v="6"/>
    <n v="160"/>
    <n v="1124833"/>
    <n v="167"/>
    <n v="1324940"/>
    <n v="160"/>
    <n v="835200"/>
    <n v="167"/>
    <n v="890110"/>
    <n v="160"/>
    <n v="24055"/>
    <n v="167"/>
    <n v="23500"/>
    <n v="160"/>
    <n v="875863"/>
    <n v="167"/>
    <n v="941250"/>
    <m/>
    <m/>
    <m/>
    <m/>
    <n v="160"/>
    <n v="43988"/>
    <n v="167"/>
    <n v="39600"/>
    <n v="160"/>
    <n v="45820"/>
    <n v="167"/>
    <n v="49190"/>
    <m/>
    <m/>
    <m/>
    <m/>
    <m/>
    <m/>
    <m/>
    <m/>
    <n v="160"/>
    <n v="2949759"/>
    <n v="167"/>
    <n v="3268590"/>
    <n v="19"/>
    <n v="141574"/>
    <n v="18"/>
    <n v="154830"/>
    <n v="19"/>
    <n v="99180"/>
    <n v="18"/>
    <n v="95940"/>
    <n v="19"/>
    <n v="2979"/>
    <n v="18"/>
    <n v="2700"/>
    <n v="19"/>
    <n v="108564"/>
    <n v="18"/>
    <n v="109990"/>
    <m/>
    <m/>
    <m/>
    <m/>
    <n v="19"/>
    <n v="5452"/>
    <n v="18"/>
    <n v="4630"/>
    <n v="19"/>
    <n v="5690"/>
    <n v="18"/>
    <n v="5730"/>
    <m/>
    <m/>
    <m/>
    <m/>
    <m/>
    <m/>
    <m/>
    <m/>
    <n v="19"/>
    <n v="363439"/>
    <n v="18"/>
    <n v="373820"/>
  </r>
  <r>
    <x v="3"/>
    <s v="Lake City Community College "/>
    <m/>
    <n v="135160"/>
    <x v="7"/>
    <n v="56"/>
    <n v="257241"/>
    <n v="44"/>
    <n v="258262"/>
    <n v="45"/>
    <n v="223879"/>
    <n v="39"/>
    <n v="217244"/>
    <n v="45"/>
    <n v="11473"/>
    <n v="39"/>
    <n v="10020"/>
    <n v="47"/>
    <n v="164397"/>
    <n v="42"/>
    <n v="165491"/>
    <n v="47"/>
    <n v="3223"/>
    <n v="46"/>
    <n v="3201"/>
    <n v="45"/>
    <n v="3777"/>
    <n v="39"/>
    <n v="3623"/>
    <n v="47"/>
    <n v="25573"/>
    <n v="46"/>
    <n v="25399"/>
    <m/>
    <m/>
    <m/>
    <m/>
    <m/>
    <m/>
    <m/>
    <m/>
    <n v="56"/>
    <n v="689563"/>
    <n v="46"/>
    <n v="683240"/>
    <n v="18"/>
    <n v="87703"/>
    <n v="15"/>
    <n v="76858"/>
    <n v="16"/>
    <n v="74862"/>
    <n v="14"/>
    <n v="79723"/>
    <n v="16"/>
    <n v="4090"/>
    <n v="14"/>
    <n v="4048"/>
    <n v="16"/>
    <n v="58450"/>
    <n v="15"/>
    <n v="55232"/>
    <n v="16"/>
    <n v="1146"/>
    <n v="15"/>
    <n v="1203"/>
    <n v="16"/>
    <n v="1300"/>
    <n v="14"/>
    <n v="1303"/>
    <n v="16"/>
    <n v="9092"/>
    <n v="15"/>
    <n v="9551"/>
    <m/>
    <m/>
    <m/>
    <m/>
    <m/>
    <m/>
    <m/>
    <m/>
    <n v="18"/>
    <n v="236643"/>
    <n v="15"/>
    <n v="227918"/>
  </r>
  <r>
    <x v="3"/>
    <s v="Lake-Sumter Community College "/>
    <m/>
    <n v="135188"/>
    <x v="7"/>
    <n v="74"/>
    <n v="423678"/>
    <n v="78"/>
    <n v="439647"/>
    <n v="67"/>
    <n v="382561"/>
    <n v="74"/>
    <n v="397249"/>
    <n v="0"/>
    <n v="0"/>
    <n v="0"/>
    <n v="0"/>
    <n v="74"/>
    <n v="281841"/>
    <n v="78"/>
    <n v="306165"/>
    <n v="74"/>
    <n v="18500"/>
    <n v="78"/>
    <n v="25025"/>
    <n v="67"/>
    <n v="6171"/>
    <n v="74"/>
    <n v="7771"/>
    <n v="74"/>
    <n v="21500"/>
    <n v="78"/>
    <n v="22575"/>
    <n v="4"/>
    <n v="3043"/>
    <n v="5"/>
    <n v="5112"/>
    <n v="0"/>
    <n v="0"/>
    <n v="13"/>
    <n v="9377"/>
    <n v="74"/>
    <n v="1137294"/>
    <n v="78"/>
    <n v="1212921"/>
    <m/>
    <m/>
    <m/>
    <m/>
    <m/>
    <m/>
    <m/>
    <m/>
    <m/>
    <m/>
    <m/>
    <m/>
    <m/>
    <m/>
    <m/>
    <m/>
    <m/>
    <m/>
    <m/>
    <m/>
    <m/>
    <m/>
    <m/>
    <m/>
    <m/>
    <m/>
    <m/>
    <m/>
    <m/>
    <m/>
    <m/>
    <m/>
    <m/>
    <m/>
    <m/>
    <m/>
    <n v="0"/>
    <n v="0"/>
    <n v="0"/>
    <n v="0"/>
  </r>
  <r>
    <x v="3"/>
    <s v="State College of Florida, Manatee-Sarasota"/>
    <m/>
    <n v="135391"/>
    <x v="6"/>
    <n v="126"/>
    <n v="637466"/>
    <n v="129"/>
    <n v="730174"/>
    <n v="126"/>
    <n v="653688"/>
    <n v="129"/>
    <n v="735687"/>
    <n v="126"/>
    <n v="13591"/>
    <n v="129"/>
    <n v="14237"/>
    <n v="126"/>
    <n v="495088"/>
    <n v="129"/>
    <n v="518647"/>
    <m/>
    <m/>
    <m/>
    <m/>
    <n v="126"/>
    <n v="38830"/>
    <n v="129"/>
    <n v="40678"/>
    <m/>
    <m/>
    <m/>
    <m/>
    <m/>
    <m/>
    <m/>
    <m/>
    <m/>
    <m/>
    <m/>
    <m/>
    <n v="126"/>
    <n v="1838663"/>
    <n v="129"/>
    <n v="2039423"/>
    <n v="4"/>
    <n v="33155"/>
    <n v="4"/>
    <n v="37429"/>
    <n v="4"/>
    <n v="20752"/>
    <n v="4"/>
    <n v="22812"/>
    <n v="4"/>
    <n v="707"/>
    <n v="4"/>
    <n v="730"/>
    <n v="4"/>
    <n v="25750"/>
    <n v="4"/>
    <n v="26586"/>
    <m/>
    <m/>
    <m/>
    <m/>
    <n v="4"/>
    <n v="2020"/>
    <n v="4"/>
    <n v="2085"/>
    <m/>
    <m/>
    <m/>
    <m/>
    <m/>
    <m/>
    <m/>
    <m/>
    <m/>
    <m/>
    <m/>
    <m/>
    <n v="4"/>
    <n v="82384"/>
    <n v="4"/>
    <n v="89642"/>
  </r>
  <r>
    <x v="3"/>
    <s v="Miami Dade College "/>
    <m/>
    <n v="135717"/>
    <x v="11"/>
    <n v="648"/>
    <n v="4253361"/>
    <n v="651"/>
    <n v="4714965"/>
    <n v="632"/>
    <n v="4166206"/>
    <n v="632"/>
    <n v="4271354"/>
    <n v="0"/>
    <n v="0"/>
    <n v="0"/>
    <n v="0"/>
    <n v="647"/>
    <n v="3254093"/>
    <n v="650"/>
    <n v="3287439"/>
    <n v="663"/>
    <n v="104313"/>
    <n v="658"/>
    <n v="258101"/>
    <n v="648"/>
    <n v="191580"/>
    <n v="650"/>
    <n v="193239"/>
    <n v="663"/>
    <n v="282676"/>
    <n v="658"/>
    <n v="530596"/>
    <n v="0"/>
    <n v="0"/>
    <n v="0"/>
    <n v="0"/>
    <n v="0"/>
    <n v="0"/>
    <n v="0"/>
    <n v="0"/>
    <n v="663"/>
    <n v="12252229"/>
    <n v="658"/>
    <n v="13255694"/>
    <m/>
    <m/>
    <m/>
    <m/>
    <m/>
    <m/>
    <m/>
    <m/>
    <m/>
    <m/>
    <m/>
    <m/>
    <m/>
    <m/>
    <m/>
    <m/>
    <m/>
    <m/>
    <m/>
    <m/>
    <m/>
    <m/>
    <m/>
    <m/>
    <m/>
    <m/>
    <m/>
    <m/>
    <m/>
    <m/>
    <m/>
    <m/>
    <m/>
    <m/>
    <m/>
    <m/>
    <n v="0"/>
    <n v="0"/>
    <n v="0"/>
    <n v="0"/>
  </r>
  <r>
    <x v="3"/>
    <s v="North Florida Community College "/>
    <m/>
    <n v="136145"/>
    <x v="8"/>
    <n v="22"/>
    <n v="103355"/>
    <n v="22"/>
    <n v="106331"/>
    <n v="22"/>
    <n v="90437"/>
    <n v="22"/>
    <n v="92972"/>
    <n v="22"/>
    <n v="3997"/>
    <n v="22"/>
    <n v="3835"/>
    <n v="22"/>
    <n v="75526"/>
    <n v="22"/>
    <n v="78309"/>
    <m/>
    <m/>
    <m/>
    <m/>
    <n v="22"/>
    <n v="2166"/>
    <n v="22"/>
    <n v="1880"/>
    <m/>
    <m/>
    <m/>
    <m/>
    <m/>
    <m/>
    <m/>
    <m/>
    <n v="22"/>
    <n v="292"/>
    <n v="22"/>
    <n v="265"/>
    <n v="22"/>
    <n v="275773"/>
    <n v="22"/>
    <n v="283592"/>
    <n v="5"/>
    <n v="19058"/>
    <n v="6"/>
    <n v="24884"/>
    <n v="5"/>
    <n v="16105"/>
    <n v="6"/>
    <n v="18177"/>
    <n v="5"/>
    <n v="806"/>
    <n v="6"/>
    <n v="1008"/>
    <n v="5"/>
    <n v="14621"/>
    <n v="6"/>
    <n v="20377"/>
    <m/>
    <m/>
    <m/>
    <m/>
    <n v="5"/>
    <n v="442"/>
    <n v="6"/>
    <n v="498"/>
    <m/>
    <m/>
    <m/>
    <m/>
    <m/>
    <m/>
    <m/>
    <m/>
    <n v="5"/>
    <n v="60"/>
    <n v="6"/>
    <n v="70"/>
    <n v="5"/>
    <n v="51092"/>
    <n v="6"/>
    <n v="65014"/>
  </r>
  <r>
    <x v="3"/>
    <s v="Northwest Florida State College"/>
    <m/>
    <n v="136233"/>
    <x v="11"/>
    <n v="90"/>
    <n v="491507"/>
    <n v="89"/>
    <n v="482767"/>
    <n v="90"/>
    <n v="451884"/>
    <n v="89"/>
    <n v="420156"/>
    <m/>
    <m/>
    <m/>
    <m/>
    <n v="90"/>
    <n v="376049"/>
    <n v="89"/>
    <n v="369670"/>
    <m/>
    <m/>
    <m/>
    <m/>
    <n v="90"/>
    <n v="27952"/>
    <n v="89"/>
    <n v="27473"/>
    <m/>
    <m/>
    <m/>
    <m/>
    <m/>
    <m/>
    <m/>
    <m/>
    <m/>
    <m/>
    <m/>
    <m/>
    <n v="90"/>
    <n v="1347392"/>
    <n v="89"/>
    <n v="1300066"/>
    <n v="5"/>
    <n v="39266"/>
    <n v="5"/>
    <n v="39266"/>
    <n v="5"/>
    <n v="29400"/>
    <n v="5"/>
    <n v="27900"/>
    <m/>
    <m/>
    <m/>
    <m/>
    <n v="5"/>
    <n v="29141"/>
    <n v="5"/>
    <n v="29141"/>
    <m/>
    <m/>
    <m/>
    <m/>
    <n v="5"/>
    <n v="2167"/>
    <n v="5"/>
    <n v="2167"/>
    <m/>
    <m/>
    <m/>
    <m/>
    <m/>
    <m/>
    <m/>
    <m/>
    <m/>
    <m/>
    <m/>
    <m/>
    <n v="5"/>
    <n v="99974"/>
    <n v="5"/>
    <n v="98474"/>
  </r>
  <r>
    <x v="3"/>
    <s v="Palm Beach State College "/>
    <s v="Formerly Palm Beach Community College."/>
    <n v="136358"/>
    <x v="6"/>
    <n v="250"/>
    <n v="1439616"/>
    <n v="259"/>
    <n v="1573843"/>
    <n v="250"/>
    <n v="1230003"/>
    <n v="259"/>
    <n v="1293036"/>
    <n v="250"/>
    <n v="86962"/>
    <n v="259"/>
    <n v="98983"/>
    <n v="250"/>
    <n v="1089884"/>
    <n v="259"/>
    <n v="1119158"/>
    <n v="250"/>
    <n v="284937"/>
    <n v="259"/>
    <n v="48951"/>
    <n v="250"/>
    <n v="41080"/>
    <n v="259"/>
    <n v="6819"/>
    <n v="250"/>
    <n v="284937"/>
    <n v="259"/>
    <n v="138728"/>
    <n v="11"/>
    <n v="3734"/>
    <n v="118"/>
    <n v="45832"/>
    <m/>
    <m/>
    <m/>
    <m/>
    <n v="250"/>
    <n v="4461153"/>
    <n v="259"/>
    <n v="4325350"/>
    <m/>
    <m/>
    <n v="24"/>
    <n v="115215"/>
    <m/>
    <m/>
    <n v="24"/>
    <n v="117888"/>
    <m/>
    <m/>
    <n v="24"/>
    <n v="7460"/>
    <m/>
    <m/>
    <n v="24"/>
    <n v="85077"/>
    <m/>
    <m/>
    <n v="24"/>
    <n v="4536"/>
    <m/>
    <m/>
    <n v="24"/>
    <n v="2479"/>
    <m/>
    <m/>
    <n v="24"/>
    <n v="12855"/>
    <m/>
    <m/>
    <n v="0"/>
    <n v="0"/>
    <m/>
    <m/>
    <m/>
    <m/>
    <n v="0"/>
    <n v="0"/>
    <n v="24"/>
    <n v="345510"/>
  </r>
  <r>
    <x v="3"/>
    <s v="Pasco-Hernando Community College "/>
    <m/>
    <n v="136400"/>
    <x v="6"/>
    <n v="103"/>
    <n v="536234"/>
    <n v="111"/>
    <n v="631944"/>
    <n v="104"/>
    <n v="337127"/>
    <n v="111"/>
    <n v="397683"/>
    <m/>
    <m/>
    <m/>
    <m/>
    <n v="104"/>
    <n v="408747"/>
    <n v="112"/>
    <n v="445678"/>
    <n v="104"/>
    <n v="37402"/>
    <n v="112"/>
    <n v="40781"/>
    <n v="104"/>
    <n v="15196"/>
    <n v="112"/>
    <n v="13563"/>
    <n v="104"/>
    <n v="32059"/>
    <n v="112"/>
    <n v="34955"/>
    <m/>
    <m/>
    <m/>
    <m/>
    <m/>
    <m/>
    <m/>
    <m/>
    <n v="104"/>
    <n v="1366765"/>
    <n v="112"/>
    <n v="1564604"/>
    <n v="5"/>
    <n v="20893"/>
    <n v="6"/>
    <n v="28504"/>
    <n v="5"/>
    <n v="24744"/>
    <n v="6"/>
    <n v="31272"/>
    <m/>
    <m/>
    <m/>
    <m/>
    <n v="5"/>
    <n v="16226"/>
    <n v="6"/>
    <n v="20246"/>
    <n v="5"/>
    <n v="1485"/>
    <n v="6"/>
    <n v="1853"/>
    <n v="5"/>
    <n v="603"/>
    <n v="5"/>
    <n v="616"/>
    <n v="5"/>
    <n v="1273"/>
    <n v="6"/>
    <n v="1588"/>
    <m/>
    <m/>
    <m/>
    <m/>
    <m/>
    <m/>
    <m/>
    <m/>
    <n v="5"/>
    <n v="65224"/>
    <n v="6"/>
    <n v="84079"/>
  </r>
  <r>
    <x v="3"/>
    <s v="Pensacola State College "/>
    <s v="Formerly Pensacola Junior College."/>
    <n v="136473"/>
    <x v="6"/>
    <n v="151"/>
    <n v="728513"/>
    <n v="144"/>
    <n v="768919"/>
    <n v="151"/>
    <n v="794706"/>
    <n v="144"/>
    <n v="806417"/>
    <m/>
    <m/>
    <m/>
    <m/>
    <n v="151"/>
    <n v="554762"/>
    <n v="144"/>
    <n v="536283"/>
    <m/>
    <m/>
    <m/>
    <m/>
    <n v="151"/>
    <n v="32919"/>
    <n v="144"/>
    <n v="16767"/>
    <m/>
    <m/>
    <m/>
    <m/>
    <m/>
    <m/>
    <m/>
    <m/>
    <m/>
    <m/>
    <m/>
    <m/>
    <n v="151"/>
    <n v="2110900"/>
    <n v="144"/>
    <n v="2128386"/>
    <n v="45"/>
    <n v="266078"/>
    <n v="48"/>
    <n v="324189"/>
    <n v="45"/>
    <n v="216468"/>
    <n v="47"/>
    <n v="245412"/>
    <m/>
    <m/>
    <m/>
    <m/>
    <n v="44"/>
    <n v="195698"/>
    <n v="47"/>
    <n v="218290"/>
    <m/>
    <m/>
    <m/>
    <m/>
    <n v="45"/>
    <n v="9842"/>
    <n v="47"/>
    <n v="5471"/>
    <m/>
    <m/>
    <m/>
    <m/>
    <m/>
    <m/>
    <m/>
    <m/>
    <m/>
    <m/>
    <m/>
    <m/>
    <n v="45"/>
    <n v="688086"/>
    <n v="48"/>
    <n v="793362"/>
  </r>
  <r>
    <x v="3"/>
    <s v="Polk State College "/>
    <s v="Formerly Polk Community College."/>
    <n v="136516"/>
    <x v="6"/>
    <n v="111"/>
    <n v="546101"/>
    <n v="113"/>
    <n v="611883"/>
    <n v="111"/>
    <n v="600012"/>
    <n v="113"/>
    <n v="631500"/>
    <n v="111"/>
    <n v="21387"/>
    <n v="113"/>
    <n v="19914"/>
    <n v="111"/>
    <n v="418226"/>
    <n v="113"/>
    <n v="435273"/>
    <m/>
    <m/>
    <m/>
    <m/>
    <n v="111"/>
    <n v="14467"/>
    <n v="113"/>
    <n v="22094"/>
    <n v="111"/>
    <n v="59129"/>
    <n v="113"/>
    <n v="61450"/>
    <n v="12"/>
    <n v="18728"/>
    <n v="14"/>
    <n v="26805"/>
    <m/>
    <m/>
    <n v="113"/>
    <n v="20828"/>
    <n v="111"/>
    <n v="1678050"/>
    <n v="113"/>
    <n v="1829747"/>
    <n v="14"/>
    <n v="86059"/>
    <n v="12"/>
    <n v="83936"/>
    <n v="14"/>
    <n v="80298"/>
    <n v="12"/>
    <n v="73632"/>
    <n v="14"/>
    <n v="3377"/>
    <n v="12"/>
    <n v="2743"/>
    <n v="14"/>
    <n v="66225"/>
    <n v="12"/>
    <n v="59952"/>
    <m/>
    <m/>
    <m/>
    <m/>
    <n v="14"/>
    <n v="2220"/>
    <n v="12"/>
    <n v="3065"/>
    <n v="14"/>
    <n v="9338"/>
    <n v="12"/>
    <n v="8464"/>
    <n v="2"/>
    <n v="1488"/>
    <n v="1"/>
    <n v="1760"/>
    <m/>
    <m/>
    <n v="12"/>
    <n v="2212"/>
    <n v="14"/>
    <n v="249005"/>
    <n v="12"/>
    <n v="235764"/>
  </r>
  <r>
    <x v="3"/>
    <s v="St. Johns River Community College "/>
    <s v="Met the criteria for Two-Year 1 in  2010-11."/>
    <n v="137281"/>
    <x v="7"/>
    <n v="82"/>
    <n v="411375"/>
    <n v="75"/>
    <n v="411786"/>
    <n v="75"/>
    <n v="313391"/>
    <n v="69"/>
    <n v="321670"/>
    <m/>
    <m/>
    <m/>
    <m/>
    <n v="82"/>
    <n v="305952"/>
    <n v="82"/>
    <n v="307328"/>
    <m/>
    <m/>
    <m/>
    <m/>
    <n v="82"/>
    <n v="8733"/>
    <n v="75"/>
    <n v="8775"/>
    <m/>
    <m/>
    <m/>
    <m/>
    <n v="0"/>
    <n v="0"/>
    <n v="0"/>
    <n v="0"/>
    <m/>
    <m/>
    <m/>
    <m/>
    <n v="82"/>
    <n v="1039451"/>
    <n v="82"/>
    <n v="1049559"/>
    <n v="27"/>
    <n v="138665"/>
    <n v="23"/>
    <n v="128208"/>
    <n v="26"/>
    <n v="112453"/>
    <n v="23"/>
    <n v="108727"/>
    <m/>
    <m/>
    <m/>
    <m/>
    <n v="27"/>
    <n v="102560"/>
    <n v="23"/>
    <n v="94756"/>
    <m/>
    <m/>
    <m/>
    <m/>
    <n v="27"/>
    <n v="3142"/>
    <n v="23"/>
    <n v="2937"/>
    <m/>
    <m/>
    <m/>
    <m/>
    <m/>
    <m/>
    <n v="0"/>
    <n v="0"/>
    <m/>
    <m/>
    <m/>
    <m/>
    <n v="27"/>
    <n v="356820"/>
    <n v="23"/>
    <n v="334628"/>
  </r>
  <r>
    <x v="3"/>
    <s v="St. Petersburg College "/>
    <m/>
    <n v="137078"/>
    <x v="11"/>
    <n v="258"/>
    <n v="1561585"/>
    <n v="271"/>
    <n v="1799817"/>
    <n v="258"/>
    <n v="1925179"/>
    <n v="271"/>
    <n v="2070490"/>
    <n v="0"/>
    <n v="0"/>
    <n v="0"/>
    <n v="0"/>
    <n v="258"/>
    <n v="1182991"/>
    <n v="271"/>
    <n v="1288308"/>
    <n v="258"/>
    <n v="11397"/>
    <n v="271"/>
    <n v="13572"/>
    <n v="258"/>
    <n v="78286"/>
    <n v="271"/>
    <n v="48058"/>
    <n v="258"/>
    <n v="73396"/>
    <n v="271"/>
    <n v="89681"/>
    <n v="258"/>
    <n v="19259"/>
    <n v="271"/>
    <n v="17836"/>
    <n v="258"/>
    <n v="12900"/>
    <n v="271"/>
    <n v="13600"/>
    <n v="258"/>
    <n v="4864993"/>
    <n v="271"/>
    <n v="5341362"/>
    <n v="51"/>
    <n v="372144"/>
    <n v="54"/>
    <n v="438216"/>
    <n v="51"/>
    <n v="385379"/>
    <n v="54"/>
    <n v="392361"/>
    <n v="0"/>
    <n v="0"/>
    <n v="0"/>
    <n v="0"/>
    <n v="51"/>
    <n v="282318"/>
    <n v="54"/>
    <n v="315223"/>
    <n v="51"/>
    <n v="2253"/>
    <n v="54"/>
    <n v="2695"/>
    <n v="51"/>
    <n v="10563"/>
    <n v="54"/>
    <n v="11591"/>
    <n v="51"/>
    <n v="14508"/>
    <n v="54"/>
    <n v="17804"/>
    <n v="51"/>
    <n v="3807"/>
    <n v="54"/>
    <n v="3541"/>
    <n v="51"/>
    <n v="2550"/>
    <n v="54"/>
    <n v="2700"/>
    <n v="51"/>
    <n v="1073522"/>
    <n v="54"/>
    <n v="1184131"/>
  </r>
  <r>
    <x v="3"/>
    <s v="Santa Fe College "/>
    <s v="Formerly Santa Fe Community College."/>
    <n v="137096"/>
    <x v="6"/>
    <n v="223"/>
    <n v="1176577"/>
    <n v="219"/>
    <n v="1215419"/>
    <n v="223"/>
    <n v="1023036"/>
    <n v="219"/>
    <n v="1049004"/>
    <n v="0"/>
    <n v="0"/>
    <n v="0"/>
    <n v="0"/>
    <n v="223"/>
    <n v="793023"/>
    <n v="219"/>
    <n v="819203"/>
    <n v="223"/>
    <n v="42147"/>
    <n v="219"/>
    <n v="41391"/>
    <n v="223"/>
    <n v="31580"/>
    <n v="219"/>
    <n v="33001"/>
    <n v="223"/>
    <n v="75881"/>
    <n v="219"/>
    <n v="89095"/>
    <n v="21"/>
    <n v="18550"/>
    <n v="11"/>
    <n v="6671"/>
    <n v="0"/>
    <n v="0"/>
    <n v="0"/>
    <n v="0"/>
    <n v="223"/>
    <n v="3160794"/>
    <n v="219"/>
    <n v="3253784"/>
    <n v="11"/>
    <n v="61910"/>
    <n v="11"/>
    <n v="62582"/>
    <n v="11"/>
    <n v="45072"/>
    <n v="11"/>
    <n v="47448"/>
    <n v="0"/>
    <n v="0"/>
    <n v="0"/>
    <n v="0"/>
    <n v="11"/>
    <n v="41728"/>
    <n v="11"/>
    <n v="42410"/>
    <n v="11"/>
    <n v="2079"/>
    <n v="11"/>
    <n v="2079"/>
    <n v="11"/>
    <n v="1687"/>
    <n v="11"/>
    <n v="1715"/>
    <n v="11"/>
    <n v="3993"/>
    <n v="11"/>
    <n v="4587"/>
    <n v="0"/>
    <n v="0"/>
    <n v="0"/>
    <n v="0"/>
    <n v="0"/>
    <n v="0"/>
    <n v="0"/>
    <n v="0"/>
    <n v="11"/>
    <n v="156469"/>
    <n v="11"/>
    <n v="160821"/>
  </r>
  <r>
    <x v="3"/>
    <s v="Seminole State College of Florida"/>
    <s v="Formerly Seminole Community College."/>
    <n v="137209"/>
    <x v="6"/>
    <n v="107"/>
    <n v="598556"/>
    <n v="114"/>
    <n v="667735"/>
    <n v="107"/>
    <n v="591114"/>
    <n v="114"/>
    <n v="628644"/>
    <m/>
    <m/>
    <m/>
    <m/>
    <n v="107"/>
    <n v="455856"/>
    <n v="114"/>
    <n v="508210"/>
    <m/>
    <m/>
    <m/>
    <m/>
    <n v="107"/>
    <n v="9236"/>
    <n v="114"/>
    <n v="10297"/>
    <m/>
    <m/>
    <m/>
    <m/>
    <n v="5"/>
    <n v="3431"/>
    <n v="6"/>
    <n v="4967"/>
    <m/>
    <m/>
    <m/>
    <m/>
    <n v="107"/>
    <n v="1658193"/>
    <n v="114"/>
    <n v="1819853"/>
    <n v="82"/>
    <n v="568312"/>
    <n v="82"/>
    <n v="600886"/>
    <n v="82"/>
    <n v="456723"/>
    <n v="82"/>
    <n v="454032"/>
    <m/>
    <m/>
    <m/>
    <m/>
    <n v="82"/>
    <n v="431400"/>
    <n v="82"/>
    <n v="456559"/>
    <m/>
    <m/>
    <m/>
    <m/>
    <n v="82"/>
    <n v="8741"/>
    <n v="82"/>
    <n v="9251"/>
    <m/>
    <m/>
    <m/>
    <m/>
    <n v="9"/>
    <n v="7801"/>
    <n v="7"/>
    <n v="7362"/>
    <m/>
    <m/>
    <m/>
    <m/>
    <n v="82"/>
    <n v="1472977"/>
    <n v="82"/>
    <n v="1528090"/>
  </r>
  <r>
    <x v="3"/>
    <s v="South Florida Community College "/>
    <m/>
    <n v="137315"/>
    <x v="7"/>
    <n v="44"/>
    <n v="217430"/>
    <n v="45"/>
    <n v="247483"/>
    <n v="44"/>
    <n v="249208"/>
    <n v="45"/>
    <n v="265340"/>
    <m/>
    <m/>
    <m/>
    <m/>
    <n v="44"/>
    <n v="167231"/>
    <n v="45"/>
    <n v="175189"/>
    <n v="44"/>
    <n v="8505"/>
    <n v="45"/>
    <n v="8505"/>
    <n v="44"/>
    <n v="6612"/>
    <n v="45"/>
    <n v="6933"/>
    <n v="44"/>
    <n v="23172"/>
    <n v="45"/>
    <n v="24275"/>
    <m/>
    <m/>
    <m/>
    <m/>
    <m/>
    <m/>
    <m/>
    <m/>
    <n v="44"/>
    <n v="672158"/>
    <n v="45"/>
    <n v="727725"/>
    <n v="19"/>
    <n v="109506"/>
    <n v="19"/>
    <n v="121649"/>
    <n v="19"/>
    <n v="106421"/>
    <n v="19"/>
    <n v="112238"/>
    <m/>
    <m/>
    <m/>
    <m/>
    <n v="19"/>
    <n v="84754"/>
    <n v="19"/>
    <n v="86569"/>
    <n v="19"/>
    <n v="3591"/>
    <n v="19"/>
    <n v="3591"/>
    <n v="19"/>
    <n v="3357"/>
    <n v="19"/>
    <n v="3417"/>
    <n v="19"/>
    <n v="11744"/>
    <n v="19"/>
    <n v="11995"/>
    <m/>
    <m/>
    <m/>
    <m/>
    <m/>
    <m/>
    <m/>
    <m/>
    <n v="19"/>
    <n v="319373"/>
    <n v="19"/>
    <n v="339459"/>
  </r>
  <r>
    <x v="3"/>
    <s v="Tallahassee Community College "/>
    <m/>
    <n v="137759"/>
    <x v="6"/>
    <n v="184"/>
    <n v="1042377"/>
    <n v="175"/>
    <n v="880090"/>
    <n v="184"/>
    <n v="686688"/>
    <n v="175"/>
    <n v="866145"/>
    <m/>
    <m/>
    <m/>
    <m/>
    <n v="184"/>
    <n v="849116"/>
    <n v="175"/>
    <n v="775814"/>
    <m/>
    <m/>
    <m/>
    <m/>
    <n v="184"/>
    <n v="63141"/>
    <n v="175"/>
    <n v="57696"/>
    <m/>
    <m/>
    <m/>
    <m/>
    <m/>
    <m/>
    <m/>
    <m/>
    <m/>
    <m/>
    <m/>
    <m/>
    <n v="184"/>
    <n v="2641322"/>
    <n v="175"/>
    <n v="2579745"/>
    <m/>
    <m/>
    <m/>
    <m/>
    <m/>
    <m/>
    <m/>
    <m/>
    <m/>
    <m/>
    <m/>
    <m/>
    <m/>
    <m/>
    <m/>
    <m/>
    <m/>
    <m/>
    <m/>
    <m/>
    <m/>
    <m/>
    <m/>
    <m/>
    <m/>
    <m/>
    <m/>
    <m/>
    <m/>
    <m/>
    <m/>
    <m/>
    <m/>
    <m/>
    <m/>
    <m/>
    <n v="0"/>
    <n v="0"/>
    <n v="0"/>
    <n v="0"/>
  </r>
  <r>
    <x v="3"/>
    <s v="Valencia Community College "/>
    <m/>
    <n v="138187"/>
    <x v="6"/>
    <n v="353"/>
    <n v="2032462"/>
    <n v="360"/>
    <n v="2295762"/>
    <n v="353"/>
    <n v="1920320"/>
    <n v="360"/>
    <n v="2247480"/>
    <m/>
    <m/>
    <m/>
    <m/>
    <n v="353"/>
    <n v="1578511"/>
    <n v="360"/>
    <n v="1630694"/>
    <n v="353"/>
    <n v="22540"/>
    <n v="360"/>
    <n v="23677"/>
    <n v="353"/>
    <n v="13767"/>
    <n v="360"/>
    <n v="20160"/>
    <n v="353"/>
    <n v="339121"/>
    <n v="360"/>
    <n v="347636"/>
    <n v="353"/>
    <n v="25782"/>
    <n v="360"/>
    <n v="28397"/>
    <m/>
    <m/>
    <m/>
    <m/>
    <n v="353"/>
    <n v="5932503"/>
    <n v="360"/>
    <n v="6593806"/>
    <m/>
    <m/>
    <m/>
    <m/>
    <m/>
    <m/>
    <m/>
    <m/>
    <m/>
    <m/>
    <m/>
    <m/>
    <m/>
    <m/>
    <m/>
    <m/>
    <m/>
    <m/>
    <m/>
    <m/>
    <m/>
    <m/>
    <m/>
    <m/>
    <m/>
    <m/>
    <m/>
    <m/>
    <m/>
    <m/>
    <m/>
    <m/>
    <m/>
    <m/>
    <m/>
    <m/>
    <n v="0"/>
    <n v="0"/>
    <n v="0"/>
    <n v="0"/>
  </r>
  <r>
    <x v="4"/>
    <s v="Georgia State University "/>
    <m/>
    <n v="139940"/>
    <x v="0"/>
    <n v="1035"/>
    <n v="7647025"/>
    <n v="1049"/>
    <n v="7808113"/>
    <n v="903"/>
    <n v="8616430"/>
    <n v="917"/>
    <n v="6122192"/>
    <m/>
    <m/>
    <m/>
    <m/>
    <n v="1035"/>
    <n v="5362237"/>
    <n v="1049"/>
    <n v="5717692"/>
    <n v="1035"/>
    <n v="95478.75"/>
    <n v="1049"/>
    <n v="147909"/>
    <n v="1035"/>
    <n v="181125"/>
    <n v="1049"/>
    <n v="183575"/>
    <n v="1035"/>
    <n v="68310"/>
    <n v="1049"/>
    <n v="135321"/>
    <m/>
    <m/>
    <m/>
    <m/>
    <m/>
    <m/>
    <m/>
    <m/>
    <n v="1035"/>
    <n v="21970605.75"/>
    <n v="1049"/>
    <n v="20114802"/>
    <n v="17"/>
    <n v="167135"/>
    <n v="18"/>
    <n v="168681"/>
    <n v="15"/>
    <n v="109685"/>
    <n v="15"/>
    <n v="103826"/>
    <m/>
    <m/>
    <m/>
    <m/>
    <n v="17"/>
    <n v="104998"/>
    <n v="18"/>
    <n v="119753"/>
    <n v="17"/>
    <n v="1568.25"/>
    <n v="18"/>
    <n v="2538"/>
    <n v="17"/>
    <n v="2975"/>
    <n v="18"/>
    <n v="3150"/>
    <n v="17"/>
    <n v="1122"/>
    <n v="18"/>
    <n v="2322"/>
    <m/>
    <m/>
    <m/>
    <m/>
    <m/>
    <m/>
    <m/>
    <m/>
    <n v="17"/>
    <n v="387483.25"/>
    <n v="18"/>
    <n v="400270"/>
  </r>
  <r>
    <x v="4"/>
    <s v="University of Georgia"/>
    <m/>
    <n v="139959"/>
    <x v="0"/>
    <n v="1272"/>
    <n v="10356930"/>
    <n v="1277"/>
    <n v="10644507"/>
    <n v="1150"/>
    <n v="8508012"/>
    <n v="1156"/>
    <n v="8841252"/>
    <m/>
    <m/>
    <m/>
    <m/>
    <n v="1284"/>
    <n v="7945008"/>
    <n v="1288"/>
    <n v="7986929"/>
    <n v="1284"/>
    <n v="118449"/>
    <n v="1288"/>
    <n v="181608"/>
    <n v="1284"/>
    <n v="89880"/>
    <n v="1288"/>
    <n v="90160"/>
    <n v="1284"/>
    <n v="84744"/>
    <n v="1288"/>
    <n v="166152"/>
    <m/>
    <m/>
    <m/>
    <m/>
    <m/>
    <m/>
    <m/>
    <m/>
    <n v="1284"/>
    <n v="27103023"/>
    <n v="1288"/>
    <n v="27910608"/>
    <n v="489"/>
    <n v="4888200"/>
    <n v="456"/>
    <n v="4624053"/>
    <n v="450"/>
    <n v="3624414"/>
    <n v="426"/>
    <n v="3515996"/>
    <m/>
    <m/>
    <m/>
    <m/>
    <n v="491"/>
    <n v="3612396"/>
    <n v="461"/>
    <n v="3385460"/>
    <n v="491"/>
    <n v="45294.75"/>
    <n v="461"/>
    <n v="65001"/>
    <n v="491"/>
    <n v="34370"/>
    <n v="461"/>
    <n v="32270"/>
    <n v="491"/>
    <n v="32406"/>
    <n v="461"/>
    <n v="59469"/>
    <m/>
    <m/>
    <m/>
    <m/>
    <m/>
    <m/>
    <m/>
    <m/>
    <n v="491"/>
    <n v="12237080.75"/>
    <n v="461"/>
    <n v="11682249"/>
  </r>
  <r>
    <x v="4"/>
    <s v="Georgia Institute of Technology"/>
    <m/>
    <n v="139755"/>
    <x v="1"/>
    <n v="896"/>
    <n v="9880944"/>
    <n v="887"/>
    <n v="9878011"/>
    <n v="821"/>
    <n v="4432502"/>
    <n v="817"/>
    <n v="4693685"/>
    <m/>
    <m/>
    <m/>
    <m/>
    <n v="899"/>
    <n v="6387426"/>
    <n v="909"/>
    <n v="6821668"/>
    <n v="899"/>
    <n v="82932.75"/>
    <n v="909"/>
    <n v="128169"/>
    <n v="898"/>
    <n v="111483"/>
    <n v="899"/>
    <n v="111996"/>
    <n v="899"/>
    <n v="59334"/>
    <n v="909"/>
    <n v="117261"/>
    <m/>
    <m/>
    <m/>
    <m/>
    <m/>
    <m/>
    <m/>
    <m/>
    <n v="899"/>
    <n v="20954621.75"/>
    <n v="909"/>
    <n v="21750790"/>
    <n v="72"/>
    <n v="1341062"/>
    <n v="53"/>
    <n v="1114491"/>
    <n v="71"/>
    <n v="545077"/>
    <n v="54"/>
    <n v="461574"/>
    <m/>
    <m/>
    <m/>
    <m/>
    <n v="75"/>
    <n v="677251"/>
    <n v="58"/>
    <n v="554152"/>
    <n v="75"/>
    <n v="6918.75"/>
    <n v="58"/>
    <n v="8178"/>
    <n v="75"/>
    <n v="10304"/>
    <n v="57"/>
    <n v="8550"/>
    <n v="75"/>
    <n v="4950"/>
    <n v="58"/>
    <n v="7482"/>
    <m/>
    <m/>
    <m/>
    <m/>
    <m/>
    <m/>
    <m/>
    <m/>
    <n v="75"/>
    <n v="2585562.75"/>
    <n v="58"/>
    <n v="2154427"/>
  </r>
  <r>
    <x v="4"/>
    <s v="Georgia Southern University"/>
    <m/>
    <n v="139931"/>
    <x v="2"/>
    <n v="688"/>
    <n v="3962801"/>
    <n v="701"/>
    <n v="4097096"/>
    <n v="586"/>
    <n v="3926575"/>
    <n v="601"/>
    <n v="3470973"/>
    <m/>
    <m/>
    <m/>
    <m/>
    <n v="686"/>
    <n v="3206661"/>
    <n v="701"/>
    <n v="3310678"/>
    <n v="686"/>
    <n v="63283.5"/>
    <n v="701"/>
    <n v="98841"/>
    <n v="686"/>
    <n v="123480"/>
    <n v="701"/>
    <n v="126180"/>
    <n v="686"/>
    <n v="45276"/>
    <n v="701"/>
    <n v="90429"/>
    <m/>
    <m/>
    <m/>
    <m/>
    <m/>
    <m/>
    <m/>
    <m/>
    <n v="688"/>
    <n v="11328076.5"/>
    <n v="701"/>
    <n v="11194197"/>
    <n v="71"/>
    <n v="592303"/>
    <n v="60"/>
    <n v="523101"/>
    <n v="63"/>
    <n v="433367"/>
    <n v="55"/>
    <n v="340759"/>
    <m/>
    <m/>
    <m/>
    <m/>
    <n v="65"/>
    <n v="422879"/>
    <n v="60"/>
    <n v="428685"/>
    <n v="65"/>
    <n v="5996.25"/>
    <n v="60"/>
    <n v="8460"/>
    <n v="65"/>
    <n v="11700"/>
    <n v="60"/>
    <n v="10800"/>
    <n v="65"/>
    <n v="4290"/>
    <n v="60"/>
    <n v="7740"/>
    <m/>
    <m/>
    <m/>
    <m/>
    <m/>
    <m/>
    <m/>
    <m/>
    <n v="71"/>
    <n v="1470535.25"/>
    <n v="60"/>
    <n v="1319545"/>
  </r>
  <r>
    <x v="4"/>
    <s v="University of West Georgia"/>
    <m/>
    <n v="141334"/>
    <x v="2"/>
    <n v="397"/>
    <n v="2023748"/>
    <n v="411"/>
    <n v="2088046"/>
    <n v="327"/>
    <n v="1730020"/>
    <n v="337"/>
    <n v="2096914"/>
    <m/>
    <m/>
    <m/>
    <m/>
    <n v="404"/>
    <n v="1374562"/>
    <n v="411"/>
    <n v="1672600"/>
    <n v="404"/>
    <n v="37269"/>
    <n v="411"/>
    <n v="57951"/>
    <n v="392"/>
    <n v="58778"/>
    <n v="411"/>
    <n v="73980"/>
    <n v="404"/>
    <n v="26664"/>
    <n v="411"/>
    <n v="53019"/>
    <m/>
    <m/>
    <m/>
    <m/>
    <m/>
    <m/>
    <m/>
    <m/>
    <n v="404"/>
    <n v="5251041"/>
    <n v="411"/>
    <n v="6042510"/>
    <n v="26"/>
    <n v="231271"/>
    <n v="37"/>
    <n v="337665"/>
    <n v="24"/>
    <n v="149610"/>
    <n v="28"/>
    <n v="187210"/>
    <m/>
    <m/>
    <m/>
    <m/>
    <n v="26"/>
    <n v="130944"/>
    <n v="37"/>
    <n v="235316"/>
    <n v="26"/>
    <n v="2398.5"/>
    <n v="37"/>
    <n v="5217"/>
    <n v="26"/>
    <n v="4590"/>
    <n v="37"/>
    <n v="6660"/>
    <n v="26"/>
    <n v="1716"/>
    <n v="37"/>
    <n v="4773"/>
    <m/>
    <m/>
    <m/>
    <m/>
    <m/>
    <m/>
    <m/>
    <m/>
    <n v="26"/>
    <n v="520529.5"/>
    <n v="37"/>
    <n v="776841"/>
  </r>
  <r>
    <x v="4"/>
    <s v="Valdosta State University "/>
    <m/>
    <n v="141264"/>
    <x v="2"/>
    <n v="424"/>
    <n v="2127678"/>
    <n v="437"/>
    <n v="2450355"/>
    <n v="373"/>
    <n v="2915464"/>
    <n v="371"/>
    <n v="2829870"/>
    <m/>
    <m/>
    <m/>
    <m/>
    <n v="424"/>
    <n v="1882136"/>
    <n v="448"/>
    <n v="1995257"/>
    <n v="424"/>
    <n v="39114"/>
    <n v="448"/>
    <n v="63168"/>
    <n v="424"/>
    <n v="76320"/>
    <n v="448"/>
    <n v="80640"/>
    <n v="424"/>
    <n v="27984"/>
    <n v="448"/>
    <n v="57792"/>
    <m/>
    <m/>
    <m/>
    <m/>
    <m/>
    <m/>
    <m/>
    <m/>
    <n v="424"/>
    <n v="7068696"/>
    <n v="448"/>
    <n v="7477082"/>
    <n v="48"/>
    <n v="240960"/>
    <n v="51"/>
    <n v="299236"/>
    <n v="43"/>
    <n v="357730"/>
    <n v="43"/>
    <n v="393596"/>
    <m/>
    <m/>
    <m/>
    <m/>
    <n v="48"/>
    <n v="213840"/>
    <n v="51"/>
    <n v="238134"/>
    <n v="48"/>
    <n v="4428"/>
    <n v="51"/>
    <n v="7191"/>
    <n v="48"/>
    <n v="8640"/>
    <n v="51"/>
    <n v="9180"/>
    <n v="48"/>
    <n v="3168"/>
    <n v="51"/>
    <n v="6579"/>
    <m/>
    <m/>
    <m/>
    <m/>
    <m/>
    <m/>
    <m/>
    <m/>
    <n v="48"/>
    <n v="828766"/>
    <n v="51"/>
    <n v="953916"/>
  </r>
  <r>
    <x v="4"/>
    <s v="Albany State University "/>
    <m/>
    <n v="138716"/>
    <x v="3"/>
    <n v="136"/>
    <n v="718658"/>
    <n v="141"/>
    <n v="772212"/>
    <n v="120"/>
    <n v="828336"/>
    <n v="120"/>
    <n v="925020"/>
    <m/>
    <m/>
    <m/>
    <m/>
    <n v="139"/>
    <n v="589217"/>
    <n v="143"/>
    <n v="614292"/>
    <n v="139"/>
    <n v="12822.75"/>
    <n v="143"/>
    <n v="20163"/>
    <n v="137"/>
    <n v="24642"/>
    <n v="142"/>
    <n v="25533"/>
    <n v="139"/>
    <n v="9174"/>
    <n v="143"/>
    <n v="18447"/>
    <m/>
    <m/>
    <m/>
    <m/>
    <m/>
    <m/>
    <m/>
    <m/>
    <n v="139"/>
    <n v="2182849.75"/>
    <n v="143"/>
    <n v="2375667"/>
    <n v="2"/>
    <n v="10476"/>
    <n v="2"/>
    <n v="10568"/>
    <n v="2"/>
    <n v="14813"/>
    <n v="2"/>
    <n v="8508"/>
    <m/>
    <m/>
    <m/>
    <m/>
    <n v="2"/>
    <n v="8673"/>
    <n v="2"/>
    <n v="8750"/>
    <n v="2"/>
    <n v="184.5"/>
    <n v="2"/>
    <n v="282"/>
    <n v="2"/>
    <n v="351"/>
    <n v="2"/>
    <n v="351"/>
    <n v="2"/>
    <n v="132"/>
    <n v="2"/>
    <n v="258"/>
    <m/>
    <m/>
    <m/>
    <m/>
    <m/>
    <m/>
    <m/>
    <m/>
    <n v="2"/>
    <n v="34629.5"/>
    <n v="2"/>
    <n v="28717"/>
  </r>
  <r>
    <x v="4"/>
    <s v="Armstrong Atlantic State University"/>
    <m/>
    <n v="138789"/>
    <x v="3"/>
    <n v="192"/>
    <n v="1076067"/>
    <n v="231"/>
    <n v="1220721"/>
    <n v="164"/>
    <n v="1059360"/>
    <n v="190"/>
    <n v="1187696"/>
    <m/>
    <m/>
    <m/>
    <m/>
    <n v="193"/>
    <n v="880921"/>
    <n v="232"/>
    <n v="983030"/>
    <n v="193"/>
    <n v="17804.25"/>
    <n v="232"/>
    <n v="32712"/>
    <n v="191"/>
    <n v="34380"/>
    <n v="232"/>
    <n v="41760"/>
    <n v="193"/>
    <n v="12738"/>
    <n v="232"/>
    <n v="29928"/>
    <m/>
    <m/>
    <m/>
    <m/>
    <m/>
    <m/>
    <m/>
    <m/>
    <n v="193"/>
    <n v="3081270.25"/>
    <n v="232"/>
    <n v="3495847"/>
    <n v="13"/>
    <n v="79984"/>
    <n v="22"/>
    <n v="133975"/>
    <n v="11"/>
    <n v="74529"/>
    <n v="20"/>
    <n v="134568"/>
    <m/>
    <m/>
    <m/>
    <m/>
    <n v="13"/>
    <n v="64643"/>
    <n v="22"/>
    <n v="105277"/>
    <n v="13"/>
    <n v="1199.25"/>
    <n v="22"/>
    <n v="3102"/>
    <n v="12"/>
    <n v="2160"/>
    <n v="22"/>
    <n v="3960"/>
    <n v="13"/>
    <n v="858"/>
    <n v="22"/>
    <n v="2838"/>
    <m/>
    <m/>
    <m/>
    <m/>
    <m/>
    <m/>
    <m/>
    <m/>
    <n v="13"/>
    <n v="223373.25"/>
    <n v="22"/>
    <n v="383720"/>
  </r>
  <r>
    <x v="4"/>
    <s v="Columbus State University"/>
    <m/>
    <n v="139366"/>
    <x v="3"/>
    <n v="244"/>
    <n v="1321479"/>
    <n v="238"/>
    <n v="1309443"/>
    <n v="201"/>
    <n v="1223787"/>
    <n v="197"/>
    <n v="1293972"/>
    <m/>
    <m/>
    <m/>
    <m/>
    <n v="244"/>
    <n v="1077621"/>
    <n v="237"/>
    <n v="1053396"/>
    <n v="244"/>
    <n v="22509"/>
    <n v="238"/>
    <n v="33558"/>
    <n v="244"/>
    <n v="43983"/>
    <n v="237"/>
    <n v="42648"/>
    <n v="244"/>
    <n v="16104"/>
    <n v="238"/>
    <n v="30702"/>
    <m/>
    <m/>
    <m/>
    <m/>
    <m/>
    <m/>
    <m/>
    <m/>
    <n v="244"/>
    <n v="3705483"/>
    <n v="238"/>
    <n v="3763719"/>
    <n v="17"/>
    <n v="151807"/>
    <n v="31"/>
    <n v="269428"/>
    <n v="16"/>
    <n v="118173"/>
    <n v="29"/>
    <n v="216756"/>
    <m/>
    <m/>
    <m/>
    <m/>
    <n v="17"/>
    <n v="122531"/>
    <n v="30"/>
    <n v="205075"/>
    <n v="17"/>
    <n v="1568.25"/>
    <n v="30"/>
    <n v="4230"/>
    <n v="17"/>
    <n v="3060"/>
    <n v="30"/>
    <n v="5400"/>
    <n v="17"/>
    <n v="1122"/>
    <n v="30"/>
    <n v="3870"/>
    <m/>
    <m/>
    <m/>
    <m/>
    <m/>
    <m/>
    <m/>
    <m/>
    <n v="17"/>
    <n v="398261.25"/>
    <n v="31"/>
    <n v="704759"/>
  </r>
  <r>
    <x v="4"/>
    <s v="Georgia College and State University"/>
    <m/>
    <n v="139861"/>
    <x v="3"/>
    <n v="270"/>
    <n v="1422682"/>
    <n v="281"/>
    <n v="1500874"/>
    <n v="223"/>
    <n v="1521852"/>
    <n v="232"/>
    <n v="1629161"/>
    <m/>
    <m/>
    <m/>
    <m/>
    <n v="270"/>
    <n v="1098310"/>
    <n v="281"/>
    <n v="1149521"/>
    <n v="270"/>
    <n v="24907.5"/>
    <n v="281"/>
    <n v="39621"/>
    <n v="270"/>
    <n v="48600"/>
    <n v="281"/>
    <n v="50580"/>
    <n v="270"/>
    <n v="17820"/>
    <n v="281"/>
    <n v="36249"/>
    <m/>
    <m/>
    <m/>
    <m/>
    <m/>
    <m/>
    <m/>
    <m/>
    <n v="270"/>
    <n v="4134171.5"/>
    <n v="281"/>
    <n v="4406006"/>
    <n v="31"/>
    <n v="255811"/>
    <n v="35"/>
    <n v="272340"/>
    <n v="25"/>
    <n v="175905"/>
    <n v="29"/>
    <n v="214591"/>
    <m/>
    <m/>
    <m/>
    <m/>
    <n v="31"/>
    <n v="200430"/>
    <n v="35"/>
    <n v="218103"/>
    <n v="31"/>
    <n v="2859.75"/>
    <n v="35"/>
    <n v="4935"/>
    <n v="31"/>
    <n v="5580"/>
    <n v="35"/>
    <n v="6300"/>
    <n v="31"/>
    <n v="2046"/>
    <n v="35"/>
    <n v="4515"/>
    <m/>
    <m/>
    <m/>
    <m/>
    <m/>
    <m/>
    <m/>
    <m/>
    <n v="31"/>
    <n v="642631.75"/>
    <n v="35"/>
    <n v="720784"/>
  </r>
  <r>
    <x v="4"/>
    <s v="Kennesaw State University"/>
    <m/>
    <n v="140164"/>
    <x v="3"/>
    <n v="644"/>
    <n v="3655507"/>
    <n v="670"/>
    <n v="3942795"/>
    <n v="505"/>
    <n v="3185959"/>
    <n v="531"/>
    <n v="3636008"/>
    <m/>
    <m/>
    <m/>
    <m/>
    <n v="638"/>
    <n v="3009394"/>
    <n v="673"/>
    <n v="3140532"/>
    <n v="638"/>
    <n v="58855.5"/>
    <n v="673"/>
    <n v="94893"/>
    <n v="638"/>
    <n v="114840"/>
    <n v="673"/>
    <n v="121158"/>
    <n v="638"/>
    <n v="42108"/>
    <n v="673"/>
    <n v="86817"/>
    <m/>
    <m/>
    <m/>
    <m/>
    <m/>
    <m/>
    <m/>
    <m/>
    <n v="644"/>
    <n v="10066663.5"/>
    <n v="673"/>
    <n v="11022203"/>
    <n v="52"/>
    <n v="408841"/>
    <n v="57"/>
    <n v="499818"/>
    <n v="43"/>
    <n v="271077"/>
    <n v="46"/>
    <n v="304407"/>
    <n v="52"/>
    <n v="5383"/>
    <m/>
    <m/>
    <n v="52"/>
    <n v="343187"/>
    <n v="57"/>
    <n v="372531"/>
    <n v="52"/>
    <n v="4797"/>
    <n v="57"/>
    <n v="8037"/>
    <n v="52"/>
    <n v="9360"/>
    <n v="57"/>
    <n v="10242"/>
    <n v="52"/>
    <n v="3432"/>
    <n v="57"/>
    <n v="7353"/>
    <m/>
    <m/>
    <m/>
    <m/>
    <m/>
    <m/>
    <m/>
    <m/>
    <n v="52"/>
    <n v="1046077"/>
    <n v="57"/>
    <n v="1202388"/>
  </r>
  <r>
    <x v="4"/>
    <s v="Augusta State University"/>
    <s v="Met the criteria for Four-Year 4 in 2010-11."/>
    <n v="138983"/>
    <x v="4"/>
    <n v="240"/>
    <n v="1312665"/>
    <n v="252"/>
    <n v="1641168"/>
    <n v="176"/>
    <n v="951196"/>
    <n v="187"/>
    <n v="1250095"/>
    <m/>
    <m/>
    <m/>
    <m/>
    <n v="240"/>
    <n v="850698"/>
    <n v="252"/>
    <n v="1059859"/>
    <n v="240"/>
    <n v="22140"/>
    <n v="252"/>
    <n v="35532"/>
    <n v="240"/>
    <n v="22800"/>
    <n v="252"/>
    <n v="20668"/>
    <n v="240"/>
    <n v="15840"/>
    <n v="252"/>
    <n v="32508"/>
    <m/>
    <m/>
    <m/>
    <m/>
    <m/>
    <m/>
    <m/>
    <m/>
    <n v="240"/>
    <n v="3175339"/>
    <n v="252"/>
    <n v="4039830"/>
    <n v="3"/>
    <n v="20947"/>
    <n v="3"/>
    <n v="20026"/>
    <n v="2"/>
    <n v="7596"/>
    <n v="2"/>
    <n v="9370"/>
    <m/>
    <m/>
    <m/>
    <m/>
    <n v="3"/>
    <n v="14914"/>
    <n v="3"/>
    <n v="12617"/>
    <n v="3"/>
    <n v="276.75"/>
    <n v="3"/>
    <n v="423"/>
    <n v="3"/>
    <n v="342"/>
    <n v="3"/>
    <n v="246"/>
    <n v="3"/>
    <n v="198"/>
    <n v="3"/>
    <n v="387"/>
    <m/>
    <m/>
    <m/>
    <m/>
    <m/>
    <m/>
    <m/>
    <m/>
    <n v="3"/>
    <n v="44273.75"/>
    <n v="3"/>
    <n v="43069"/>
  </r>
  <r>
    <x v="4"/>
    <s v="Fort Valley State University"/>
    <m/>
    <n v="139719"/>
    <x v="4"/>
    <n v="59"/>
    <n v="285620"/>
    <n v="139"/>
    <n v="339789"/>
    <n v="55"/>
    <n v="465181"/>
    <n v="105"/>
    <n v="920763"/>
    <m/>
    <m/>
    <m/>
    <m/>
    <m/>
    <m/>
    <n v="105"/>
    <n v="453474"/>
    <n v="59"/>
    <n v="5442.75"/>
    <n v="139"/>
    <n v="19599"/>
    <n v="55"/>
    <n v="10766"/>
    <n v="105"/>
    <n v="4212"/>
    <n v="59"/>
    <n v="3894"/>
    <n v="139"/>
    <n v="17931"/>
    <m/>
    <m/>
    <m/>
    <m/>
    <m/>
    <m/>
    <m/>
    <m/>
    <n v="59"/>
    <n v="770903.75"/>
    <n v="139"/>
    <n v="1755768"/>
    <n v="42"/>
    <n v="250879"/>
    <n v="37"/>
    <n v="156003"/>
    <n v="38"/>
    <n v="253553"/>
    <n v="38"/>
    <n v="419313"/>
    <m/>
    <m/>
    <m/>
    <m/>
    <m/>
    <m/>
    <n v="38"/>
    <n v="234277"/>
    <n v="42"/>
    <n v="3874.5"/>
    <n v="38"/>
    <n v="5358"/>
    <n v="38"/>
    <n v="6782"/>
    <n v="38"/>
    <n v="7020"/>
    <n v="42"/>
    <n v="2772"/>
    <n v="38"/>
    <n v="4902"/>
    <m/>
    <m/>
    <m/>
    <m/>
    <m/>
    <m/>
    <m/>
    <m/>
    <n v="42"/>
    <n v="517860.5"/>
    <n v="38"/>
    <n v="826873"/>
  </r>
  <r>
    <x v="4"/>
    <s v="Georgia Southwestern State University"/>
    <m/>
    <n v="139764"/>
    <x v="4"/>
    <n v="94"/>
    <n v="499479"/>
    <n v="101"/>
    <n v="537446"/>
    <n v="86"/>
    <n v="486588"/>
    <n v="93"/>
    <n v="534580"/>
    <m/>
    <m/>
    <m/>
    <m/>
    <n v="94"/>
    <n v="407787"/>
    <n v="101"/>
    <n v="428303"/>
    <n v="94"/>
    <n v="8671.5"/>
    <n v="101"/>
    <n v="14241"/>
    <n v="94"/>
    <n v="14100"/>
    <n v="101"/>
    <n v="15150"/>
    <n v="94"/>
    <n v="6204"/>
    <n v="101"/>
    <n v="13029"/>
    <m/>
    <m/>
    <m/>
    <m/>
    <m/>
    <m/>
    <m/>
    <m/>
    <n v="94"/>
    <n v="1422829.5"/>
    <n v="101"/>
    <n v="1542749"/>
    <n v="2"/>
    <n v="17884"/>
    <n v="1"/>
    <n v="6865"/>
    <n v="1"/>
    <n v="7145"/>
    <n v="1"/>
    <n v="6306"/>
    <m/>
    <m/>
    <m/>
    <m/>
    <n v="2"/>
    <n v="14399"/>
    <n v="1"/>
    <n v="6865"/>
    <n v="2"/>
    <n v="184.5"/>
    <n v="1"/>
    <n v="141"/>
    <n v="2"/>
    <n v="360"/>
    <n v="1"/>
    <n v="180"/>
    <n v="2"/>
    <n v="132"/>
    <n v="1"/>
    <n v="129"/>
    <m/>
    <m/>
    <m/>
    <m/>
    <m/>
    <m/>
    <m/>
    <m/>
    <n v="2"/>
    <n v="40104.5"/>
    <n v="1"/>
    <n v="20486"/>
  </r>
  <r>
    <x v="4"/>
    <s v="North Georgia College and State University"/>
    <s v="Met the criteria for Four-Year 4 in 2010-11."/>
    <n v="140669"/>
    <x v="4"/>
    <n v="198"/>
    <n v="1066501"/>
    <n v="214"/>
    <n v="1173930"/>
    <n v="169"/>
    <n v="1057923"/>
    <n v="184"/>
    <n v="1264837"/>
    <m/>
    <m/>
    <m/>
    <m/>
    <n v="198"/>
    <n v="864807"/>
    <n v="214"/>
    <n v="930530"/>
    <n v="198"/>
    <n v="18265.5"/>
    <n v="214"/>
    <n v="30174"/>
    <n v="198"/>
    <n v="35631"/>
    <n v="214"/>
    <n v="38520"/>
    <n v="198"/>
    <n v="13068"/>
    <n v="214"/>
    <n v="27606"/>
    <m/>
    <m/>
    <m/>
    <m/>
    <m/>
    <m/>
    <m/>
    <m/>
    <n v="198"/>
    <n v="3056195.5"/>
    <n v="214"/>
    <n v="3465597"/>
    <n v="22"/>
    <n v="172617"/>
    <n v="24"/>
    <n v="202350"/>
    <n v="20"/>
    <n v="133015"/>
    <n v="22"/>
    <n v="170195"/>
    <m/>
    <m/>
    <m/>
    <m/>
    <n v="22"/>
    <n v="138090"/>
    <n v="24"/>
    <n v="159888"/>
    <n v="22"/>
    <n v="2029.5"/>
    <n v="24"/>
    <n v="3384"/>
    <n v="22"/>
    <n v="3960"/>
    <n v="24"/>
    <n v="4320"/>
    <n v="22"/>
    <n v="1452"/>
    <n v="24"/>
    <n v="3096"/>
    <m/>
    <m/>
    <m/>
    <m/>
    <m/>
    <m/>
    <m/>
    <m/>
    <n v="22"/>
    <n v="451163.5"/>
    <n v="24"/>
    <n v="543233"/>
  </r>
  <r>
    <x v="4"/>
    <s v="Savannah State University"/>
    <m/>
    <n v="140960"/>
    <x v="4"/>
    <n v="137"/>
    <n v="729312"/>
    <n v="143"/>
    <n v="788651"/>
    <n v="112"/>
    <n v="652512"/>
    <n v="121"/>
    <n v="899921"/>
    <m/>
    <m/>
    <m/>
    <m/>
    <n v="141"/>
    <n v="577536"/>
    <n v="149"/>
    <n v="624040"/>
    <n v="141"/>
    <n v="13007.25"/>
    <n v="149"/>
    <n v="21009"/>
    <n v="136"/>
    <n v="24480"/>
    <n v="147"/>
    <n v="26460"/>
    <n v="141"/>
    <n v="9306"/>
    <n v="149"/>
    <n v="19221"/>
    <m/>
    <m/>
    <m/>
    <m/>
    <m/>
    <m/>
    <m/>
    <m/>
    <n v="141"/>
    <n v="2006153.25"/>
    <n v="149"/>
    <n v="2379302"/>
    <n v="10"/>
    <n v="52510"/>
    <n v="7"/>
    <n v="41506"/>
    <n v="8"/>
    <n v="40640"/>
    <n v="6"/>
    <n v="34119"/>
    <m/>
    <m/>
    <m/>
    <m/>
    <n v="10"/>
    <n v="38140"/>
    <n v="8"/>
    <n v="37143"/>
    <n v="10"/>
    <n v="922.5"/>
    <n v="8"/>
    <n v="1128"/>
    <n v="10"/>
    <n v="1800"/>
    <n v="8"/>
    <n v="1440"/>
    <n v="10"/>
    <n v="660"/>
    <n v="8"/>
    <n v="1032"/>
    <m/>
    <m/>
    <m/>
    <m/>
    <m/>
    <m/>
    <m/>
    <m/>
    <n v="10"/>
    <n v="134672.5"/>
    <n v="8"/>
    <n v="116368"/>
  </r>
  <r>
    <x v="4"/>
    <s v="Clayton State University"/>
    <s v="Met the criteria for Four-Year 5 in 2009-10 and 2010-11."/>
    <n v="139311"/>
    <x v="5"/>
    <n v="166"/>
    <n v="916610"/>
    <n v="183"/>
    <n v="1009893"/>
    <n v="166"/>
    <n v="877642"/>
    <n v="183"/>
    <n v="1179559"/>
    <m/>
    <m/>
    <m/>
    <m/>
    <n v="166"/>
    <n v="758916"/>
    <n v="183"/>
    <n v="673608"/>
    <n v="166"/>
    <n v="15313.5"/>
    <n v="183"/>
    <n v="25803"/>
    <n v="166"/>
    <n v="29880"/>
    <n v="183"/>
    <n v="32940"/>
    <n v="166"/>
    <n v="10956"/>
    <n v="183"/>
    <n v="23607"/>
    <m/>
    <m/>
    <m/>
    <m/>
    <m/>
    <m/>
    <m/>
    <m/>
    <n v="166"/>
    <n v="2609317.5"/>
    <n v="183"/>
    <n v="2945410"/>
    <n v="30"/>
    <n v="227250"/>
    <n v="30"/>
    <n v="265595"/>
    <n v="30"/>
    <n v="156810"/>
    <n v="30"/>
    <n v="193370"/>
    <m/>
    <m/>
    <m/>
    <m/>
    <n v="30"/>
    <n v="213834"/>
    <n v="30"/>
    <n v="178213"/>
    <n v="30"/>
    <n v="2767.5"/>
    <n v="30"/>
    <n v="4230"/>
    <n v="30"/>
    <n v="5400"/>
    <n v="30"/>
    <n v="5400"/>
    <n v="30"/>
    <n v="1980"/>
    <n v="30"/>
    <n v="3870"/>
    <m/>
    <m/>
    <m/>
    <m/>
    <m/>
    <m/>
    <m/>
    <m/>
    <n v="30"/>
    <n v="608041.5"/>
    <n v="30"/>
    <n v="650678"/>
  </r>
  <r>
    <x v="4"/>
    <s v="Macon State College "/>
    <m/>
    <n v="140322"/>
    <x v="5"/>
    <n v="177"/>
    <n v="843098"/>
    <n v="164"/>
    <n v="822982"/>
    <n v="137"/>
    <n v="875268"/>
    <n v="133"/>
    <n v="861860"/>
    <m/>
    <m/>
    <m/>
    <m/>
    <n v="176"/>
    <n v="676320"/>
    <n v="168"/>
    <n v="673278"/>
    <n v="176"/>
    <n v="16236"/>
    <n v="168"/>
    <n v="23688"/>
    <n v="176"/>
    <n v="31860"/>
    <n v="168"/>
    <n v="30240"/>
    <n v="176"/>
    <n v="11616"/>
    <n v="168"/>
    <n v="21672"/>
    <m/>
    <m/>
    <m/>
    <m/>
    <m/>
    <m/>
    <m/>
    <m/>
    <n v="177"/>
    <n v="2454398"/>
    <n v="168"/>
    <n v="2433720"/>
    <m/>
    <m/>
    <m/>
    <m/>
    <m/>
    <m/>
    <m/>
    <m/>
    <m/>
    <m/>
    <m/>
    <m/>
    <m/>
    <m/>
    <m/>
    <m/>
    <m/>
    <n v="0"/>
    <m/>
    <n v="0"/>
    <m/>
    <m/>
    <m/>
    <m/>
    <m/>
    <n v="0"/>
    <m/>
    <n v="0"/>
    <m/>
    <m/>
    <m/>
    <m/>
    <m/>
    <m/>
    <m/>
    <m/>
    <n v="0"/>
    <n v="0"/>
    <n v="0"/>
    <n v="0"/>
  </r>
  <r>
    <x v="4"/>
    <s v="Dalton State College "/>
    <m/>
    <n v="139463"/>
    <x v="11"/>
    <n v="142"/>
    <n v="726022"/>
    <n v="137"/>
    <n v="704439"/>
    <n v="120"/>
    <n v="801642"/>
    <n v="120"/>
    <n v="787965"/>
    <m/>
    <m/>
    <m/>
    <m/>
    <n v="142"/>
    <n v="572889"/>
    <n v="139"/>
    <n v="587387"/>
    <n v="142"/>
    <n v="13099.5"/>
    <n v="139"/>
    <n v="19599"/>
    <n v="142"/>
    <n v="25542"/>
    <n v="137"/>
    <n v="24660"/>
    <n v="142"/>
    <n v="9372"/>
    <n v="139"/>
    <n v="17931"/>
    <m/>
    <m/>
    <m/>
    <m/>
    <m/>
    <m/>
    <m/>
    <m/>
    <n v="142"/>
    <n v="2148566.5"/>
    <n v="139"/>
    <n v="2141981"/>
    <m/>
    <m/>
    <n v="2"/>
    <n v="1624"/>
    <m/>
    <m/>
    <m/>
    <m/>
    <m/>
    <m/>
    <m/>
    <m/>
    <m/>
    <m/>
    <n v="2"/>
    <n v="10276"/>
    <m/>
    <n v="0"/>
    <n v="2"/>
    <n v="282"/>
    <m/>
    <m/>
    <n v="2"/>
    <n v="360"/>
    <m/>
    <n v="0"/>
    <n v="2"/>
    <n v="258"/>
    <m/>
    <m/>
    <m/>
    <m/>
    <m/>
    <m/>
    <m/>
    <m/>
    <n v="0"/>
    <n v="0"/>
    <n v="2"/>
    <n v="12800"/>
  </r>
  <r>
    <x v="4"/>
    <s v="Georgia Perimeter College "/>
    <m/>
    <n v="244437"/>
    <x v="6"/>
    <n v="365"/>
    <n v="1683732"/>
    <n v="388"/>
    <n v="1812725"/>
    <n v="365"/>
    <n v="1671431"/>
    <n v="388"/>
    <n v="2017109"/>
    <m/>
    <m/>
    <m/>
    <m/>
    <n v="365"/>
    <n v="1381877"/>
    <n v="388"/>
    <n v="1442773"/>
    <n v="365"/>
    <n v="33671.25"/>
    <n v="388"/>
    <n v="54708"/>
    <n v="365"/>
    <n v="65601"/>
    <n v="388"/>
    <n v="69795"/>
    <n v="365"/>
    <n v="24090"/>
    <n v="388"/>
    <n v="50052"/>
    <m/>
    <m/>
    <m/>
    <m/>
    <m/>
    <m/>
    <m/>
    <m/>
    <n v="365"/>
    <n v="4860402.25"/>
    <n v="388"/>
    <n v="5447162"/>
    <n v="33"/>
    <n v="199110"/>
    <n v="64"/>
    <n v="470341"/>
    <n v="33"/>
    <n v="265544"/>
    <n v="64"/>
    <n v="391434"/>
    <m/>
    <m/>
    <m/>
    <m/>
    <n v="33"/>
    <n v="165832"/>
    <n v="64"/>
    <n v="370384"/>
    <n v="33"/>
    <n v="3044.25"/>
    <n v="64"/>
    <n v="9024"/>
    <n v="33"/>
    <n v="6156"/>
    <n v="64"/>
    <n v="11520"/>
    <n v="33"/>
    <n v="2178"/>
    <n v="64"/>
    <n v="8256"/>
    <m/>
    <m/>
    <m/>
    <m/>
    <m/>
    <m/>
    <m/>
    <m/>
    <n v="33"/>
    <n v="641864.25"/>
    <n v="64"/>
    <n v="1260959"/>
  </r>
  <r>
    <x v="4"/>
    <s v="Abraham Baldwin Agricultural College "/>
    <s v="Met the criteria for Two-Year with Bachelor's in 2009-10. Did not award any bachelor's for 2010-11 analysis, looses flag."/>
    <n v="138558"/>
    <x v="7"/>
    <n v="85"/>
    <n v="365840"/>
    <n v="83"/>
    <n v="350041"/>
    <n v="70"/>
    <n v="476864"/>
    <n v="66"/>
    <n v="484269"/>
    <m/>
    <m/>
    <m/>
    <m/>
    <n v="86"/>
    <n v="299467"/>
    <n v="87"/>
    <n v="297407"/>
    <n v="86"/>
    <n v="7933.5"/>
    <n v="87"/>
    <n v="12267"/>
    <n v="86"/>
    <n v="15480"/>
    <n v="83"/>
    <n v="14940"/>
    <n v="86"/>
    <n v="5676"/>
    <n v="87"/>
    <n v="11223"/>
    <m/>
    <m/>
    <m/>
    <m/>
    <m/>
    <m/>
    <m/>
    <m/>
    <n v="86"/>
    <n v="1171260.5"/>
    <n v="87"/>
    <n v="1170147"/>
    <n v="8"/>
    <n v="54800"/>
    <n v="9"/>
    <n v="54404"/>
    <n v="8"/>
    <n v="59254"/>
    <n v="9"/>
    <n v="66199"/>
    <m/>
    <m/>
    <m/>
    <m/>
    <n v="8"/>
    <n v="43308"/>
    <n v="9"/>
    <n v="44891"/>
    <n v="8"/>
    <n v="738"/>
    <n v="9"/>
    <n v="1269"/>
    <n v="8"/>
    <n v="1440"/>
    <n v="9"/>
    <n v="1620"/>
    <n v="8"/>
    <n v="528"/>
    <n v="9"/>
    <n v="1161"/>
    <m/>
    <m/>
    <m/>
    <m/>
    <m/>
    <m/>
    <m/>
    <m/>
    <n v="8"/>
    <n v="160068"/>
    <n v="9"/>
    <n v="169544"/>
  </r>
  <r>
    <x v="4"/>
    <s v="Bainbridge College "/>
    <m/>
    <n v="139010"/>
    <x v="7"/>
    <n v="81"/>
    <n v="404763"/>
    <n v="54"/>
    <n v="227612"/>
    <n v="31"/>
    <n v="342520"/>
    <n v="41"/>
    <n v="293210"/>
    <m/>
    <m/>
    <m/>
    <m/>
    <n v="48"/>
    <n v="163950"/>
    <n v="54"/>
    <n v="175689"/>
    <n v="48"/>
    <n v="4428"/>
    <n v="54"/>
    <n v="7614"/>
    <n v="48"/>
    <n v="10125"/>
    <n v="54"/>
    <n v="9702"/>
    <n v="48"/>
    <n v="3168"/>
    <n v="54"/>
    <n v="6966"/>
    <m/>
    <m/>
    <m/>
    <m/>
    <m/>
    <m/>
    <m/>
    <m/>
    <n v="81"/>
    <n v="928954"/>
    <n v="54"/>
    <n v="720793"/>
    <n v="34"/>
    <n v="225954"/>
    <n v="20"/>
    <n v="111270"/>
    <n v="17"/>
    <n v="152421"/>
    <n v="16"/>
    <n v="181056"/>
    <m/>
    <m/>
    <m/>
    <m/>
    <n v="17"/>
    <n v="70672"/>
    <n v="20"/>
    <n v="75605"/>
    <n v="17"/>
    <n v="1568.25"/>
    <n v="20"/>
    <n v="2820"/>
    <n v="17"/>
    <n v="4080"/>
    <n v="20"/>
    <n v="3780"/>
    <n v="17"/>
    <n v="1122"/>
    <n v="20"/>
    <n v="2580"/>
    <m/>
    <m/>
    <m/>
    <m/>
    <m/>
    <m/>
    <m/>
    <m/>
    <n v="34"/>
    <n v="455817.25"/>
    <n v="20"/>
    <n v="377111"/>
  </r>
  <r>
    <x v="4"/>
    <s v="College of Coastal Georgia "/>
    <m/>
    <n v="139250"/>
    <x v="7"/>
    <n v="57"/>
    <n v="271043"/>
    <n v="70"/>
    <n v="343322"/>
    <n v="45"/>
    <n v="337394"/>
    <n v="54"/>
    <n v="414228"/>
    <m/>
    <m/>
    <m/>
    <m/>
    <n v="60"/>
    <n v="139494"/>
    <n v="70"/>
    <n v="161088"/>
    <n v="60"/>
    <n v="5535"/>
    <n v="70"/>
    <n v="9870"/>
    <n v="60"/>
    <n v="10800"/>
    <n v="70"/>
    <n v="12600"/>
    <n v="60"/>
    <n v="3960"/>
    <n v="70"/>
    <n v="9030"/>
    <m/>
    <m/>
    <m/>
    <m/>
    <m/>
    <m/>
    <m/>
    <m/>
    <n v="60"/>
    <n v="768226"/>
    <n v="70"/>
    <n v="950138"/>
    <n v="11"/>
    <n v="61252"/>
    <n v="14"/>
    <n v="91192"/>
    <n v="8"/>
    <n v="58736"/>
    <n v="11"/>
    <n v="82236"/>
    <m/>
    <m/>
    <m/>
    <m/>
    <n v="11"/>
    <n v="29616"/>
    <n v="14"/>
    <n v="43741"/>
    <n v="11"/>
    <n v="1014.75"/>
    <n v="14"/>
    <n v="1974"/>
    <n v="11"/>
    <n v="1980"/>
    <n v="14"/>
    <n v="2520"/>
    <n v="11"/>
    <n v="726"/>
    <n v="14"/>
    <n v="1806"/>
    <m/>
    <m/>
    <m/>
    <m/>
    <m/>
    <m/>
    <m/>
    <m/>
    <n v="11"/>
    <n v="153324.75"/>
    <n v="14"/>
    <n v="223469"/>
  </r>
  <r>
    <x v="4"/>
    <s v="Darton College "/>
    <m/>
    <n v="138691"/>
    <x v="7"/>
    <n v="91"/>
    <n v="393239"/>
    <n v="93"/>
    <n v="420350"/>
    <n v="76"/>
    <n v="483587"/>
    <n v="76"/>
    <n v="529226"/>
    <m/>
    <m/>
    <m/>
    <m/>
    <n v="91"/>
    <n v="316660"/>
    <n v="93"/>
    <n v="324677"/>
    <n v="91"/>
    <n v="8394.75"/>
    <n v="93"/>
    <n v="13113"/>
    <n v="91"/>
    <n v="13680"/>
    <n v="93"/>
    <n v="16740"/>
    <n v="91"/>
    <n v="6006"/>
    <n v="93"/>
    <n v="11997"/>
    <m/>
    <m/>
    <m/>
    <m/>
    <m/>
    <m/>
    <m/>
    <m/>
    <n v="91"/>
    <n v="1221566.75"/>
    <n v="93"/>
    <n v="1316103"/>
    <n v="27"/>
    <n v="142852"/>
    <n v="28"/>
    <n v="149561"/>
    <n v="22"/>
    <n v="180117"/>
    <n v="24"/>
    <n v="208781"/>
    <m/>
    <m/>
    <m/>
    <m/>
    <n v="27"/>
    <n v="115034"/>
    <n v="28"/>
    <n v="117978"/>
    <n v="27"/>
    <n v="2490.75"/>
    <n v="28"/>
    <n v="3948"/>
    <n v="27"/>
    <n v="4860"/>
    <n v="27"/>
    <n v="4860"/>
    <n v="27"/>
    <n v="1782"/>
    <n v="28"/>
    <n v="3612"/>
    <m/>
    <m/>
    <m/>
    <m/>
    <m/>
    <m/>
    <m/>
    <m/>
    <n v="27"/>
    <n v="447135.75"/>
    <n v="28"/>
    <n v="488740"/>
  </r>
  <r>
    <x v="4"/>
    <s v="Gainesville State College "/>
    <s v="Reclassified: met the criteria for Two-Year with Bachelors in 2008-09, 2009-10 and 2010-11."/>
    <n v="139773"/>
    <x v="11"/>
    <n v="185"/>
    <n v="781995"/>
    <n v="193"/>
    <n v="861414"/>
    <n v="147"/>
    <n v="936115"/>
    <n v="160"/>
    <n v="1102712"/>
    <m/>
    <m/>
    <m/>
    <m/>
    <n v="180"/>
    <n v="598185"/>
    <n v="193"/>
    <n v="643983"/>
    <n v="180"/>
    <n v="16605"/>
    <n v="193"/>
    <n v="27213"/>
    <n v="180"/>
    <n v="2700"/>
    <n v="193"/>
    <n v="34740"/>
    <n v="180"/>
    <n v="11880"/>
    <n v="193"/>
    <n v="24897"/>
    <m/>
    <m/>
    <m/>
    <m/>
    <m/>
    <m/>
    <m/>
    <m/>
    <n v="185"/>
    <n v="2347480"/>
    <n v="193"/>
    <n v="2694959"/>
    <n v="11"/>
    <n v="58689"/>
    <n v="11"/>
    <n v="65716"/>
    <n v="9"/>
    <n v="69039"/>
    <n v="9"/>
    <n v="63912"/>
    <m/>
    <m/>
    <m/>
    <m/>
    <n v="11"/>
    <n v="34504"/>
    <n v="11"/>
    <n v="39157"/>
    <n v="11"/>
    <n v="1014.75"/>
    <n v="11"/>
    <n v="1551"/>
    <n v="11"/>
    <n v="165"/>
    <n v="11"/>
    <n v="1980"/>
    <n v="11"/>
    <n v="726"/>
    <n v="11"/>
    <n v="1419"/>
    <m/>
    <m/>
    <m/>
    <m/>
    <m/>
    <m/>
    <m/>
    <m/>
    <n v="11"/>
    <n v="164137.75"/>
    <n v="11"/>
    <n v="173735"/>
  </r>
  <r>
    <x v="4"/>
    <s v="Georgia Highlands College"/>
    <m/>
    <n v="139700"/>
    <x v="7"/>
    <n v="94"/>
    <n v="413706"/>
    <n v="133"/>
    <n v="596308"/>
    <n v="76"/>
    <n v="347168"/>
    <n v="101"/>
    <n v="550968"/>
    <m/>
    <m/>
    <m/>
    <m/>
    <n v="93"/>
    <n v="333126"/>
    <n v="132"/>
    <n v="421434"/>
    <n v="93"/>
    <n v="8579.25"/>
    <n v="133"/>
    <n v="18753"/>
    <n v="93"/>
    <n v="17205"/>
    <n v="132"/>
    <n v="23760"/>
    <n v="93"/>
    <n v="6138"/>
    <n v="133"/>
    <n v="17157"/>
    <m/>
    <m/>
    <m/>
    <m/>
    <m/>
    <m/>
    <m/>
    <m/>
    <n v="94"/>
    <n v="1125922.25"/>
    <n v="133"/>
    <n v="1628380"/>
    <n v="5"/>
    <n v="29004"/>
    <n v="1"/>
    <n v="550"/>
    <n v="4"/>
    <n v="17740"/>
    <n v="1"/>
    <n v="12337"/>
    <m/>
    <m/>
    <m/>
    <m/>
    <n v="5"/>
    <n v="26710"/>
    <n v="1"/>
    <n v="3900"/>
    <n v="5"/>
    <n v="461.25"/>
    <n v="1"/>
    <n v="141"/>
    <n v="5"/>
    <n v="920"/>
    <n v="1"/>
    <n v="180"/>
    <n v="5"/>
    <n v="330"/>
    <n v="1"/>
    <n v="129"/>
    <m/>
    <m/>
    <m/>
    <m/>
    <m/>
    <m/>
    <m/>
    <m/>
    <n v="5"/>
    <n v="75165.25"/>
    <n v="1"/>
    <n v="17237"/>
  </r>
  <r>
    <x v="4"/>
    <s v="Gordon College "/>
    <s v="Met the criteria for Two-Year with Bachelor's in 2009-10."/>
    <n v="139968"/>
    <x v="7"/>
    <n v="112"/>
    <n v="544676"/>
    <n v="115"/>
    <n v="586042"/>
    <n v="94"/>
    <n v="519071"/>
    <n v="93"/>
    <n v="563405"/>
    <m/>
    <m/>
    <m/>
    <m/>
    <n v="114"/>
    <n v="359380"/>
    <n v="115"/>
    <n v="457195"/>
    <n v="114"/>
    <n v="10516.5"/>
    <n v="115"/>
    <n v="16215"/>
    <n v="114"/>
    <n v="17100"/>
    <n v="115"/>
    <n v="17250"/>
    <n v="114"/>
    <n v="7524"/>
    <n v="115"/>
    <n v="14835"/>
    <m/>
    <m/>
    <m/>
    <m/>
    <m/>
    <m/>
    <m/>
    <m/>
    <n v="114"/>
    <n v="1458267.5"/>
    <n v="115"/>
    <n v="1654942"/>
    <m/>
    <m/>
    <m/>
    <m/>
    <m/>
    <m/>
    <m/>
    <m/>
    <m/>
    <m/>
    <m/>
    <m/>
    <m/>
    <m/>
    <m/>
    <m/>
    <m/>
    <n v="0"/>
    <m/>
    <n v="0"/>
    <m/>
    <m/>
    <m/>
    <m/>
    <m/>
    <n v="0"/>
    <m/>
    <n v="0"/>
    <m/>
    <m/>
    <m/>
    <m/>
    <m/>
    <m/>
    <m/>
    <m/>
    <n v="0"/>
    <n v="0"/>
    <n v="0"/>
    <n v="0"/>
  </r>
  <r>
    <x v="4"/>
    <s v="Middle Georgia College "/>
    <m/>
    <n v="140483"/>
    <x v="7"/>
    <n v="91"/>
    <n v="471460"/>
    <n v="90"/>
    <n v="482347"/>
    <n v="73"/>
    <n v="483340"/>
    <n v="72"/>
    <n v="519393"/>
    <m/>
    <m/>
    <m/>
    <m/>
    <n v="91"/>
    <n v="320497"/>
    <n v="91"/>
    <n v="321709"/>
    <n v="91"/>
    <n v="8394.75"/>
    <n v="91"/>
    <n v="12831"/>
    <n v="91"/>
    <n v="16371"/>
    <n v="91"/>
    <n v="16380"/>
    <n v="91"/>
    <n v="6006"/>
    <n v="91"/>
    <n v="11739"/>
    <m/>
    <m/>
    <m/>
    <m/>
    <m/>
    <m/>
    <m/>
    <m/>
    <n v="91"/>
    <n v="1306068.75"/>
    <n v="91"/>
    <n v="1364399"/>
    <n v="22"/>
    <n v="104582"/>
    <n v="19"/>
    <n v="102570"/>
    <n v="9"/>
    <n v="75585"/>
    <n v="12"/>
    <n v="73579"/>
    <m/>
    <m/>
    <m/>
    <m/>
    <n v="22"/>
    <n v="86619"/>
    <n v="19"/>
    <n v="79465"/>
    <n v="22"/>
    <n v="2029.5"/>
    <n v="19"/>
    <n v="2679"/>
    <n v="22"/>
    <n v="3960"/>
    <n v="19"/>
    <n v="3420"/>
    <n v="22"/>
    <n v="1452"/>
    <n v="19"/>
    <n v="2451"/>
    <m/>
    <m/>
    <m/>
    <m/>
    <m/>
    <m/>
    <m/>
    <m/>
    <n v="22"/>
    <n v="274227.5"/>
    <n v="19"/>
    <n v="264164"/>
  </r>
  <r>
    <x v="4"/>
    <s v="Atlanta Metropolitan College"/>
    <s v="Met the criteria for Two-Year 2 in 2009-10 and 2010-11."/>
    <n v="138901"/>
    <x v="8"/>
    <n v="44"/>
    <n v="207172"/>
    <n v="53"/>
    <n v="245276"/>
    <n v="38"/>
    <n v="188146"/>
    <n v="39"/>
    <n v="246997"/>
    <m/>
    <m/>
    <m/>
    <m/>
    <n v="44"/>
    <n v="172143"/>
    <n v="53"/>
    <n v="186355"/>
    <n v="44"/>
    <n v="4059"/>
    <n v="53"/>
    <n v="7473"/>
    <n v="44"/>
    <n v="7440"/>
    <n v="53"/>
    <n v="7920"/>
    <n v="44"/>
    <n v="2904"/>
    <n v="53"/>
    <n v="6837"/>
    <m/>
    <m/>
    <m/>
    <m/>
    <m/>
    <m/>
    <m/>
    <m/>
    <n v="44"/>
    <n v="581864"/>
    <n v="53"/>
    <n v="700858"/>
    <n v="4"/>
    <n v="32766"/>
    <n v="4"/>
    <n v="31776"/>
    <n v="4"/>
    <n v="24736"/>
    <n v="3"/>
    <n v="30368"/>
    <m/>
    <m/>
    <m/>
    <m/>
    <n v="4"/>
    <n v="24591"/>
    <n v="4"/>
    <n v="22899"/>
    <n v="4"/>
    <n v="369"/>
    <n v="4"/>
    <n v="564"/>
    <n v="4"/>
    <n v="720"/>
    <n v="4"/>
    <n v="720"/>
    <n v="4"/>
    <n v="264"/>
    <n v="4"/>
    <n v="516"/>
    <m/>
    <m/>
    <m/>
    <m/>
    <m/>
    <m/>
    <m/>
    <m/>
    <n v="4"/>
    <n v="83446"/>
    <n v="4"/>
    <n v="86843"/>
  </r>
  <r>
    <x v="4"/>
    <s v="East Georgia College"/>
    <s v="Met the criteria for Two-Year 2 in 2009-10 and 2010-11."/>
    <n v="139621"/>
    <x v="8"/>
    <n v="49"/>
    <n v="197826"/>
    <n v="61"/>
    <n v="250758"/>
    <n v="41"/>
    <n v="250455"/>
    <n v="51"/>
    <n v="311342"/>
    <m/>
    <m/>
    <m/>
    <m/>
    <n v="49"/>
    <n v="160012"/>
    <n v="61"/>
    <n v="196367"/>
    <n v="49"/>
    <n v="4520.25"/>
    <n v="61"/>
    <n v="8601"/>
    <n v="49"/>
    <n v="8820"/>
    <n v="61"/>
    <n v="10800"/>
    <n v="49"/>
    <n v="3234"/>
    <n v="61"/>
    <n v="7869"/>
    <m/>
    <m/>
    <m/>
    <m/>
    <m/>
    <m/>
    <m/>
    <m/>
    <n v="49"/>
    <n v="624867.25"/>
    <n v="61"/>
    <n v="785737"/>
    <n v="4"/>
    <n v="26509"/>
    <n v="4"/>
    <n v="26509"/>
    <n v="4"/>
    <n v="26897"/>
    <n v="4"/>
    <n v="26897"/>
    <m/>
    <m/>
    <m/>
    <m/>
    <n v="4"/>
    <n v="23534"/>
    <n v="4"/>
    <n v="23534"/>
    <n v="4"/>
    <n v="369"/>
    <n v="4"/>
    <n v="564"/>
    <n v="4"/>
    <n v="720"/>
    <n v="4"/>
    <n v="720"/>
    <n v="4"/>
    <n v="264"/>
    <n v="4"/>
    <n v="516"/>
    <m/>
    <m/>
    <m/>
    <m/>
    <m/>
    <m/>
    <m/>
    <m/>
    <n v="4"/>
    <n v="78293"/>
    <n v="4"/>
    <n v="78740"/>
  </r>
  <r>
    <x v="4"/>
    <s v="South Georgia College "/>
    <m/>
    <n v="140997"/>
    <x v="8"/>
    <n v="42"/>
    <n v="178995"/>
    <n v="43"/>
    <n v="187519"/>
    <n v="42"/>
    <n v="283013"/>
    <n v="43"/>
    <n v="249347"/>
    <m/>
    <m/>
    <m/>
    <m/>
    <n v="42"/>
    <n v="140586"/>
    <n v="43"/>
    <n v="147280"/>
    <n v="42"/>
    <n v="3874.5"/>
    <n v="43"/>
    <n v="6063"/>
    <n v="42"/>
    <n v="7560"/>
    <n v="43"/>
    <n v="7920"/>
    <n v="42"/>
    <n v="2772"/>
    <n v="43"/>
    <n v="5547"/>
    <m/>
    <m/>
    <m/>
    <m/>
    <m/>
    <m/>
    <m/>
    <m/>
    <n v="42"/>
    <n v="616800.5"/>
    <n v="43"/>
    <n v="603676"/>
    <m/>
    <m/>
    <m/>
    <m/>
    <m/>
    <m/>
    <m/>
    <m/>
    <m/>
    <m/>
    <m/>
    <m/>
    <m/>
    <m/>
    <m/>
    <m/>
    <m/>
    <m/>
    <m/>
    <n v="0"/>
    <m/>
    <m/>
    <m/>
    <m/>
    <m/>
    <m/>
    <m/>
    <n v="0"/>
    <m/>
    <m/>
    <m/>
    <m/>
    <m/>
    <m/>
    <m/>
    <m/>
    <n v="0"/>
    <n v="0"/>
    <n v="0"/>
    <n v="0"/>
  </r>
  <r>
    <x v="4"/>
    <s v="Waycross College "/>
    <m/>
    <n v="141307"/>
    <x v="8"/>
    <n v="24"/>
    <n v="101463"/>
    <n v="26"/>
    <n v="108602"/>
    <n v="18"/>
    <n v="103345"/>
    <n v="24"/>
    <n v="133499"/>
    <m/>
    <m/>
    <m/>
    <m/>
    <n v="24"/>
    <n v="82126"/>
    <n v="26"/>
    <n v="68397"/>
    <n v="24"/>
    <n v="2214"/>
    <n v="26"/>
    <n v="3666"/>
    <n v="24"/>
    <n v="4320"/>
    <n v="26"/>
    <n v="4680"/>
    <n v="24"/>
    <n v="1584"/>
    <n v="26"/>
    <n v="3354"/>
    <m/>
    <m/>
    <m/>
    <m/>
    <m/>
    <m/>
    <m/>
    <m/>
    <n v="24"/>
    <n v="295052"/>
    <n v="26"/>
    <n v="322198"/>
    <m/>
    <m/>
    <m/>
    <m/>
    <m/>
    <m/>
    <m/>
    <m/>
    <m/>
    <m/>
    <m/>
    <m/>
    <m/>
    <m/>
    <m/>
    <m/>
    <m/>
    <n v="0"/>
    <m/>
    <n v="0"/>
    <m/>
    <m/>
    <m/>
    <m/>
    <m/>
    <n v="0"/>
    <m/>
    <n v="0"/>
    <m/>
    <m/>
    <m/>
    <m/>
    <m/>
    <m/>
    <m/>
    <m/>
    <n v="0"/>
    <n v="0"/>
    <n v="0"/>
    <n v="0"/>
  </r>
  <r>
    <x v="4"/>
    <s v="Georgia Gwinnett College"/>
    <s v="In start up phase."/>
    <n v="447689"/>
    <x v="12"/>
    <n v="123"/>
    <n v="764167"/>
    <n v="193"/>
    <n v="1178925"/>
    <n v="106"/>
    <n v="654937"/>
    <n v="193"/>
    <n v="1058461"/>
    <m/>
    <m/>
    <m/>
    <m/>
    <n v="123"/>
    <n v="620126"/>
    <n v="193"/>
    <n v="955836"/>
    <n v="123"/>
    <n v="11346.75"/>
    <n v="193"/>
    <n v="27213"/>
    <n v="123"/>
    <n v="22140"/>
    <n v="193"/>
    <n v="34812"/>
    <n v="123"/>
    <n v="8118"/>
    <n v="193"/>
    <n v="24897"/>
    <m/>
    <m/>
    <m/>
    <m/>
    <m/>
    <m/>
    <m/>
    <m/>
    <n v="123"/>
    <n v="2080834.75"/>
    <n v="193"/>
    <n v="3280144"/>
    <n v="9"/>
    <n v="43223"/>
    <n v="9"/>
    <n v="42793"/>
    <n v="9"/>
    <n v="45940"/>
    <n v="9"/>
    <n v="59518"/>
    <m/>
    <m/>
    <m/>
    <m/>
    <n v="9"/>
    <n v="35209"/>
    <n v="9"/>
    <n v="34655"/>
    <n v="9"/>
    <n v="830.25"/>
    <n v="9"/>
    <n v="1269"/>
    <n v="9"/>
    <n v="1620"/>
    <n v="9"/>
    <n v="1620"/>
    <n v="9"/>
    <n v="594"/>
    <n v="9"/>
    <n v="1161"/>
    <m/>
    <m/>
    <m/>
    <m/>
    <m/>
    <m/>
    <m/>
    <m/>
    <n v="9"/>
    <n v="127416.25"/>
    <n v="9"/>
    <n v="141016"/>
  </r>
  <r>
    <x v="4"/>
    <s v="Albany Technical College"/>
    <m/>
    <n v="138682"/>
    <x v="9"/>
    <m/>
    <m/>
    <m/>
    <m/>
    <m/>
    <m/>
    <m/>
    <m/>
    <m/>
    <m/>
    <m/>
    <m/>
    <m/>
    <m/>
    <m/>
    <m/>
    <m/>
    <m/>
    <m/>
    <m/>
    <m/>
    <m/>
    <m/>
    <m/>
    <m/>
    <m/>
    <m/>
    <m/>
    <m/>
    <m/>
    <m/>
    <m/>
    <m/>
    <m/>
    <m/>
    <m/>
    <n v="0"/>
    <n v="0"/>
    <n v="0"/>
    <n v="0"/>
    <n v="78"/>
    <n v="416779"/>
    <n v="85"/>
    <n v="744276"/>
    <n v="78"/>
    <n v="686780"/>
    <n v="85"/>
    <n v="1997787"/>
    <m/>
    <m/>
    <m/>
    <m/>
    <n v="78"/>
    <n v="134531"/>
    <n v="85"/>
    <n v="141833"/>
    <n v="78"/>
    <n v="7285"/>
    <n v="85"/>
    <n v="7938"/>
    <m/>
    <m/>
    <m/>
    <m/>
    <n v="78"/>
    <n v="7284"/>
    <n v="85"/>
    <n v="7938"/>
    <m/>
    <m/>
    <m/>
    <m/>
    <m/>
    <m/>
    <m/>
    <m/>
    <n v="78"/>
    <n v="1252659"/>
    <n v="85"/>
    <n v="2899772"/>
  </r>
  <r>
    <x v="4"/>
    <s v="Athens Technical College"/>
    <m/>
    <n v="246813"/>
    <x v="9"/>
    <n v="17"/>
    <n v="89241"/>
    <n v="15"/>
    <n v="78848"/>
    <n v="17"/>
    <n v="202378"/>
    <n v="15"/>
    <n v="169762"/>
    <m/>
    <m/>
    <m/>
    <m/>
    <n v="17"/>
    <n v="16106"/>
    <n v="15"/>
    <n v="15405"/>
    <n v="17"/>
    <n v="1326"/>
    <n v="15"/>
    <n v="2550"/>
    <m/>
    <m/>
    <m/>
    <m/>
    <n v="17"/>
    <n v="4845"/>
    <n v="15"/>
    <n v="6030"/>
    <m/>
    <m/>
    <m/>
    <m/>
    <m/>
    <m/>
    <m/>
    <m/>
    <n v="17"/>
    <n v="313896"/>
    <n v="15"/>
    <n v="272595"/>
    <n v="72"/>
    <n v="434854"/>
    <n v="82"/>
    <n v="519719"/>
    <n v="72"/>
    <n v="984243"/>
    <n v="82"/>
    <n v="1120581"/>
    <m/>
    <m/>
    <m/>
    <m/>
    <n v="72"/>
    <n v="85299"/>
    <n v="82"/>
    <n v="87696"/>
    <n v="72"/>
    <n v="5304"/>
    <n v="82"/>
    <n v="13940"/>
    <m/>
    <m/>
    <m/>
    <m/>
    <n v="72"/>
    <n v="20520"/>
    <n v="82"/>
    <n v="32964"/>
    <m/>
    <m/>
    <m/>
    <m/>
    <m/>
    <m/>
    <m/>
    <m/>
    <n v="72"/>
    <n v="1530220"/>
    <n v="82"/>
    <n v="1774900"/>
  </r>
  <r>
    <x v="4"/>
    <s v="Atlanta Technical College"/>
    <m/>
    <n v="138840"/>
    <x v="9"/>
    <m/>
    <m/>
    <m/>
    <m/>
    <m/>
    <m/>
    <m/>
    <m/>
    <m/>
    <m/>
    <m/>
    <m/>
    <m/>
    <m/>
    <m/>
    <m/>
    <m/>
    <m/>
    <m/>
    <m/>
    <m/>
    <m/>
    <m/>
    <m/>
    <m/>
    <m/>
    <m/>
    <m/>
    <m/>
    <m/>
    <m/>
    <m/>
    <m/>
    <m/>
    <m/>
    <m/>
    <n v="0"/>
    <n v="0"/>
    <n v="0"/>
    <n v="0"/>
    <n v="85"/>
    <n v="436808"/>
    <n v="89"/>
    <n v="441078"/>
    <n v="85"/>
    <n v="1075217"/>
    <n v="89"/>
    <n v="1216102"/>
    <m/>
    <m/>
    <m/>
    <m/>
    <n v="85"/>
    <n v="68251"/>
    <n v="89"/>
    <n v="68918"/>
    <n v="85"/>
    <n v="2295"/>
    <n v="89"/>
    <n v="2403"/>
    <m/>
    <m/>
    <m/>
    <m/>
    <n v="85"/>
    <n v="15725"/>
    <n v="89"/>
    <n v="16465"/>
    <m/>
    <m/>
    <m/>
    <m/>
    <m/>
    <m/>
    <m/>
    <m/>
    <n v="85"/>
    <n v="1598296"/>
    <n v="89"/>
    <n v="1744966"/>
  </r>
  <r>
    <x v="4"/>
    <s v="Augusta Technical College"/>
    <m/>
    <n v="138956"/>
    <x v="9"/>
    <m/>
    <m/>
    <n v="1"/>
    <n v="5037"/>
    <m/>
    <m/>
    <n v="1"/>
    <n v="12380"/>
    <m/>
    <m/>
    <m/>
    <m/>
    <m/>
    <m/>
    <n v="1"/>
    <n v="3701"/>
    <m/>
    <m/>
    <n v="1"/>
    <n v="65"/>
    <m/>
    <m/>
    <m/>
    <m/>
    <m/>
    <m/>
    <n v="1"/>
    <n v="323"/>
    <m/>
    <m/>
    <m/>
    <m/>
    <m/>
    <m/>
    <m/>
    <m/>
    <n v="0"/>
    <n v="0"/>
    <n v="1"/>
    <n v="21506"/>
    <n v="133"/>
    <n v="777597"/>
    <n v="132"/>
    <n v="778844"/>
    <n v="133"/>
    <n v="740475"/>
    <n v="132"/>
    <n v="1971614"/>
    <m/>
    <m/>
    <m/>
    <m/>
    <n v="133"/>
    <n v="279413"/>
    <n v="132"/>
    <n v="256201"/>
    <n v="133"/>
    <n v="8645"/>
    <n v="132"/>
    <n v="8580"/>
    <m/>
    <m/>
    <m/>
    <m/>
    <n v="133"/>
    <n v="42959"/>
    <n v="132"/>
    <n v="42636"/>
    <m/>
    <m/>
    <m/>
    <m/>
    <m/>
    <m/>
    <m/>
    <m/>
    <n v="133"/>
    <n v="1849089"/>
    <n v="132"/>
    <n v="3057875"/>
  </r>
  <r>
    <x v="4"/>
    <s v="Central Georgia Technical College"/>
    <m/>
    <n v="140304"/>
    <x v="9"/>
    <n v="2"/>
    <n v="7656"/>
    <n v="1"/>
    <n v="3756"/>
    <n v="2"/>
    <n v="19687"/>
    <n v="1"/>
    <n v="9349"/>
    <m/>
    <m/>
    <m/>
    <m/>
    <n v="2"/>
    <n v="1289"/>
    <n v="1"/>
    <n v="530"/>
    <n v="2"/>
    <n v="34"/>
    <n v="1"/>
    <n v="53"/>
    <m/>
    <m/>
    <m/>
    <m/>
    <n v="2"/>
    <n v="780"/>
    <n v="1"/>
    <n v="101"/>
    <m/>
    <m/>
    <m/>
    <m/>
    <m/>
    <m/>
    <m/>
    <m/>
    <n v="2"/>
    <n v="29446"/>
    <n v="1"/>
    <n v="13789"/>
    <n v="115"/>
    <n v="542122"/>
    <n v="120"/>
    <n v="584351"/>
    <n v="115"/>
    <n v="1228264"/>
    <n v="120"/>
    <n v="1462086"/>
    <m/>
    <m/>
    <m/>
    <m/>
    <n v="115"/>
    <n v="253479"/>
    <n v="120"/>
    <n v="243376"/>
    <n v="115"/>
    <n v="17773"/>
    <n v="120"/>
    <n v="6360"/>
    <m/>
    <m/>
    <m/>
    <m/>
    <n v="115"/>
    <n v="44850"/>
    <n v="120"/>
    <n v="12120"/>
    <m/>
    <m/>
    <m/>
    <m/>
    <m/>
    <m/>
    <m/>
    <m/>
    <n v="115"/>
    <n v="2086488"/>
    <n v="120"/>
    <n v="2308293"/>
  </r>
  <r>
    <x v="4"/>
    <s v="Chattahoochee Technical College"/>
    <m/>
    <n v="140331"/>
    <x v="9"/>
    <n v="3"/>
    <n v="5941"/>
    <n v="1"/>
    <n v="3132"/>
    <n v="0"/>
    <n v="0"/>
    <m/>
    <m/>
    <n v="0"/>
    <n v="0"/>
    <m/>
    <m/>
    <n v="1"/>
    <n v="1153"/>
    <n v="1"/>
    <n v="1600"/>
    <n v="3"/>
    <n v="273"/>
    <n v="1"/>
    <n v="130"/>
    <n v="0"/>
    <n v="0"/>
    <m/>
    <m/>
    <n v="3"/>
    <n v="830"/>
    <n v="1"/>
    <n v="322"/>
    <n v="0"/>
    <n v="0"/>
    <m/>
    <m/>
    <n v="3"/>
    <n v="9857"/>
    <n v="1"/>
    <n v="7697"/>
    <n v="3"/>
    <n v="18054"/>
    <n v="1"/>
    <n v="12881"/>
    <n v="158"/>
    <n v="871276"/>
    <n v="171"/>
    <n v="964540"/>
    <n v="0"/>
    <n v="0"/>
    <m/>
    <m/>
    <n v="0"/>
    <n v="0"/>
    <m/>
    <m/>
    <n v="38"/>
    <n v="117694"/>
    <n v="54"/>
    <n v="172694"/>
    <n v="155"/>
    <n v="14131"/>
    <n v="172"/>
    <n v="22374"/>
    <n v="0"/>
    <n v="0"/>
    <m/>
    <m/>
    <n v="155"/>
    <n v="42901"/>
    <n v="172"/>
    <n v="55471"/>
    <n v="0"/>
    <n v="0"/>
    <m/>
    <m/>
    <n v="155"/>
    <n v="1448287"/>
    <n v="172"/>
    <n v="2544527"/>
    <n v="158"/>
    <n v="2494289"/>
    <n v="172"/>
    <n v="3759606"/>
  </r>
  <r>
    <x v="4"/>
    <s v="Columbus Technical College"/>
    <m/>
    <n v="139357"/>
    <x v="9"/>
    <m/>
    <m/>
    <m/>
    <m/>
    <m/>
    <m/>
    <m/>
    <m/>
    <m/>
    <m/>
    <m/>
    <m/>
    <m/>
    <m/>
    <m/>
    <m/>
    <m/>
    <m/>
    <m/>
    <m/>
    <m/>
    <m/>
    <m/>
    <m/>
    <m/>
    <m/>
    <m/>
    <m/>
    <m/>
    <m/>
    <m/>
    <m/>
    <m/>
    <m/>
    <m/>
    <m/>
    <n v="0"/>
    <n v="0"/>
    <n v="0"/>
    <n v="0"/>
    <n v="74"/>
    <n v="396526"/>
    <n v="72"/>
    <n v="385027"/>
    <n v="74"/>
    <n v="893486"/>
    <n v="72"/>
    <n v="963123"/>
    <m/>
    <m/>
    <m/>
    <m/>
    <n v="74"/>
    <n v="94543"/>
    <n v="72"/>
    <n v="107476"/>
    <n v="74"/>
    <n v="15810"/>
    <n v="72"/>
    <n v="18911"/>
    <m/>
    <m/>
    <m/>
    <m/>
    <n v="74"/>
    <n v="48034"/>
    <n v="72"/>
    <n v="46575"/>
    <m/>
    <m/>
    <m/>
    <m/>
    <m/>
    <m/>
    <m/>
    <m/>
    <n v="74"/>
    <n v="1448399"/>
    <n v="72"/>
    <n v="1521112"/>
  </r>
  <r>
    <x v="4"/>
    <s v="DeKalb Technical College"/>
    <m/>
    <n v="244446"/>
    <x v="9"/>
    <m/>
    <m/>
    <m/>
    <m/>
    <m/>
    <m/>
    <m/>
    <m/>
    <m/>
    <m/>
    <m/>
    <m/>
    <m/>
    <m/>
    <m/>
    <m/>
    <m/>
    <m/>
    <m/>
    <m/>
    <m/>
    <m/>
    <m/>
    <m/>
    <m/>
    <m/>
    <m/>
    <m/>
    <m/>
    <m/>
    <m/>
    <m/>
    <m/>
    <m/>
    <m/>
    <m/>
    <n v="0"/>
    <n v="0"/>
    <n v="0"/>
    <n v="0"/>
    <n v="89"/>
    <n v="536270"/>
    <n v="82"/>
    <n v="506182"/>
    <n v="89"/>
    <n v="1201203"/>
    <n v="82"/>
    <n v="1197294"/>
    <m/>
    <m/>
    <m/>
    <m/>
    <n v="89"/>
    <n v="156534"/>
    <n v="82"/>
    <n v="139373"/>
    <n v="89"/>
    <n v="24564"/>
    <n v="82"/>
    <n v="13350"/>
    <m/>
    <m/>
    <m/>
    <m/>
    <n v="89"/>
    <n v="24564"/>
    <n v="82"/>
    <n v="10289"/>
    <m/>
    <m/>
    <m/>
    <m/>
    <m/>
    <m/>
    <m/>
    <m/>
    <n v="89"/>
    <n v="1943135"/>
    <n v="82"/>
    <n v="1866488"/>
  </r>
  <r>
    <x v="4"/>
    <s v="Georgia Northwestern Technical College"/>
    <m/>
    <n v="139384"/>
    <x v="9"/>
    <n v="6"/>
    <n v="3546"/>
    <n v="6"/>
    <n v="3546"/>
    <n v="6"/>
    <n v="5809"/>
    <n v="6"/>
    <n v="5809"/>
    <n v="0"/>
    <n v="0"/>
    <m/>
    <m/>
    <n v="6"/>
    <n v="1742"/>
    <n v="6"/>
    <n v="1742"/>
    <n v="6"/>
    <n v="121"/>
    <n v="6"/>
    <n v="121"/>
    <n v="0"/>
    <n v="0"/>
    <m/>
    <m/>
    <n v="6"/>
    <n v="367"/>
    <n v="6"/>
    <n v="367"/>
    <n v="0"/>
    <n v="0"/>
    <m/>
    <m/>
    <n v="0"/>
    <n v="0"/>
    <m/>
    <m/>
    <n v="6"/>
    <n v="11585"/>
    <n v="6"/>
    <n v="11585"/>
    <n v="117"/>
    <n v="56474"/>
    <n v="117"/>
    <n v="56837"/>
    <n v="117"/>
    <n v="96854"/>
    <n v="117"/>
    <n v="125468"/>
    <n v="0"/>
    <n v="0"/>
    <m/>
    <m/>
    <n v="117"/>
    <n v="21435"/>
    <n v="117"/>
    <n v="24432"/>
    <n v="117"/>
    <n v="9346"/>
    <n v="117"/>
    <n v="10139"/>
    <n v="0"/>
    <n v="0"/>
    <m/>
    <m/>
    <n v="117"/>
    <n v="30299"/>
    <n v="117"/>
    <n v="17711"/>
    <n v="0"/>
    <n v="0"/>
    <m/>
    <m/>
    <n v="0"/>
    <n v="0"/>
    <m/>
    <m/>
    <n v="117"/>
    <n v="214408"/>
    <n v="117"/>
    <n v="234587"/>
  </r>
  <r>
    <x v="4"/>
    <s v="Southern Crescent Technical College"/>
    <s v="Is the merger of Flint River Tech. Col. and Griffin Tech.l Col."/>
    <n v="139986"/>
    <x v="9"/>
    <m/>
    <m/>
    <m/>
    <m/>
    <m/>
    <m/>
    <m/>
    <m/>
    <m/>
    <m/>
    <m/>
    <m/>
    <m/>
    <m/>
    <m/>
    <m/>
    <m/>
    <m/>
    <m/>
    <m/>
    <m/>
    <m/>
    <m/>
    <m/>
    <m/>
    <m/>
    <m/>
    <m/>
    <m/>
    <m/>
    <m/>
    <m/>
    <m/>
    <m/>
    <m/>
    <m/>
    <n v="0"/>
    <n v="0"/>
    <n v="0"/>
    <n v="0"/>
    <n v="98"/>
    <n v="307134.14285714284"/>
    <n v="110"/>
    <n v="507258"/>
    <n v="98"/>
    <n v="679849.42857142852"/>
    <n v="110"/>
    <n v="1139757"/>
    <m/>
    <m/>
    <m/>
    <m/>
    <n v="98"/>
    <n v="85527"/>
    <n v="110"/>
    <n v="149446"/>
    <n v="98"/>
    <n v="5614.5714285714284"/>
    <n v="110"/>
    <n v="9947"/>
    <m/>
    <m/>
    <m/>
    <m/>
    <n v="98"/>
    <n v="17052.714285714286"/>
    <n v="110"/>
    <n v="35090"/>
    <m/>
    <m/>
    <m/>
    <m/>
    <m/>
    <m/>
    <m/>
    <m/>
    <n v="98"/>
    <n v="1095177.857142857"/>
    <n v="110"/>
    <n v="1841498"/>
  </r>
  <r>
    <x v="4"/>
    <s v="Gwinnett Technical College"/>
    <m/>
    <n v="140012"/>
    <x v="9"/>
    <m/>
    <m/>
    <m/>
    <m/>
    <m/>
    <m/>
    <m/>
    <m/>
    <m/>
    <m/>
    <m/>
    <m/>
    <m/>
    <m/>
    <m/>
    <m/>
    <m/>
    <m/>
    <m/>
    <m/>
    <m/>
    <m/>
    <m/>
    <m/>
    <m/>
    <m/>
    <m/>
    <m/>
    <m/>
    <m/>
    <m/>
    <m/>
    <m/>
    <m/>
    <m/>
    <m/>
    <n v="0"/>
    <n v="0"/>
    <n v="0"/>
    <n v="0"/>
    <n v="85"/>
    <n v="607604"/>
    <n v="91"/>
    <n v="639164"/>
    <n v="85"/>
    <n v="1293712"/>
    <n v="91"/>
    <n v="1570956"/>
    <m/>
    <m/>
    <m/>
    <m/>
    <n v="85"/>
    <n v="120625"/>
    <n v="91"/>
    <n v="126891"/>
    <n v="85"/>
    <n v="11220"/>
    <n v="91"/>
    <n v="11557"/>
    <m/>
    <m/>
    <m/>
    <m/>
    <n v="85"/>
    <n v="46693"/>
    <n v="91"/>
    <n v="49119"/>
    <m/>
    <m/>
    <m/>
    <m/>
    <m/>
    <m/>
    <m/>
    <m/>
    <n v="85"/>
    <n v="2079854"/>
    <n v="91"/>
    <n v="2397687"/>
  </r>
  <r>
    <x v="4"/>
    <s v="Heart of Georgia Technical College"/>
    <m/>
    <n v="140076"/>
    <x v="9"/>
    <m/>
    <m/>
    <m/>
    <m/>
    <m/>
    <m/>
    <m/>
    <m/>
    <m/>
    <m/>
    <m/>
    <m/>
    <m/>
    <m/>
    <m/>
    <m/>
    <m/>
    <m/>
    <m/>
    <m/>
    <m/>
    <m/>
    <m/>
    <m/>
    <m/>
    <m/>
    <m/>
    <m/>
    <m/>
    <m/>
    <m/>
    <m/>
    <m/>
    <m/>
    <m/>
    <m/>
    <n v="0"/>
    <n v="0"/>
    <n v="0"/>
    <n v="0"/>
    <n v="44"/>
    <n v="222197"/>
    <n v="46"/>
    <n v="232297"/>
    <m/>
    <m/>
    <m/>
    <m/>
    <m/>
    <m/>
    <m/>
    <m/>
    <m/>
    <m/>
    <m/>
    <m/>
    <n v="44"/>
    <n v="3630"/>
    <n v="46"/>
    <n v="3795"/>
    <m/>
    <m/>
    <m/>
    <m/>
    <n v="44"/>
    <n v="11768"/>
    <n v="46"/>
    <n v="12303"/>
    <m/>
    <m/>
    <m/>
    <m/>
    <n v="44"/>
    <n v="309337"/>
    <n v="46"/>
    <n v="323398"/>
    <n v="44"/>
    <n v="546932"/>
    <n v="46"/>
    <n v="571793"/>
  </r>
  <r>
    <x v="4"/>
    <s v="Lanier Technical College"/>
    <m/>
    <n v="140243"/>
    <x v="9"/>
    <n v="1"/>
    <n v="4195"/>
    <n v="1"/>
    <n v="4428"/>
    <n v="1"/>
    <n v="9547"/>
    <n v="1"/>
    <n v="9547"/>
    <m/>
    <m/>
    <m/>
    <m/>
    <n v="0"/>
    <n v="0"/>
    <n v="0"/>
    <n v="0"/>
    <n v="1"/>
    <n v="88"/>
    <n v="1"/>
    <n v="90"/>
    <m/>
    <m/>
    <m/>
    <m/>
    <n v="1"/>
    <n v="315"/>
    <n v="1"/>
    <n v="379"/>
    <m/>
    <m/>
    <m/>
    <m/>
    <m/>
    <m/>
    <m/>
    <m/>
    <n v="1"/>
    <n v="14145"/>
    <n v="1"/>
    <n v="14444"/>
    <n v="74"/>
    <n v="414807"/>
    <n v="78"/>
    <n v="452738"/>
    <n v="74"/>
    <n v="949918"/>
    <n v="78"/>
    <n v="1002595"/>
    <m/>
    <m/>
    <m/>
    <m/>
    <n v="18"/>
    <n v="57762"/>
    <n v="20"/>
    <n v="65611"/>
    <n v="74"/>
    <n v="6512"/>
    <n v="78"/>
    <n v="7020"/>
    <m/>
    <m/>
    <m/>
    <m/>
    <n v="74"/>
    <n v="23310"/>
    <n v="78"/>
    <n v="29562"/>
    <m/>
    <m/>
    <m/>
    <m/>
    <m/>
    <m/>
    <m/>
    <m/>
    <n v="74"/>
    <n v="1452309"/>
    <n v="78"/>
    <n v="1557526"/>
  </r>
  <r>
    <x v="4"/>
    <s v="Middle Georgia Technical College"/>
    <m/>
    <n v="140085"/>
    <x v="9"/>
    <m/>
    <m/>
    <m/>
    <m/>
    <m/>
    <m/>
    <m/>
    <m/>
    <m/>
    <m/>
    <m/>
    <m/>
    <m/>
    <m/>
    <m/>
    <m/>
    <m/>
    <m/>
    <m/>
    <m/>
    <m/>
    <m/>
    <m/>
    <m/>
    <m/>
    <m/>
    <m/>
    <m/>
    <m/>
    <m/>
    <m/>
    <m/>
    <m/>
    <m/>
    <m/>
    <m/>
    <n v="0"/>
    <n v="0"/>
    <n v="0"/>
    <n v="0"/>
    <n v="102"/>
    <n v="435591"/>
    <n v="97"/>
    <n v="445436"/>
    <n v="104"/>
    <n v="572248"/>
    <n v="99"/>
    <n v="1085001"/>
    <m/>
    <m/>
    <m/>
    <m/>
    <n v="112"/>
    <n v="130608"/>
    <n v="100"/>
    <n v="135546"/>
    <n v="112"/>
    <n v="7536"/>
    <n v="100"/>
    <n v="9504"/>
    <m/>
    <m/>
    <m/>
    <m/>
    <n v="112"/>
    <n v="7676"/>
    <n v="100"/>
    <n v="14102"/>
    <m/>
    <m/>
    <m/>
    <m/>
    <m/>
    <m/>
    <m/>
    <m/>
    <n v="112"/>
    <n v="1153659"/>
    <n v="100"/>
    <n v="1689589"/>
  </r>
  <r>
    <x v="4"/>
    <s v="Moultrie Technical College"/>
    <m/>
    <n v="140599"/>
    <x v="9"/>
    <m/>
    <m/>
    <m/>
    <m/>
    <m/>
    <m/>
    <m/>
    <m/>
    <m/>
    <m/>
    <m/>
    <m/>
    <m/>
    <m/>
    <m/>
    <m/>
    <m/>
    <m/>
    <m/>
    <m/>
    <m/>
    <m/>
    <m/>
    <m/>
    <m/>
    <m/>
    <m/>
    <m/>
    <m/>
    <m/>
    <m/>
    <m/>
    <m/>
    <m/>
    <m/>
    <m/>
    <n v="0"/>
    <n v="0"/>
    <n v="0"/>
    <n v="0"/>
    <n v="56"/>
    <n v="283267"/>
    <n v="60"/>
    <n v="320121"/>
    <n v="56"/>
    <n v="372782"/>
    <n v="60"/>
    <n v="688175"/>
    <m/>
    <m/>
    <m/>
    <m/>
    <n v="56"/>
    <n v="78289"/>
    <n v="60"/>
    <n v="96367"/>
    <n v="56"/>
    <n v="11108"/>
    <n v="60"/>
    <n v="22623"/>
    <m/>
    <m/>
    <m/>
    <m/>
    <n v="56"/>
    <n v="36011"/>
    <n v="60"/>
    <n v="54516"/>
    <m/>
    <m/>
    <m/>
    <m/>
    <m/>
    <m/>
    <m/>
    <m/>
    <n v="56"/>
    <n v="781457"/>
    <n v="60"/>
    <n v="1181802"/>
  </r>
  <r>
    <x v="4"/>
    <s v="North Georgia Technical College"/>
    <m/>
    <n v="140678"/>
    <x v="9"/>
    <m/>
    <m/>
    <m/>
    <m/>
    <m/>
    <m/>
    <m/>
    <m/>
    <m/>
    <m/>
    <m/>
    <m/>
    <m/>
    <m/>
    <m/>
    <m/>
    <m/>
    <m/>
    <m/>
    <m/>
    <m/>
    <m/>
    <m/>
    <m/>
    <m/>
    <m/>
    <m/>
    <m/>
    <m/>
    <m/>
    <m/>
    <m/>
    <m/>
    <m/>
    <m/>
    <m/>
    <n v="0"/>
    <n v="0"/>
    <n v="0"/>
    <n v="0"/>
    <n v="72"/>
    <n v="342666"/>
    <n v="71"/>
    <n v="351382"/>
    <n v="72"/>
    <n v="573453"/>
    <n v="71"/>
    <n v="871973"/>
    <m/>
    <m/>
    <m/>
    <m/>
    <n v="17"/>
    <n v="66325"/>
    <n v="16"/>
    <n v="61122"/>
    <n v="72"/>
    <n v="7238"/>
    <n v="71"/>
    <n v="12603"/>
    <m/>
    <m/>
    <m/>
    <m/>
    <n v="72"/>
    <n v="21992"/>
    <n v="71"/>
    <n v="30370"/>
    <m/>
    <m/>
    <m/>
    <m/>
    <m/>
    <m/>
    <m/>
    <m/>
    <n v="72"/>
    <n v="1011674"/>
    <n v="71"/>
    <n v="1327450"/>
  </r>
  <r>
    <x v="4"/>
    <s v="Ogeechee Technical College"/>
    <m/>
    <n v="366465"/>
    <x v="9"/>
    <m/>
    <m/>
    <m/>
    <m/>
    <m/>
    <m/>
    <m/>
    <m/>
    <m/>
    <m/>
    <m/>
    <m/>
    <m/>
    <m/>
    <m/>
    <m/>
    <m/>
    <m/>
    <m/>
    <m/>
    <m/>
    <m/>
    <m/>
    <m/>
    <m/>
    <m/>
    <m/>
    <m/>
    <m/>
    <m/>
    <m/>
    <m/>
    <m/>
    <m/>
    <m/>
    <m/>
    <n v="0"/>
    <n v="0"/>
    <n v="0"/>
    <n v="0"/>
    <n v="67"/>
    <n v="295957"/>
    <n v="71"/>
    <n v="299644"/>
    <n v="58"/>
    <n v="414789"/>
    <n v="65"/>
    <n v="324428"/>
    <m/>
    <m/>
    <m/>
    <m/>
    <n v="67"/>
    <n v="66639"/>
    <n v="71"/>
    <n v="59037"/>
    <n v="67"/>
    <n v="5956"/>
    <n v="71"/>
    <n v="12678"/>
    <m/>
    <m/>
    <m/>
    <m/>
    <n v="67"/>
    <n v="19307"/>
    <n v="71"/>
    <n v="24751"/>
    <m/>
    <m/>
    <m/>
    <m/>
    <m/>
    <m/>
    <m/>
    <m/>
    <n v="67"/>
    <n v="802648"/>
    <n v="71"/>
    <n v="720538"/>
  </r>
  <r>
    <x v="4"/>
    <s v="Okefenokee Technical College"/>
    <m/>
    <n v="248776"/>
    <x v="9"/>
    <n v="2"/>
    <n v="7394"/>
    <n v="2"/>
    <n v="7597"/>
    <n v="2"/>
    <n v="16281"/>
    <n v="2"/>
    <n v="18793"/>
    <m/>
    <m/>
    <m/>
    <m/>
    <n v="2"/>
    <n v="3245"/>
    <n v="2"/>
    <n v="3245"/>
    <n v="2"/>
    <n v="193"/>
    <n v="2"/>
    <n v="317"/>
    <m/>
    <m/>
    <m/>
    <m/>
    <n v="2"/>
    <n v="588"/>
    <n v="2"/>
    <n v="765"/>
    <m/>
    <m/>
    <m/>
    <m/>
    <m/>
    <m/>
    <m/>
    <m/>
    <n v="2"/>
    <n v="27701"/>
    <n v="2"/>
    <n v="30717"/>
    <n v="47"/>
    <n v="220910"/>
    <n v="50"/>
    <n v="244789"/>
    <n v="47"/>
    <n v="499478"/>
    <n v="50"/>
    <n v="610619"/>
    <m/>
    <m/>
    <m/>
    <m/>
    <n v="47"/>
    <n v="48559"/>
    <n v="50"/>
    <n v="49283"/>
    <n v="47"/>
    <n v="4544"/>
    <n v="50"/>
    <n v="7933"/>
    <m/>
    <m/>
    <m/>
    <m/>
    <n v="47"/>
    <n v="13808"/>
    <n v="50"/>
    <n v="19117"/>
    <m/>
    <m/>
    <m/>
    <m/>
    <m/>
    <m/>
    <m/>
    <m/>
    <n v="47"/>
    <n v="787299"/>
    <n v="50"/>
    <n v="931741"/>
  </r>
  <r>
    <x v="4"/>
    <s v="Savannah Technical College"/>
    <m/>
    <n v="140942"/>
    <x v="9"/>
    <n v="4"/>
    <n v="8474"/>
    <n v="2"/>
    <n v="9985"/>
    <n v="4"/>
    <n v="10193"/>
    <n v="2"/>
    <n v="26722"/>
    <m/>
    <m/>
    <m/>
    <m/>
    <n v="1"/>
    <n v="711"/>
    <n v="0"/>
    <n v="0"/>
    <n v="4"/>
    <n v="306"/>
    <n v="2"/>
    <n v="168"/>
    <m/>
    <m/>
    <m/>
    <m/>
    <n v="4"/>
    <n v="490"/>
    <n v="2"/>
    <n v="510"/>
    <m/>
    <m/>
    <m/>
    <m/>
    <m/>
    <m/>
    <m/>
    <m/>
    <n v="4"/>
    <n v="20174"/>
    <n v="2"/>
    <n v="37385"/>
    <n v="81"/>
    <n v="360930"/>
    <n v="88"/>
    <n v="423625"/>
    <n v="81"/>
    <n v="396098"/>
    <n v="88"/>
    <n v="1054160"/>
    <m/>
    <m/>
    <m/>
    <m/>
    <n v="12"/>
    <n v="31621"/>
    <n v="13"/>
    <n v="35018"/>
    <n v="81"/>
    <n v="6198"/>
    <n v="88"/>
    <n v="7381"/>
    <m/>
    <m/>
    <m/>
    <m/>
    <n v="81"/>
    <n v="9915"/>
    <n v="88"/>
    <n v="22429"/>
    <m/>
    <m/>
    <m/>
    <m/>
    <m/>
    <m/>
    <m/>
    <m/>
    <n v="81"/>
    <n v="804762"/>
    <n v="88"/>
    <n v="1542613"/>
  </r>
  <r>
    <x v="4"/>
    <s v="South Georgia Technical College"/>
    <m/>
    <n v="141006"/>
    <x v="9"/>
    <m/>
    <m/>
    <m/>
    <m/>
    <m/>
    <m/>
    <m/>
    <m/>
    <m/>
    <m/>
    <m/>
    <m/>
    <m/>
    <m/>
    <m/>
    <m/>
    <m/>
    <m/>
    <m/>
    <m/>
    <m/>
    <m/>
    <m/>
    <m/>
    <m/>
    <m/>
    <m/>
    <m/>
    <m/>
    <m/>
    <m/>
    <m/>
    <m/>
    <m/>
    <m/>
    <m/>
    <n v="0"/>
    <n v="0"/>
    <n v="0"/>
    <n v="0"/>
    <n v="63"/>
    <n v="317184"/>
    <n v="63"/>
    <n v="326745"/>
    <n v="63"/>
    <n v="728496"/>
    <n v="63"/>
    <n v="680336"/>
    <m/>
    <m/>
    <m/>
    <m/>
    <n v="63"/>
    <n v="114312"/>
    <n v="63"/>
    <n v="118660"/>
    <n v="63"/>
    <n v="5103"/>
    <n v="63"/>
    <n v="4670"/>
    <m/>
    <m/>
    <m/>
    <m/>
    <n v="63"/>
    <n v="15561"/>
    <n v="63"/>
    <n v="15117"/>
    <m/>
    <m/>
    <m/>
    <m/>
    <m/>
    <m/>
    <m/>
    <m/>
    <n v="63"/>
    <n v="1180656"/>
    <n v="63"/>
    <n v="1145528"/>
  </r>
  <r>
    <x v="4"/>
    <s v="Southeastern Technical College"/>
    <m/>
    <n v="368911"/>
    <x v="9"/>
    <m/>
    <m/>
    <m/>
    <m/>
    <m/>
    <m/>
    <m/>
    <m/>
    <m/>
    <m/>
    <m/>
    <m/>
    <m/>
    <m/>
    <m/>
    <m/>
    <m/>
    <m/>
    <m/>
    <m/>
    <m/>
    <m/>
    <m/>
    <m/>
    <m/>
    <m/>
    <m/>
    <m/>
    <m/>
    <m/>
    <m/>
    <m/>
    <m/>
    <m/>
    <m/>
    <m/>
    <n v="0"/>
    <n v="0"/>
    <n v="0"/>
    <n v="0"/>
    <n v="70"/>
    <n v="355884"/>
    <n v="70"/>
    <n v="368991"/>
    <n v="70"/>
    <n v="587736"/>
    <n v="70"/>
    <n v="843273"/>
    <n v="0"/>
    <n v="0"/>
    <m/>
    <m/>
    <n v="16"/>
    <n v="75396"/>
    <n v="18"/>
    <n v="78708"/>
    <n v="70"/>
    <n v="7660"/>
    <n v="70"/>
    <n v="24271"/>
    <n v="0"/>
    <n v="0"/>
    <m/>
    <m/>
    <n v="70"/>
    <n v="24835"/>
    <n v="70"/>
    <n v="52267"/>
    <n v="0"/>
    <n v="0"/>
    <m/>
    <m/>
    <n v="0"/>
    <n v="0"/>
    <m/>
    <m/>
    <n v="70"/>
    <n v="1051511"/>
    <n v="70"/>
    <n v="1367510"/>
  </r>
  <r>
    <x v="4"/>
    <s v="Southwest Georgia Technical College"/>
    <m/>
    <n v="141158"/>
    <x v="9"/>
    <m/>
    <m/>
    <n v="1"/>
    <n v="4450"/>
    <m/>
    <m/>
    <n v="1"/>
    <n v="10936"/>
    <m/>
    <m/>
    <m/>
    <m/>
    <m/>
    <m/>
    <m/>
    <m/>
    <m/>
    <m/>
    <n v="0"/>
    <n v="0"/>
    <m/>
    <m/>
    <m/>
    <m/>
    <m/>
    <m/>
    <n v="1"/>
    <n v="98"/>
    <m/>
    <m/>
    <m/>
    <m/>
    <m/>
    <m/>
    <n v="1"/>
    <n v="299"/>
    <n v="0"/>
    <n v="0"/>
    <n v="1"/>
    <n v="15783"/>
    <n v="53"/>
    <n v="291171"/>
    <n v="47"/>
    <n v="253473"/>
    <n v="53"/>
    <n v="452896"/>
    <n v="47"/>
    <n v="661445"/>
    <m/>
    <m/>
    <m/>
    <m/>
    <m/>
    <m/>
    <m/>
    <m/>
    <n v="53"/>
    <n v="5834"/>
    <n v="47"/>
    <n v="4646"/>
    <m/>
    <m/>
    <m/>
    <m/>
    <n v="53"/>
    <n v="17724"/>
    <n v="47"/>
    <n v="14114"/>
    <m/>
    <m/>
    <m/>
    <m/>
    <m/>
    <m/>
    <m/>
    <m/>
    <n v="53"/>
    <n v="767625"/>
    <n v="47"/>
    <n v="933678"/>
  </r>
  <r>
    <x v="4"/>
    <s v="Wiregrass Georgia Technical College"/>
    <s v="Is the merger of East Central Tech. Col. and Valdosta Tech. Col."/>
    <n v="141255"/>
    <x v="9"/>
    <n v="2"/>
    <n v="5032"/>
    <m/>
    <m/>
    <n v="2"/>
    <n v="6429"/>
    <m/>
    <m/>
    <m/>
    <m/>
    <m/>
    <m/>
    <m/>
    <m/>
    <m/>
    <m/>
    <n v="2"/>
    <n v="82"/>
    <m/>
    <m/>
    <m/>
    <m/>
    <m/>
    <m/>
    <n v="2"/>
    <n v="134"/>
    <m/>
    <m/>
    <m/>
    <m/>
    <m/>
    <m/>
    <m/>
    <m/>
    <m/>
    <m/>
    <n v="2"/>
    <n v="11677"/>
    <n v="0"/>
    <n v="0"/>
    <n v="115"/>
    <n v="288983.59999999998"/>
    <n v="121"/>
    <n v="595153"/>
    <n v="115"/>
    <n v="456149.8"/>
    <n v="121"/>
    <n v="1283226"/>
    <m/>
    <m/>
    <m/>
    <m/>
    <n v="86"/>
    <n v="50063.872093023259"/>
    <n v="121"/>
    <n v="83947"/>
    <n v="115"/>
    <n v="8687.2000000000007"/>
    <n v="121"/>
    <n v="47599"/>
    <m/>
    <m/>
    <m/>
    <m/>
    <n v="115"/>
    <n v="24959.8"/>
    <n v="121"/>
    <n v="54892"/>
    <m/>
    <m/>
    <m/>
    <m/>
    <m/>
    <m/>
    <m/>
    <m/>
    <n v="115"/>
    <n v="828844.27209302329"/>
    <n v="121"/>
    <n v="2064817"/>
  </r>
  <r>
    <x v="4"/>
    <s v="West Georgia Technical College"/>
    <m/>
    <n v="139278"/>
    <x v="9"/>
    <m/>
    <m/>
    <n v="1"/>
    <n v="5088"/>
    <m/>
    <m/>
    <n v="1"/>
    <n v="12504"/>
    <m/>
    <m/>
    <m/>
    <m/>
    <m/>
    <m/>
    <n v="1"/>
    <n v="3144"/>
    <m/>
    <m/>
    <n v="1"/>
    <n v="49"/>
    <m/>
    <m/>
    <m/>
    <m/>
    <m/>
    <m/>
    <n v="1"/>
    <n v="273"/>
    <m/>
    <m/>
    <m/>
    <m/>
    <m/>
    <m/>
    <m/>
    <m/>
    <n v="0"/>
    <n v="0"/>
    <n v="1"/>
    <n v="21058"/>
    <n v="142"/>
    <n v="850489"/>
    <n v="145"/>
    <n v="726108"/>
    <n v="142"/>
    <n v="1842728"/>
    <n v="145"/>
    <n v="1916472"/>
    <n v="0"/>
    <n v="0"/>
    <m/>
    <m/>
    <n v="59"/>
    <n v="283496"/>
    <n v="65"/>
    <n v="255959"/>
    <n v="142"/>
    <n v="5922"/>
    <n v="145"/>
    <n v="7105"/>
    <n v="0"/>
    <n v="0"/>
    <m/>
    <m/>
    <n v="142"/>
    <n v="36908"/>
    <n v="145"/>
    <n v="39730"/>
    <n v="0"/>
    <n v="0"/>
    <m/>
    <m/>
    <n v="0"/>
    <n v="0"/>
    <m/>
    <m/>
    <n v="142"/>
    <n v="3019543"/>
    <n v="145"/>
    <n v="2945374"/>
  </r>
  <r>
    <x v="4"/>
    <s v="Altamaha Technical College"/>
    <s v="Reclassified: met criteria for Technical Institute or College 1 in 2008-09, 2009-10 and 2010-11."/>
    <n v="366447"/>
    <x v="9"/>
    <n v="1"/>
    <n v="2351"/>
    <m/>
    <m/>
    <n v="1"/>
    <n v="5615"/>
    <m/>
    <m/>
    <m/>
    <m/>
    <m/>
    <m/>
    <n v="1"/>
    <n v="367"/>
    <m/>
    <m/>
    <n v="1"/>
    <n v="75"/>
    <m/>
    <m/>
    <m/>
    <m/>
    <m/>
    <m/>
    <n v="1"/>
    <n v="230"/>
    <m/>
    <m/>
    <m/>
    <m/>
    <m/>
    <m/>
    <m/>
    <m/>
    <m/>
    <m/>
    <n v="1"/>
    <n v="8638"/>
    <n v="0"/>
    <n v="0"/>
    <n v="54"/>
    <n v="246623"/>
    <n v="51"/>
    <n v="253596"/>
    <n v="54"/>
    <n v="589052"/>
    <n v="51"/>
    <n v="546786"/>
    <m/>
    <m/>
    <m/>
    <m/>
    <n v="54"/>
    <n v="38535"/>
    <n v="51"/>
    <n v="35770"/>
    <n v="54"/>
    <n v="4072"/>
    <n v="51"/>
    <n v="3184"/>
    <m/>
    <m/>
    <m/>
    <m/>
    <n v="54"/>
    <n v="12368"/>
    <n v="51"/>
    <n v="7655"/>
    <m/>
    <m/>
    <m/>
    <m/>
    <m/>
    <m/>
    <m/>
    <m/>
    <n v="54"/>
    <n v="890650"/>
    <n v="51"/>
    <n v="846991"/>
  </r>
  <r>
    <x v="4"/>
    <s v="Sandersville Technical College"/>
    <m/>
    <n v="420431"/>
    <x v="10"/>
    <n v="1"/>
    <n v="4090"/>
    <m/>
    <m/>
    <n v="1"/>
    <n v="8500"/>
    <m/>
    <m/>
    <m/>
    <m/>
    <m/>
    <m/>
    <n v="1"/>
    <n v="555"/>
    <m/>
    <m/>
    <n v="1"/>
    <n v="52"/>
    <m/>
    <m/>
    <m/>
    <m/>
    <m/>
    <m/>
    <n v="1"/>
    <n v="170"/>
    <m/>
    <m/>
    <m/>
    <m/>
    <m/>
    <m/>
    <m/>
    <m/>
    <m/>
    <m/>
    <n v="1"/>
    <n v="13367"/>
    <n v="0"/>
    <n v="0"/>
    <n v="29"/>
    <n v="135720"/>
    <n v="29"/>
    <n v="135297"/>
    <n v="29"/>
    <n v="294920"/>
    <n v="29"/>
    <n v="336743"/>
    <m/>
    <m/>
    <m/>
    <m/>
    <n v="29"/>
    <n v="19290"/>
    <n v="29"/>
    <n v="19084"/>
    <n v="29"/>
    <n v="1508"/>
    <n v="29"/>
    <n v="3138"/>
    <m/>
    <m/>
    <m/>
    <m/>
    <n v="29"/>
    <n v="4930"/>
    <n v="29"/>
    <n v="1227"/>
    <m/>
    <m/>
    <m/>
    <m/>
    <m/>
    <m/>
    <m/>
    <m/>
    <n v="29"/>
    <n v="456368"/>
    <n v="29"/>
    <n v="495489"/>
  </r>
  <r>
    <x v="5"/>
    <s v="University of Kentucky"/>
    <m/>
    <n v="157085"/>
    <x v="0"/>
    <n v="903"/>
    <n v="7221940"/>
    <n v="931"/>
    <n v="7448606"/>
    <n v="862"/>
    <n v="5349492"/>
    <n v="873"/>
    <n v="5876508"/>
    <m/>
    <m/>
    <m/>
    <m/>
    <n v="907"/>
    <n v="6263828"/>
    <n v="938"/>
    <n v="6451151"/>
    <n v="907"/>
    <n v="195912"/>
    <n v="938"/>
    <n v="202608"/>
    <n v="905"/>
    <n v="70700"/>
    <n v="936"/>
    <n v="74612"/>
    <n v="907"/>
    <n v="260309"/>
    <n v="938"/>
    <n v="273896"/>
    <m/>
    <m/>
    <m/>
    <m/>
    <m/>
    <m/>
    <m/>
    <m/>
    <n v="907"/>
    <n v="19362181"/>
    <n v="938"/>
    <n v="20327381"/>
    <n v="360"/>
    <n v="3682414"/>
    <n v="367"/>
    <n v="3748503"/>
    <n v="349"/>
    <n v="2272032"/>
    <n v="348"/>
    <n v="2448324"/>
    <m/>
    <m/>
    <m/>
    <m/>
    <n v="369"/>
    <n v="3161906"/>
    <n v="375"/>
    <n v="3178766"/>
    <n v="369"/>
    <n v="79704"/>
    <n v="375"/>
    <n v="81000"/>
    <n v="362"/>
    <n v="35482"/>
    <n v="373"/>
    <n v="37462"/>
    <n v="369"/>
    <n v="105903"/>
    <n v="375"/>
    <n v="109500"/>
    <m/>
    <m/>
    <m/>
    <m/>
    <m/>
    <m/>
    <m/>
    <m/>
    <n v="369"/>
    <n v="9337441"/>
    <n v="375"/>
    <n v="9603555"/>
  </r>
  <r>
    <x v="5"/>
    <s v="University of Louisville"/>
    <m/>
    <n v="157289"/>
    <x v="0"/>
    <n v="556"/>
    <n v="4163392"/>
    <n v="576"/>
    <n v="4449045"/>
    <n v="556"/>
    <n v="3739656"/>
    <n v="576"/>
    <n v="4068288"/>
    <n v="556"/>
    <n v="65853"/>
    <n v="576"/>
    <n v="82944"/>
    <n v="556"/>
    <n v="3066119"/>
    <n v="576"/>
    <n v="3227619"/>
    <m/>
    <m/>
    <n v="576"/>
    <n v="44928"/>
    <n v="556"/>
    <n v="180858"/>
    <n v="576"/>
    <n v="248832"/>
    <n v="556"/>
    <n v="132823"/>
    <n v="576"/>
    <n v="355924"/>
    <n v="45"/>
    <n v="361892"/>
    <n v="46"/>
    <n v="371308"/>
    <m/>
    <m/>
    <n v="576"/>
    <n v="210816"/>
    <n v="556"/>
    <n v="11710593"/>
    <n v="576"/>
    <n v="13059704"/>
    <n v="311"/>
    <n v="2919913"/>
    <n v="318"/>
    <n v="3159959"/>
    <n v="311"/>
    <n v="2091786"/>
    <n v="318"/>
    <n v="2246034"/>
    <n v="311"/>
    <n v="36835"/>
    <n v="318"/>
    <n v="45792"/>
    <n v="311"/>
    <n v="2041600"/>
    <n v="318"/>
    <n v="2170227"/>
    <m/>
    <m/>
    <n v="318"/>
    <n v="24804"/>
    <n v="311"/>
    <n v="126841"/>
    <n v="318"/>
    <n v="137376"/>
    <n v="311"/>
    <n v="74295"/>
    <n v="318"/>
    <n v="252797"/>
    <n v="22"/>
    <n v="169019"/>
    <n v="24"/>
    <n v="177103"/>
    <m/>
    <m/>
    <n v="318"/>
    <n v="116388"/>
    <n v="311"/>
    <n v="7460289"/>
    <n v="318"/>
    <n v="8330480"/>
  </r>
  <r>
    <x v="5"/>
    <s v="Eastern Kentucky University "/>
    <m/>
    <n v="156620"/>
    <x v="2"/>
    <n v="605"/>
    <n v="5000458"/>
    <n v="592"/>
    <n v="4828065"/>
    <n v="577"/>
    <n v="2311682"/>
    <n v="566"/>
    <n v="2279803"/>
    <n v="327"/>
    <n v="16677"/>
    <n v="249"/>
    <n v="12699"/>
    <n v="606"/>
    <n v="2782941"/>
    <n v="596"/>
    <n v="2713661"/>
    <m/>
    <m/>
    <m/>
    <m/>
    <n v="606"/>
    <n v="27315"/>
    <n v="596"/>
    <n v="26820"/>
    <n v="606"/>
    <n v="69550"/>
    <n v="596"/>
    <n v="79430"/>
    <n v="47"/>
    <n v="202030"/>
    <n v="34"/>
    <n v="188732"/>
    <m/>
    <m/>
    <m/>
    <m/>
    <n v="606"/>
    <n v="10410653"/>
    <n v="596"/>
    <n v="10129210"/>
    <n v="39"/>
    <n v="477599"/>
    <n v="44"/>
    <n v="542171"/>
    <n v="38"/>
    <n v="152047"/>
    <n v="42"/>
    <n v="170793"/>
    <n v="12"/>
    <n v="612"/>
    <n v="5"/>
    <n v="255"/>
    <n v="39"/>
    <n v="263990"/>
    <n v="44"/>
    <n v="299682"/>
    <m/>
    <m/>
    <m/>
    <m/>
    <n v="39"/>
    <n v="1755"/>
    <n v="44"/>
    <n v="1980"/>
    <n v="39"/>
    <n v="4815"/>
    <n v="44"/>
    <n v="6110"/>
    <n v="5"/>
    <n v="21948"/>
    <n v="5"/>
    <n v="29057"/>
    <m/>
    <m/>
    <m/>
    <m/>
    <n v="39"/>
    <n v="922766"/>
    <n v="44"/>
    <n v="1050048"/>
  </r>
  <r>
    <x v="5"/>
    <s v="Murray State University "/>
    <m/>
    <n v="157401"/>
    <x v="2"/>
    <n v="349"/>
    <n v="2184876"/>
    <n v="345"/>
    <n v="2192456"/>
    <n v="320"/>
    <n v="1938954"/>
    <n v="323"/>
    <n v="2107092"/>
    <m/>
    <m/>
    <m/>
    <m/>
    <n v="349"/>
    <n v="1578309"/>
    <n v="345"/>
    <n v="1558763"/>
    <m/>
    <m/>
    <m/>
    <m/>
    <n v="349"/>
    <n v="11727"/>
    <n v="345"/>
    <n v="10764"/>
    <n v="349"/>
    <n v="163328"/>
    <n v="345"/>
    <n v="124833"/>
    <n v="100"/>
    <n v="200124"/>
    <n v="112"/>
    <n v="193036"/>
    <m/>
    <m/>
    <m/>
    <m/>
    <n v="349"/>
    <n v="6077318"/>
    <n v="345"/>
    <n v="6186944"/>
    <n v="57"/>
    <n v="480030"/>
    <n v="56"/>
    <n v="480045"/>
    <n v="55"/>
    <n v="352230"/>
    <n v="55"/>
    <n v="402915"/>
    <m/>
    <m/>
    <m/>
    <m/>
    <n v="57"/>
    <n v="346764"/>
    <n v="56"/>
    <n v="341298"/>
    <m/>
    <m/>
    <m/>
    <m/>
    <n v="57"/>
    <n v="1915"/>
    <n v="56"/>
    <n v="1747"/>
    <n v="57"/>
    <n v="26676"/>
    <n v="56"/>
    <n v="20262"/>
    <n v="18"/>
    <n v="25731"/>
    <n v="14"/>
    <n v="25966"/>
    <m/>
    <m/>
    <m/>
    <m/>
    <n v="57"/>
    <n v="1233346"/>
    <n v="56"/>
    <n v="1272233"/>
  </r>
  <r>
    <x v="5"/>
    <s v="Western Kentucky University "/>
    <m/>
    <n v="157951"/>
    <x v="2"/>
    <n v="680"/>
    <n v="5906727"/>
    <n v="694"/>
    <n v="6022994"/>
    <n v="683"/>
    <n v="3528296"/>
    <n v="697"/>
    <n v="3823561"/>
    <n v="683"/>
    <n v="80049"/>
    <n v="697"/>
    <n v="83911"/>
    <n v="683"/>
    <n v="3059906"/>
    <n v="697"/>
    <n v="3200506"/>
    <n v="683"/>
    <n v="100061"/>
    <n v="697"/>
    <n v="104889"/>
    <n v="683"/>
    <n v="21583"/>
    <n v="697"/>
    <n v="22025"/>
    <n v="683"/>
    <n v="128078"/>
    <n v="697"/>
    <n v="134257"/>
    <m/>
    <m/>
    <m/>
    <m/>
    <m/>
    <m/>
    <m/>
    <m/>
    <n v="683"/>
    <n v="12824700"/>
    <n v="697"/>
    <n v="13392143"/>
    <n v="45"/>
    <n v="632093"/>
    <n v="45"/>
    <n v="631933"/>
    <n v="45"/>
    <n v="232465"/>
    <n v="45"/>
    <n v="246858"/>
    <n v="45"/>
    <n v="8519"/>
    <n v="45"/>
    <n v="8756"/>
    <n v="45"/>
    <n v="315828"/>
    <n v="45"/>
    <n v="322012"/>
    <n v="45"/>
    <n v="10648"/>
    <n v="45"/>
    <n v="10945"/>
    <n v="45"/>
    <n v="1422"/>
    <n v="45"/>
    <n v="1422"/>
    <n v="45"/>
    <n v="13630"/>
    <n v="45"/>
    <n v="14009"/>
    <m/>
    <m/>
    <m/>
    <m/>
    <m/>
    <m/>
    <m/>
    <m/>
    <n v="45"/>
    <n v="1214605"/>
    <n v="45"/>
    <n v="1235935"/>
  </r>
  <r>
    <x v="5"/>
    <s v="Morehead State University "/>
    <s v="Reclassified: met the criteria for Four-Year 3 in 2008-09, 2009-10 and 2010-11."/>
    <n v="157386"/>
    <x v="2"/>
    <n v="343"/>
    <n v="2606769"/>
    <n v="344"/>
    <n v="2631141"/>
    <n v="343"/>
    <n v="2049768"/>
    <n v="344"/>
    <n v="2113536"/>
    <m/>
    <m/>
    <m/>
    <m/>
    <n v="343"/>
    <n v="1440880"/>
    <n v="344"/>
    <n v="1436704"/>
    <n v="343"/>
    <n v="34967"/>
    <n v="344"/>
    <n v="47433"/>
    <n v="343"/>
    <n v="13418"/>
    <n v="344"/>
    <n v="13457"/>
    <n v="343"/>
    <n v="111257"/>
    <n v="344"/>
    <n v="113840"/>
    <n v="343"/>
    <n v="51559"/>
    <n v="19"/>
    <n v="46240"/>
    <n v="343"/>
    <n v="67198"/>
    <n v="344"/>
    <n v="71902"/>
    <n v="343"/>
    <n v="6375816"/>
    <n v="344"/>
    <n v="6474253"/>
    <n v="27"/>
    <n v="315134"/>
    <n v="30"/>
    <n v="284545"/>
    <n v="27"/>
    <n v="161352"/>
    <n v="30"/>
    <n v="184320"/>
    <m/>
    <m/>
    <m/>
    <m/>
    <n v="27"/>
    <n v="174189"/>
    <n v="30"/>
    <n v="155372"/>
    <n v="27"/>
    <n v="2752"/>
    <n v="30"/>
    <n v="4137"/>
    <n v="27"/>
    <n v="1056"/>
    <n v="30"/>
    <n v="1174"/>
    <n v="27"/>
    <n v="8758"/>
    <n v="30"/>
    <n v="9928"/>
    <n v="27"/>
    <n v="4059"/>
    <n v="5"/>
    <n v="12158"/>
    <n v="27"/>
    <n v="5290"/>
    <n v="30"/>
    <n v="6271"/>
    <n v="27"/>
    <n v="672590"/>
    <n v="30"/>
    <n v="657905"/>
  </r>
  <r>
    <x v="5"/>
    <s v="Northern Kentucky University "/>
    <m/>
    <n v="157447"/>
    <x v="3"/>
    <n v="498"/>
    <n v="3225894"/>
    <n v="493"/>
    <n v="3230323"/>
    <n v="498"/>
    <n v="2609022"/>
    <n v="493"/>
    <n v="2595152"/>
    <n v="498"/>
    <n v="122261"/>
    <n v="493"/>
    <n v="122427"/>
    <n v="498"/>
    <n v="1970765"/>
    <n v="493"/>
    <n v="2432651"/>
    <n v="498"/>
    <n v="22422"/>
    <n v="493"/>
    <n v="50048"/>
    <n v="498"/>
    <n v="6452"/>
    <n v="493"/>
    <n v="77518"/>
    <n v="498"/>
    <n v="81393"/>
    <n v="493"/>
    <n v="86121"/>
    <n v="37"/>
    <n v="116092"/>
    <n v="47"/>
    <n v="160479"/>
    <m/>
    <m/>
    <m/>
    <m/>
    <n v="498"/>
    <n v="8154301"/>
    <n v="493"/>
    <n v="8754719"/>
    <n v="34"/>
    <n v="222175"/>
    <n v="32"/>
    <n v="202281"/>
    <n v="34"/>
    <n v="178126"/>
    <n v="32"/>
    <n v="168448"/>
    <n v="34"/>
    <n v="8420"/>
    <n v="32"/>
    <n v="7668"/>
    <n v="34"/>
    <n v="137748"/>
    <n v="32"/>
    <n v="154747"/>
    <n v="34"/>
    <n v="1531"/>
    <n v="32"/>
    <n v="3249"/>
    <n v="34"/>
    <n v="444"/>
    <n v="32"/>
    <n v="4856"/>
    <n v="34"/>
    <n v="5557"/>
    <n v="32"/>
    <n v="5590"/>
    <n v="4"/>
    <n v="12899"/>
    <n v="2"/>
    <n v="5094"/>
    <m/>
    <m/>
    <m/>
    <m/>
    <n v="34"/>
    <n v="566900"/>
    <n v="32"/>
    <n v="551933"/>
  </r>
  <r>
    <x v="5"/>
    <s v="Kentucky State University "/>
    <s v="Reclassified: met the criteria for Four-Year 4 in 2008-09, 2009-10 and 2010-11."/>
    <n v="157058"/>
    <x v="3"/>
    <n v="117"/>
    <n v="816290"/>
    <n v="117"/>
    <n v="891566"/>
    <n v="117"/>
    <n v="462141"/>
    <n v="118"/>
    <n v="495325"/>
    <m/>
    <m/>
    <m/>
    <m/>
    <n v="117"/>
    <n v="493443"/>
    <n v="118"/>
    <n v="490983"/>
    <m/>
    <m/>
    <m/>
    <m/>
    <n v="117"/>
    <n v="11232"/>
    <n v="118"/>
    <n v="11328"/>
    <m/>
    <m/>
    <m/>
    <m/>
    <m/>
    <m/>
    <m/>
    <m/>
    <m/>
    <m/>
    <m/>
    <m/>
    <n v="117"/>
    <n v="1783106"/>
    <n v="118"/>
    <n v="1889202"/>
    <n v="11"/>
    <n v="114120"/>
    <n v="11"/>
    <n v="119436"/>
    <n v="11"/>
    <n v="43449"/>
    <n v="11"/>
    <n v="39105"/>
    <m/>
    <m/>
    <m/>
    <m/>
    <n v="11"/>
    <n v="65049"/>
    <n v="11"/>
    <n v="64883"/>
    <m/>
    <m/>
    <m/>
    <m/>
    <n v="11"/>
    <n v="1056"/>
    <n v="11"/>
    <n v="1056"/>
    <m/>
    <m/>
    <m/>
    <m/>
    <m/>
    <m/>
    <m/>
    <m/>
    <m/>
    <m/>
    <m/>
    <m/>
    <n v="11"/>
    <n v="223674"/>
    <n v="11"/>
    <n v="224480"/>
  </r>
  <r>
    <x v="5"/>
    <s v="Bluegrass Community and Technical College"/>
    <m/>
    <n v="157173"/>
    <x v="6"/>
    <n v="221"/>
    <n v="1199616"/>
    <n v="215"/>
    <n v="1180180"/>
    <n v="221"/>
    <n v="1519943"/>
    <n v="216"/>
    <n v="1637816"/>
    <m/>
    <m/>
    <m/>
    <m/>
    <n v="221"/>
    <n v="662089"/>
    <n v="216"/>
    <n v="648973"/>
    <m/>
    <m/>
    <m/>
    <m/>
    <n v="221"/>
    <n v="3823"/>
    <n v="216"/>
    <n v="3727"/>
    <m/>
    <m/>
    <m/>
    <m/>
    <n v="38"/>
    <n v="25289"/>
    <n v="32"/>
    <n v="35230"/>
    <m/>
    <m/>
    <m/>
    <m/>
    <n v="221"/>
    <n v="3410760"/>
    <n v="216"/>
    <n v="3505926"/>
    <n v="18"/>
    <n v="118775"/>
    <n v="16"/>
    <n v="101085"/>
    <n v="18"/>
    <n v="117448"/>
    <n v="16"/>
    <n v="116390"/>
    <m/>
    <m/>
    <m/>
    <m/>
    <n v="18"/>
    <n v="36543"/>
    <n v="16"/>
    <n v="38796"/>
    <m/>
    <m/>
    <m/>
    <m/>
    <n v="18"/>
    <n v="326"/>
    <n v="16"/>
    <n v="307"/>
    <m/>
    <m/>
    <m/>
    <m/>
    <n v="3"/>
    <n v="2178"/>
    <m/>
    <m/>
    <m/>
    <m/>
    <m/>
    <m/>
    <n v="18"/>
    <n v="275270"/>
    <n v="16"/>
    <n v="256578"/>
  </r>
  <r>
    <x v="5"/>
    <s v="Jefferson Community and Technical College "/>
    <m/>
    <n v="156921"/>
    <x v="6"/>
    <n v="231"/>
    <n v="1241659"/>
    <n v="217"/>
    <n v="1178868"/>
    <n v="237"/>
    <n v="1542349"/>
    <n v="226"/>
    <n v="1642098"/>
    <m/>
    <m/>
    <m/>
    <m/>
    <n v="237"/>
    <n v="812462"/>
    <n v="226"/>
    <n v="775924"/>
    <m/>
    <m/>
    <m/>
    <m/>
    <n v="237"/>
    <n v="3924"/>
    <n v="226"/>
    <n v="3808"/>
    <m/>
    <m/>
    <m/>
    <m/>
    <n v="15"/>
    <n v="10527"/>
    <n v="21"/>
    <n v="18850"/>
    <m/>
    <m/>
    <m/>
    <m/>
    <n v="237"/>
    <n v="3610921"/>
    <n v="226"/>
    <n v="3619548"/>
    <n v="57"/>
    <n v="379562"/>
    <n v="50"/>
    <n v="342027"/>
    <n v="60"/>
    <n v="421374"/>
    <n v="54"/>
    <n v="402549"/>
    <m/>
    <m/>
    <m/>
    <m/>
    <n v="60"/>
    <n v="208503"/>
    <n v="54"/>
    <n v="208464"/>
    <m/>
    <m/>
    <m/>
    <m/>
    <n v="60"/>
    <n v="1097"/>
    <n v="54"/>
    <n v="963"/>
    <m/>
    <m/>
    <m/>
    <m/>
    <n v="12"/>
    <n v="9317"/>
    <n v="5"/>
    <n v="2912"/>
    <m/>
    <m/>
    <m/>
    <m/>
    <n v="60"/>
    <n v="1019853"/>
    <n v="54"/>
    <n v="956915"/>
  </r>
  <r>
    <x v="5"/>
    <s v="Ashland Community and Technical College"/>
    <m/>
    <n v="156231"/>
    <x v="7"/>
    <n v="79"/>
    <n v="424033"/>
    <n v="81"/>
    <n v="432929"/>
    <n v="82"/>
    <n v="465045"/>
    <n v="82"/>
    <n v="539122"/>
    <m/>
    <m/>
    <m/>
    <m/>
    <n v="82"/>
    <n v="247405"/>
    <n v="82"/>
    <n v="254525"/>
    <m/>
    <m/>
    <m/>
    <m/>
    <n v="82"/>
    <n v="1355"/>
    <n v="82"/>
    <n v="1374"/>
    <m/>
    <m/>
    <m/>
    <m/>
    <n v="7"/>
    <n v="5445"/>
    <n v="11"/>
    <n v="8385"/>
    <m/>
    <m/>
    <m/>
    <m/>
    <n v="82"/>
    <n v="1143283"/>
    <n v="82"/>
    <n v="1236335"/>
    <n v="13"/>
    <n v="95009"/>
    <n v="13"/>
    <n v="97676"/>
    <n v="13"/>
    <n v="74618"/>
    <n v="13"/>
    <n v="79314"/>
    <m/>
    <m/>
    <m/>
    <m/>
    <n v="13"/>
    <n v="35754"/>
    <n v="13"/>
    <n v="36649"/>
    <m/>
    <m/>
    <m/>
    <m/>
    <n v="13"/>
    <n v="213"/>
    <n v="13"/>
    <n v="213"/>
    <m/>
    <m/>
    <m/>
    <m/>
    <n v="3"/>
    <n v="1573"/>
    <n v="3"/>
    <n v="1920"/>
    <m/>
    <m/>
    <m/>
    <m/>
    <n v="13"/>
    <n v="207167"/>
    <n v="13"/>
    <n v="215772"/>
  </r>
  <r>
    <x v="5"/>
    <s v="Big Sandy Community and Technical College "/>
    <m/>
    <n v="157553"/>
    <x v="7"/>
    <n v="81"/>
    <n v="408172"/>
    <n v="87"/>
    <n v="435666"/>
    <n v="86"/>
    <n v="597074"/>
    <n v="96"/>
    <n v="724777"/>
    <m/>
    <m/>
    <m/>
    <m/>
    <n v="86"/>
    <n v="245873"/>
    <n v="96"/>
    <n v="278787"/>
    <m/>
    <m/>
    <m/>
    <m/>
    <n v="86"/>
    <n v="1287"/>
    <n v="96"/>
    <n v="1480"/>
    <m/>
    <m/>
    <m/>
    <m/>
    <n v="12"/>
    <n v="7986"/>
    <n v="8"/>
    <n v="6980"/>
    <m/>
    <m/>
    <m/>
    <m/>
    <n v="86"/>
    <n v="1260392"/>
    <n v="96"/>
    <n v="1447690"/>
    <n v="20"/>
    <n v="156554"/>
    <n v="20"/>
    <n v="158836"/>
    <n v="20"/>
    <n v="129803"/>
    <n v="20"/>
    <n v="148892"/>
    <m/>
    <m/>
    <m/>
    <m/>
    <n v="20"/>
    <n v="55975"/>
    <n v="20"/>
    <n v="60145"/>
    <m/>
    <m/>
    <m/>
    <m/>
    <n v="20"/>
    <n v="329"/>
    <n v="20"/>
    <n v="329"/>
    <m/>
    <m/>
    <m/>
    <m/>
    <n v="1"/>
    <n v="1089"/>
    <n v="1"/>
    <n v="1530"/>
    <m/>
    <m/>
    <m/>
    <m/>
    <n v="20"/>
    <n v="343750"/>
    <n v="20"/>
    <n v="369732"/>
  </r>
  <r>
    <x v="5"/>
    <s v="Elizabethtown Community and Technical College "/>
    <m/>
    <n v="156648"/>
    <x v="7"/>
    <n v="112"/>
    <n v="592486"/>
    <n v="113"/>
    <n v="597517"/>
    <n v="114"/>
    <n v="748907"/>
    <n v="119"/>
    <n v="850199"/>
    <m/>
    <m/>
    <m/>
    <m/>
    <n v="114"/>
    <n v="330666"/>
    <n v="119"/>
    <n v="340104"/>
    <m/>
    <m/>
    <m/>
    <m/>
    <n v="114"/>
    <n v="1971"/>
    <n v="119"/>
    <n v="2066"/>
    <m/>
    <m/>
    <m/>
    <m/>
    <n v="23"/>
    <n v="13310"/>
    <n v="22"/>
    <n v="23312"/>
    <m/>
    <m/>
    <m/>
    <m/>
    <n v="114"/>
    <n v="1687340"/>
    <n v="119"/>
    <n v="1813198"/>
    <n v="6"/>
    <n v="42193"/>
    <n v="7"/>
    <n v="47140"/>
    <n v="6"/>
    <n v="39408"/>
    <n v="7"/>
    <n v="52604"/>
    <m/>
    <m/>
    <m/>
    <m/>
    <n v="6"/>
    <n v="22632"/>
    <n v="7"/>
    <n v="26201"/>
    <m/>
    <m/>
    <m/>
    <m/>
    <n v="6"/>
    <n v="97"/>
    <n v="7"/>
    <n v="116"/>
    <m/>
    <m/>
    <m/>
    <m/>
    <m/>
    <m/>
    <n v="1"/>
    <n v="780"/>
    <m/>
    <m/>
    <m/>
    <m/>
    <n v="6"/>
    <n v="104330"/>
    <n v="7"/>
    <n v="126841"/>
  </r>
  <r>
    <x v="5"/>
    <s v="Madisonville Community College"/>
    <m/>
    <n v="157304"/>
    <x v="7"/>
    <n v="85"/>
    <n v="470486"/>
    <n v="84"/>
    <n v="470139"/>
    <n v="90"/>
    <n v="560275"/>
    <n v="90"/>
    <n v="591852"/>
    <m/>
    <m/>
    <m/>
    <m/>
    <n v="90"/>
    <n v="290286"/>
    <n v="90"/>
    <n v="292644"/>
    <m/>
    <m/>
    <m/>
    <m/>
    <n v="90"/>
    <n v="1437"/>
    <n v="90"/>
    <n v="1455"/>
    <m/>
    <m/>
    <m/>
    <m/>
    <n v="17"/>
    <n v="11677"/>
    <n v="12"/>
    <n v="12765"/>
    <m/>
    <m/>
    <m/>
    <m/>
    <n v="90"/>
    <n v="1334161"/>
    <n v="90"/>
    <n v="1368855"/>
    <n v="14"/>
    <n v="104289"/>
    <n v="14"/>
    <n v="100938"/>
    <n v="21"/>
    <n v="160353"/>
    <n v="22"/>
    <n v="187001"/>
    <m/>
    <m/>
    <m/>
    <m/>
    <n v="21"/>
    <n v="65438"/>
    <n v="22"/>
    <n v="68648"/>
    <m/>
    <m/>
    <m/>
    <m/>
    <n v="21"/>
    <n v="403"/>
    <n v="22"/>
    <n v="422"/>
    <m/>
    <m/>
    <m/>
    <m/>
    <n v="1"/>
    <n v="726"/>
    <m/>
    <m/>
    <m/>
    <m/>
    <m/>
    <m/>
    <n v="21"/>
    <n v="331209"/>
    <n v="22"/>
    <n v="357009"/>
  </r>
  <r>
    <x v="5"/>
    <s v="Maysville Community and Technical College "/>
    <m/>
    <n v="157331"/>
    <x v="7"/>
    <n v="73"/>
    <n v="410647"/>
    <n v="68"/>
    <n v="397495"/>
    <n v="77"/>
    <n v="525854"/>
    <n v="80"/>
    <n v="586434"/>
    <m/>
    <m/>
    <m/>
    <m/>
    <n v="77"/>
    <n v="224479"/>
    <n v="80"/>
    <n v="241121"/>
    <m/>
    <m/>
    <m/>
    <m/>
    <n v="77"/>
    <n v="1351"/>
    <n v="80"/>
    <n v="1370"/>
    <m/>
    <m/>
    <m/>
    <m/>
    <n v="29"/>
    <n v="20933"/>
    <n v="14"/>
    <n v="15982"/>
    <m/>
    <m/>
    <m/>
    <m/>
    <n v="77"/>
    <n v="1183264"/>
    <n v="80"/>
    <n v="1242402"/>
    <n v="10"/>
    <n v="71590"/>
    <n v="10"/>
    <n v="81089"/>
    <n v="10"/>
    <n v="54636"/>
    <n v="10"/>
    <n v="51593"/>
    <m/>
    <m/>
    <m/>
    <m/>
    <n v="10"/>
    <n v="26572"/>
    <n v="10"/>
    <n v="23124"/>
    <m/>
    <m/>
    <m/>
    <m/>
    <n v="10"/>
    <n v="174"/>
    <n v="10"/>
    <n v="174"/>
    <m/>
    <m/>
    <m/>
    <m/>
    <n v="1"/>
    <n v="726"/>
    <n v="2"/>
    <n v="1125"/>
    <m/>
    <m/>
    <m/>
    <m/>
    <n v="10"/>
    <n v="153698"/>
    <n v="10"/>
    <n v="157105"/>
  </r>
  <r>
    <x v="5"/>
    <s v="Owensboro Community and Technical College "/>
    <m/>
    <n v="247940"/>
    <x v="7"/>
    <n v="86"/>
    <n v="458853"/>
    <n v="83"/>
    <n v="448770"/>
    <n v="88"/>
    <n v="615977"/>
    <n v="85"/>
    <n v="627140"/>
    <m/>
    <m/>
    <m/>
    <m/>
    <n v="88"/>
    <n v="266430"/>
    <n v="85"/>
    <n v="257019"/>
    <m/>
    <m/>
    <m/>
    <m/>
    <n v="88"/>
    <n v="1633"/>
    <n v="85"/>
    <n v="1595"/>
    <m/>
    <m/>
    <m/>
    <m/>
    <n v="22"/>
    <n v="17545"/>
    <n v="19"/>
    <n v="20720"/>
    <m/>
    <m/>
    <m/>
    <m/>
    <n v="88"/>
    <n v="1360438"/>
    <n v="85"/>
    <n v="1355244"/>
    <n v="12"/>
    <n v="74132"/>
    <n v="12"/>
    <n v="75554"/>
    <n v="12"/>
    <n v="74972"/>
    <n v="12"/>
    <n v="80322"/>
    <m/>
    <m/>
    <m/>
    <m/>
    <n v="12"/>
    <n v="22560"/>
    <n v="12"/>
    <n v="22875"/>
    <m/>
    <m/>
    <m/>
    <m/>
    <n v="12"/>
    <n v="230"/>
    <n v="12"/>
    <n v="230"/>
    <m/>
    <m/>
    <m/>
    <m/>
    <m/>
    <m/>
    <m/>
    <m/>
    <m/>
    <m/>
    <m/>
    <m/>
    <n v="12"/>
    <n v="171894"/>
    <n v="12"/>
    <n v="178981"/>
  </r>
  <r>
    <x v="5"/>
    <s v="Somerset Community and Technical College "/>
    <m/>
    <n v="157711"/>
    <x v="7"/>
    <n v="128"/>
    <n v="697690"/>
    <n v="137"/>
    <n v="738404"/>
    <n v="131"/>
    <n v="982875"/>
    <n v="145"/>
    <n v="1164612"/>
    <m/>
    <m/>
    <m/>
    <m/>
    <n v="131"/>
    <n v="374987"/>
    <n v="145"/>
    <n v="428205"/>
    <m/>
    <m/>
    <m/>
    <m/>
    <n v="131"/>
    <n v="2241"/>
    <n v="145"/>
    <n v="2510"/>
    <m/>
    <m/>
    <m/>
    <m/>
    <n v="16"/>
    <n v="9438"/>
    <n v="22"/>
    <n v="22692"/>
    <m/>
    <m/>
    <m/>
    <m/>
    <n v="131"/>
    <n v="2067231"/>
    <n v="145"/>
    <n v="2356423"/>
    <n v="19"/>
    <n v="130596"/>
    <n v="22"/>
    <n v="151627"/>
    <n v="19"/>
    <n v="132283"/>
    <n v="22"/>
    <n v="165320"/>
    <m/>
    <m/>
    <m/>
    <m/>
    <n v="19"/>
    <n v="83552"/>
    <n v="22"/>
    <n v="98826"/>
    <m/>
    <m/>
    <m/>
    <m/>
    <n v="19"/>
    <n v="328"/>
    <n v="22"/>
    <n v="386"/>
    <m/>
    <m/>
    <m/>
    <m/>
    <n v="4"/>
    <n v="3993"/>
    <n v="2"/>
    <n v="3060"/>
    <m/>
    <m/>
    <m/>
    <m/>
    <n v="19"/>
    <n v="350752"/>
    <n v="22"/>
    <n v="419219"/>
  </r>
  <r>
    <x v="5"/>
    <s v="Southeast Kentucky Community and Technical College"/>
    <s v="Met the criteria for classification as a Two-Year 2 in 2010-11."/>
    <n v="157739"/>
    <x v="7"/>
    <n v="74"/>
    <n v="429968"/>
    <n v="71"/>
    <n v="409360"/>
    <n v="75"/>
    <n v="505597"/>
    <n v="77"/>
    <n v="590318"/>
    <m/>
    <m/>
    <m/>
    <m/>
    <n v="75"/>
    <n v="253688"/>
    <n v="77"/>
    <n v="251175"/>
    <m/>
    <m/>
    <m/>
    <m/>
    <n v="75"/>
    <n v="1076"/>
    <n v="77"/>
    <n v="1151"/>
    <m/>
    <m/>
    <m/>
    <m/>
    <n v="9"/>
    <n v="5445"/>
    <n v="6"/>
    <n v="6650"/>
    <m/>
    <m/>
    <m/>
    <m/>
    <n v="75"/>
    <n v="1195774"/>
    <n v="77"/>
    <n v="1258654"/>
    <n v="20"/>
    <n v="138998"/>
    <n v="19"/>
    <n v="134180"/>
    <n v="20"/>
    <n v="161013"/>
    <n v="19"/>
    <n v="166369"/>
    <m/>
    <m/>
    <m/>
    <m/>
    <n v="20"/>
    <n v="59378"/>
    <n v="19"/>
    <n v="55059"/>
    <m/>
    <m/>
    <m/>
    <m/>
    <n v="20"/>
    <n v="311"/>
    <n v="19"/>
    <n v="310"/>
    <m/>
    <m/>
    <m/>
    <m/>
    <n v="1"/>
    <n v="1857"/>
    <m/>
    <m/>
    <m/>
    <m/>
    <m/>
    <m/>
    <n v="20"/>
    <n v="361557"/>
    <n v="19"/>
    <n v="355918"/>
  </r>
  <r>
    <x v="5"/>
    <s v="West Kentucky Community and Technical College"/>
    <m/>
    <n v="157483"/>
    <x v="7"/>
    <n v="96"/>
    <n v="520375"/>
    <n v="95"/>
    <n v="526675"/>
    <n v="99"/>
    <n v="663694"/>
    <n v="99"/>
    <n v="723607"/>
    <m/>
    <m/>
    <m/>
    <m/>
    <n v="99"/>
    <n v="287058"/>
    <n v="99"/>
    <n v="290628"/>
    <m/>
    <m/>
    <m/>
    <m/>
    <n v="99"/>
    <n v="1573"/>
    <n v="99"/>
    <n v="1573"/>
    <m/>
    <m/>
    <m/>
    <m/>
    <n v="16"/>
    <n v="8833"/>
    <n v="14"/>
    <n v="9235"/>
    <m/>
    <m/>
    <m/>
    <m/>
    <n v="99"/>
    <n v="1481533"/>
    <n v="99"/>
    <n v="1551718"/>
    <n v="34"/>
    <n v="222779"/>
    <n v="37"/>
    <n v="240036"/>
    <n v="35"/>
    <n v="262008"/>
    <n v="40"/>
    <n v="327947"/>
    <m/>
    <m/>
    <m/>
    <m/>
    <n v="35"/>
    <n v="95299"/>
    <n v="40"/>
    <n v="119285"/>
    <m/>
    <m/>
    <m/>
    <m/>
    <n v="35"/>
    <n v="653"/>
    <n v="40"/>
    <n v="768"/>
    <m/>
    <m/>
    <m/>
    <m/>
    <n v="9"/>
    <n v="5324"/>
    <n v="8"/>
    <n v="5278"/>
    <m/>
    <m/>
    <m/>
    <m/>
    <n v="35"/>
    <n v="586063"/>
    <n v="40"/>
    <n v="693314"/>
  </r>
  <r>
    <x v="5"/>
    <s v="Hazard Community and Technical College"/>
    <s v="Met the criteria for classification as a Two-Year 2 in 2010-11."/>
    <n v="156790"/>
    <x v="8"/>
    <n v="82"/>
    <n v="454198"/>
    <n v="83"/>
    <n v="456155"/>
    <n v="84"/>
    <n v="584934"/>
    <n v="86"/>
    <n v="650607"/>
    <m/>
    <m/>
    <m/>
    <m/>
    <n v="84"/>
    <n v="286874"/>
    <n v="86"/>
    <n v="297462"/>
    <m/>
    <m/>
    <m/>
    <m/>
    <n v="84"/>
    <n v="1357"/>
    <n v="86"/>
    <n v="1415"/>
    <m/>
    <m/>
    <m/>
    <m/>
    <n v="11"/>
    <n v="7454"/>
    <n v="9"/>
    <n v="9165"/>
    <m/>
    <m/>
    <m/>
    <m/>
    <n v="84"/>
    <n v="1334817"/>
    <n v="86"/>
    <n v="1414804"/>
    <n v="24"/>
    <n v="160215"/>
    <n v="22"/>
    <n v="146947"/>
    <n v="25"/>
    <n v="175811"/>
    <n v="23"/>
    <n v="178809"/>
    <m/>
    <m/>
    <m/>
    <m/>
    <n v="25"/>
    <n v="97635"/>
    <n v="23"/>
    <n v="91190"/>
    <m/>
    <m/>
    <m/>
    <m/>
    <n v="25"/>
    <n v="444"/>
    <n v="23"/>
    <n v="423"/>
    <m/>
    <m/>
    <m/>
    <m/>
    <n v="7"/>
    <n v="4719"/>
    <n v="8"/>
    <n v="6610"/>
    <m/>
    <m/>
    <m/>
    <m/>
    <n v="25"/>
    <n v="438824"/>
    <n v="23"/>
    <n v="423979"/>
  </r>
  <r>
    <x v="5"/>
    <s v="Henderson Community College "/>
    <m/>
    <n v="156851"/>
    <x v="8"/>
    <n v="44"/>
    <n v="235445"/>
    <n v="43"/>
    <n v="228890"/>
    <n v="45"/>
    <n v="249700"/>
    <n v="44"/>
    <n v="306596"/>
    <m/>
    <m/>
    <m/>
    <m/>
    <n v="45"/>
    <n v="179886"/>
    <n v="44"/>
    <n v="174695"/>
    <m/>
    <m/>
    <m/>
    <m/>
    <n v="45"/>
    <n v="846"/>
    <n v="44"/>
    <n v="827"/>
    <m/>
    <m/>
    <m/>
    <m/>
    <n v="3"/>
    <n v="2541"/>
    <n v="5"/>
    <n v="6250"/>
    <m/>
    <m/>
    <m/>
    <m/>
    <n v="45"/>
    <n v="668418"/>
    <n v="44"/>
    <n v="717258"/>
    <n v="4"/>
    <n v="27838"/>
    <n v="4"/>
    <n v="27888"/>
    <n v="4"/>
    <n v="26783"/>
    <n v="4"/>
    <n v="28898"/>
    <m/>
    <m/>
    <m/>
    <m/>
    <n v="4"/>
    <n v="21296"/>
    <n v="4"/>
    <n v="21334"/>
    <m/>
    <m/>
    <m/>
    <m/>
    <n v="4"/>
    <n v="77"/>
    <n v="4"/>
    <n v="77"/>
    <m/>
    <m/>
    <m/>
    <m/>
    <n v="2"/>
    <n v="1210"/>
    <n v="1"/>
    <n v="1275"/>
    <m/>
    <m/>
    <m/>
    <m/>
    <n v="4"/>
    <n v="77204"/>
    <n v="4"/>
    <n v="79472"/>
  </r>
  <r>
    <x v="5"/>
    <s v="Hopkinsville Community College "/>
    <s v="Met the criteria for Two-Year 2 in 2009-10 and 2010-11."/>
    <n v="156860"/>
    <x v="8"/>
    <n v="55"/>
    <n v="260304"/>
    <n v="59"/>
    <n v="282145"/>
    <n v="55"/>
    <n v="342783"/>
    <n v="59"/>
    <n v="426269"/>
    <m/>
    <m/>
    <m/>
    <m/>
    <n v="55"/>
    <n v="192297"/>
    <n v="59"/>
    <n v="199640"/>
    <m/>
    <m/>
    <m/>
    <m/>
    <n v="55"/>
    <n v="1038"/>
    <n v="59"/>
    <n v="1115"/>
    <m/>
    <m/>
    <m/>
    <m/>
    <n v="5"/>
    <n v="4356"/>
    <n v="7"/>
    <n v="6385"/>
    <m/>
    <m/>
    <m/>
    <m/>
    <n v="55"/>
    <n v="800778"/>
    <n v="59"/>
    <n v="915554"/>
    <n v="10"/>
    <n v="59668"/>
    <n v="9"/>
    <n v="57066"/>
    <n v="10"/>
    <n v="65064"/>
    <n v="9"/>
    <n v="76091"/>
    <m/>
    <m/>
    <m/>
    <m/>
    <n v="10"/>
    <n v="34359"/>
    <n v="9"/>
    <n v="32138"/>
    <m/>
    <m/>
    <m/>
    <m/>
    <n v="10"/>
    <n v="192"/>
    <n v="9"/>
    <n v="173"/>
    <m/>
    <m/>
    <m/>
    <m/>
    <n v="4"/>
    <n v="3630"/>
    <n v="1"/>
    <n v="375"/>
    <m/>
    <m/>
    <m/>
    <m/>
    <n v="10"/>
    <n v="162913"/>
    <n v="9"/>
    <n v="165843"/>
  </r>
  <r>
    <x v="5"/>
    <s v="Bowling Green Technical College"/>
    <m/>
    <n v="156338"/>
    <x v="9"/>
    <n v="37"/>
    <n v="208331"/>
    <n v="42"/>
    <n v="237005"/>
    <n v="39"/>
    <n v="300313"/>
    <n v="44"/>
    <n v="374793"/>
    <m/>
    <m/>
    <m/>
    <m/>
    <n v="39"/>
    <n v="74077"/>
    <n v="44"/>
    <n v="88673"/>
    <m/>
    <m/>
    <m/>
    <m/>
    <n v="39"/>
    <n v="749"/>
    <n v="44"/>
    <n v="845"/>
    <m/>
    <m/>
    <m/>
    <m/>
    <m/>
    <m/>
    <n v="2"/>
    <n v="1155"/>
    <m/>
    <m/>
    <m/>
    <m/>
    <n v="39"/>
    <n v="583470"/>
    <n v="44"/>
    <n v="702471"/>
    <n v="20"/>
    <n v="125820"/>
    <n v="20"/>
    <n v="132419"/>
    <n v="25"/>
    <n v="166846"/>
    <n v="26"/>
    <n v="188016"/>
    <m/>
    <m/>
    <m/>
    <m/>
    <n v="25"/>
    <n v="61595"/>
    <n v="26"/>
    <n v="72034"/>
    <m/>
    <m/>
    <m/>
    <m/>
    <n v="25"/>
    <n v="480"/>
    <n v="26"/>
    <n v="499"/>
    <m/>
    <m/>
    <m/>
    <m/>
    <n v="1"/>
    <n v="363"/>
    <m/>
    <m/>
    <m/>
    <m/>
    <m/>
    <m/>
    <n v="25"/>
    <n v="355104"/>
    <n v="26"/>
    <n v="392968"/>
  </r>
  <r>
    <x v="5"/>
    <s v="Gateway Community and Technical College"/>
    <m/>
    <n v="157438"/>
    <x v="9"/>
    <n v="52"/>
    <n v="300700"/>
    <n v="53"/>
    <n v="305973"/>
    <n v="59"/>
    <n v="376947"/>
    <n v="60"/>
    <n v="427261"/>
    <m/>
    <m/>
    <m/>
    <m/>
    <n v="59"/>
    <n v="141093"/>
    <n v="60"/>
    <n v="149987"/>
    <m/>
    <m/>
    <m/>
    <m/>
    <n v="59"/>
    <n v="1114"/>
    <n v="60"/>
    <n v="1152"/>
    <m/>
    <m/>
    <m/>
    <m/>
    <n v="12"/>
    <n v="7260"/>
    <n v="8"/>
    <n v="7440"/>
    <m/>
    <m/>
    <m/>
    <m/>
    <n v="59"/>
    <n v="827114"/>
    <n v="60"/>
    <n v="891813"/>
    <n v="20"/>
    <n v="119362"/>
    <n v="25"/>
    <n v="156674"/>
    <n v="22"/>
    <n v="127912"/>
    <n v="28"/>
    <n v="191380"/>
    <m/>
    <m/>
    <m/>
    <m/>
    <n v="22"/>
    <n v="53113"/>
    <n v="28"/>
    <n v="76890"/>
    <m/>
    <m/>
    <m/>
    <m/>
    <n v="22"/>
    <n v="403"/>
    <n v="28"/>
    <n v="538"/>
    <m/>
    <m/>
    <m/>
    <m/>
    <m/>
    <m/>
    <m/>
    <m/>
    <m/>
    <m/>
    <m/>
    <m/>
    <n v="22"/>
    <n v="300790"/>
    <n v="28"/>
    <n v="425482"/>
  </r>
  <r>
    <x v="6"/>
    <s v="Louisiana State University and A&amp;M College"/>
    <m/>
    <n v="159391"/>
    <x v="0"/>
    <n v="1159"/>
    <n v="14426119"/>
    <n v="1090"/>
    <n v="12436850"/>
    <n v="1058"/>
    <n v="6474218"/>
    <n v="972"/>
    <n v="5737388"/>
    <n v="0"/>
    <n v="0"/>
    <n v="0"/>
    <n v="0"/>
    <n v="909"/>
    <n v="992575"/>
    <n v="869"/>
    <n v="839377"/>
    <n v="0"/>
    <n v="0"/>
    <n v="0"/>
    <n v="0"/>
    <n v="234"/>
    <n v="44929"/>
    <n v="269"/>
    <n v="52418"/>
    <n v="1159"/>
    <n v="651502"/>
    <n v="1090"/>
    <n v="472285"/>
    <n v="0"/>
    <n v="0"/>
    <n v="0"/>
    <n v="0"/>
    <n v="0"/>
    <n v="0"/>
    <n v="0"/>
    <n v="0"/>
    <n v="1159"/>
    <n v="22589343"/>
    <n v="1090"/>
    <n v="19538318"/>
    <n v="146"/>
    <n v="2365058"/>
    <n v="151"/>
    <n v="2231567"/>
    <n v="137"/>
    <n v="921624"/>
    <n v="140"/>
    <n v="934360"/>
    <n v="0"/>
    <n v="0"/>
    <m/>
    <m/>
    <n v="109"/>
    <n v="168879"/>
    <n v="109"/>
    <n v="145888"/>
    <n v="0"/>
    <n v="0"/>
    <m/>
    <m/>
    <n v="37"/>
    <n v="7294"/>
    <n v="46"/>
    <n v="9217"/>
    <n v="146"/>
    <n v="106809"/>
    <n v="151"/>
    <n v="84743"/>
    <n v="0"/>
    <n v="0"/>
    <n v="0"/>
    <n v="0"/>
    <n v="0"/>
    <n v="0"/>
    <m/>
    <m/>
    <n v="146"/>
    <n v="3569664"/>
    <n v="151"/>
    <n v="3405775"/>
  </r>
  <r>
    <x v="6"/>
    <s v="Louisiana Tech University "/>
    <m/>
    <n v="159647"/>
    <x v="1"/>
    <n v="334"/>
    <n v="3108200"/>
    <n v="327"/>
    <n v="2825200"/>
    <n v="334"/>
    <n v="2847512"/>
    <n v="327"/>
    <n v="2628509"/>
    <n v="0"/>
    <n v="0"/>
    <n v="0"/>
    <n v="0"/>
    <n v="334"/>
    <n v="258682"/>
    <n v="327"/>
    <n v="205632"/>
    <n v="0"/>
    <n v="0"/>
    <n v="0"/>
    <n v="0"/>
    <n v="0"/>
    <n v="0"/>
    <n v="0"/>
    <n v="0"/>
    <n v="334"/>
    <n v="150397"/>
    <n v="327"/>
    <n v="107286"/>
    <n v="334"/>
    <n v="32085"/>
    <n v="327"/>
    <n v="14305"/>
    <n v="334"/>
    <n v="180476"/>
    <n v="327"/>
    <n v="169870"/>
    <n v="334"/>
    <n v="6577352"/>
    <n v="327"/>
    <n v="5950802"/>
    <n v="64"/>
    <n v="927322"/>
    <n v="53"/>
    <n v="742431"/>
    <n v="64"/>
    <n v="849547"/>
    <n v="53"/>
    <n v="690743"/>
    <n v="0"/>
    <n v="0"/>
    <m/>
    <m/>
    <n v="64"/>
    <n v="77177"/>
    <n v="53"/>
    <n v="54038"/>
    <n v="0"/>
    <n v="0"/>
    <m/>
    <m/>
    <n v="0"/>
    <n v="0"/>
    <n v="0"/>
    <n v="0"/>
    <n v="64"/>
    <n v="44870"/>
    <n v="53"/>
    <n v="28194"/>
    <n v="64"/>
    <n v="9572"/>
    <n v="53"/>
    <n v="3759"/>
    <n v="64"/>
    <n v="53845"/>
    <n v="53"/>
    <n v="44640"/>
    <n v="64"/>
    <n v="1962333"/>
    <n v="53"/>
    <n v="1563805"/>
  </r>
  <r>
    <x v="6"/>
    <s v="University of Louisiana at Lafayette"/>
    <m/>
    <n v="160658"/>
    <x v="1"/>
    <n v="585"/>
    <n v="6142680"/>
    <n v="509"/>
    <n v="4961512"/>
    <n v="518"/>
    <n v="3624159"/>
    <n v="447"/>
    <n v="1342572"/>
    <n v="0"/>
    <n v="0"/>
    <n v="0"/>
    <n v="0"/>
    <n v="515"/>
    <n v="553021"/>
    <n v="433"/>
    <n v="368885"/>
    <n v="0"/>
    <n v="0"/>
    <n v="0"/>
    <n v="0"/>
    <n v="223"/>
    <n v="55134"/>
    <n v="273"/>
    <n v="42576"/>
    <n v="597"/>
    <n v="633459"/>
    <n v="528"/>
    <n v="78394"/>
    <n v="0"/>
    <n v="0"/>
    <n v="0"/>
    <n v="0"/>
    <n v="0"/>
    <n v="0"/>
    <n v="0"/>
    <n v="0"/>
    <n v="597"/>
    <n v="11008453"/>
    <n v="528"/>
    <n v="6793939"/>
    <n v="3"/>
    <n v="35052"/>
    <n v="2"/>
    <n v="20155"/>
    <n v="3"/>
    <n v="19977"/>
    <n v="2"/>
    <n v="16224"/>
    <n v="0"/>
    <n v="0"/>
    <m/>
    <m/>
    <n v="3"/>
    <n v="4407"/>
    <n v="2"/>
    <n v="1849"/>
    <n v="0"/>
    <n v="0"/>
    <m/>
    <m/>
    <n v="0"/>
    <n v="0"/>
    <n v="0"/>
    <n v="0"/>
    <n v="3"/>
    <n v="3658"/>
    <n v="2"/>
    <n v="3"/>
    <n v="0"/>
    <n v="0"/>
    <n v="0"/>
    <n v="0"/>
    <n v="0"/>
    <n v="0"/>
    <m/>
    <m/>
    <n v="3"/>
    <n v="63094"/>
    <n v="2"/>
    <n v="38231"/>
  </r>
  <r>
    <x v="6"/>
    <s v="University of New Orleans"/>
    <m/>
    <n v="159939"/>
    <x v="1"/>
    <n v="411"/>
    <n v="4409817"/>
    <n v="398"/>
    <n v="4011186"/>
    <n v="356"/>
    <n v="1723133"/>
    <n v="343"/>
    <n v="1561127"/>
    <n v="0"/>
    <n v="0"/>
    <n v="0"/>
    <n v="0"/>
    <n v="0"/>
    <n v="0"/>
    <n v="0"/>
    <n v="0"/>
    <n v="0"/>
    <n v="0"/>
    <n v="0"/>
    <n v="0"/>
    <n v="72"/>
    <n v="10751"/>
    <n v="82"/>
    <n v="11764"/>
    <n v="0"/>
    <n v="0"/>
    <n v="0"/>
    <n v="0"/>
    <n v="0"/>
    <n v="0"/>
    <n v="0"/>
    <n v="0"/>
    <n v="0"/>
    <n v="0"/>
    <n v="0"/>
    <n v="0"/>
    <n v="411"/>
    <n v="6143701"/>
    <n v="398"/>
    <n v="5584077"/>
    <n v="19"/>
    <n v="208592"/>
    <n v="14"/>
    <n v="135366"/>
    <n v="17"/>
    <n v="119785"/>
    <n v="14"/>
    <n v="77998"/>
    <n v="0"/>
    <n v="0"/>
    <m/>
    <m/>
    <n v="0"/>
    <n v="0"/>
    <n v="0"/>
    <n v="0"/>
    <n v="0"/>
    <n v="0"/>
    <m/>
    <m/>
    <n v="3"/>
    <n v="558"/>
    <n v="6"/>
    <n v="1270"/>
    <n v="0"/>
    <n v="0"/>
    <n v="0"/>
    <n v="0"/>
    <n v="0"/>
    <n v="0"/>
    <n v="0"/>
    <n v="0"/>
    <n v="0"/>
    <n v="0"/>
    <m/>
    <m/>
    <n v="19"/>
    <n v="328935"/>
    <n v="14"/>
    <n v="214634"/>
  </r>
  <r>
    <x v="6"/>
    <s v="Southeastern Louisiana University "/>
    <m/>
    <n v="160612"/>
    <x v="2"/>
    <n v="511"/>
    <n v="4546040"/>
    <n v="474"/>
    <n v="3774674"/>
    <n v="432"/>
    <n v="2824550"/>
    <n v="389"/>
    <n v="2282071"/>
    <n v="0"/>
    <n v="0"/>
    <n v="0"/>
    <n v="0"/>
    <n v="479"/>
    <n v="388284"/>
    <n v="433"/>
    <n v="306822"/>
    <n v="0"/>
    <n v="0"/>
    <n v="0"/>
    <n v="0"/>
    <n v="117"/>
    <n v="29320"/>
    <n v="100"/>
    <n v="23125"/>
    <n v="0"/>
    <n v="0"/>
    <n v="0"/>
    <n v="0"/>
    <n v="32"/>
    <n v="75693"/>
    <n v="38"/>
    <n v="89919"/>
    <n v="0"/>
    <n v="0"/>
    <n v="0"/>
    <n v="0"/>
    <n v="511"/>
    <n v="7863887"/>
    <n v="474"/>
    <n v="6476611"/>
    <n v="19"/>
    <n v="314141"/>
    <n v="22"/>
    <n v="337533"/>
    <n v="19"/>
    <n v="129166"/>
    <n v="17"/>
    <n v="105277"/>
    <n v="0"/>
    <n v="0"/>
    <m/>
    <m/>
    <n v="17"/>
    <n v="26355"/>
    <n v="19"/>
    <n v="27090"/>
    <n v="0"/>
    <n v="0"/>
    <m/>
    <m/>
    <n v="6"/>
    <n v="1800"/>
    <n v="7"/>
    <n v="2162"/>
    <n v="0"/>
    <n v="0"/>
    <n v="0"/>
    <n v="0"/>
    <n v="3"/>
    <n v="6436"/>
    <n v="2"/>
    <n v="1878"/>
    <n v="0"/>
    <n v="0"/>
    <m/>
    <m/>
    <n v="19"/>
    <n v="477898"/>
    <n v="22"/>
    <n v="473940"/>
  </r>
  <r>
    <x v="6"/>
    <s v="Southern University and A&amp;M College at Baton Rouge "/>
    <m/>
    <n v="160621"/>
    <x v="2"/>
    <n v="340"/>
    <n v="3479366"/>
    <n v="421"/>
    <n v="3819331"/>
    <n v="280"/>
    <n v="1627765"/>
    <n v="305"/>
    <n v="1558389"/>
    <n v="0"/>
    <n v="0"/>
    <n v="0"/>
    <n v="0"/>
    <n v="5"/>
    <n v="15660"/>
    <n v="13"/>
    <n v="42510"/>
    <n v="0"/>
    <n v="0"/>
    <n v="0"/>
    <n v="0"/>
    <n v="0"/>
    <n v="0"/>
    <n v="0"/>
    <n v="0"/>
    <n v="0"/>
    <n v="0"/>
    <n v="0"/>
    <n v="0"/>
    <n v="0"/>
    <n v="0"/>
    <n v="11"/>
    <n v="2324"/>
    <n v="0"/>
    <n v="0"/>
    <n v="0"/>
    <n v="0"/>
    <n v="340"/>
    <n v="5122791"/>
    <n v="421"/>
    <n v="5422554"/>
    <n v="9"/>
    <n v="112456"/>
    <n v="1"/>
    <n v="8035"/>
    <n v="7"/>
    <n v="44524"/>
    <n v="0"/>
    <n v="0"/>
    <n v="0"/>
    <n v="0"/>
    <m/>
    <m/>
    <n v="0"/>
    <n v="0"/>
    <n v="0"/>
    <n v="0"/>
    <n v="0"/>
    <n v="0"/>
    <m/>
    <m/>
    <n v="0"/>
    <n v="0"/>
    <n v="0"/>
    <n v="0"/>
    <n v="0"/>
    <n v="0"/>
    <n v="0"/>
    <n v="0"/>
    <n v="0"/>
    <n v="0"/>
    <n v="0"/>
    <n v="0"/>
    <n v="0"/>
    <n v="0"/>
    <m/>
    <m/>
    <n v="9"/>
    <n v="156980"/>
    <n v="1"/>
    <n v="8035"/>
  </r>
  <r>
    <x v="6"/>
    <s v="University of Louisiana at Monroe"/>
    <m/>
    <n v="159993"/>
    <x v="2"/>
    <n v="271"/>
    <n v="2290524"/>
    <n v="314"/>
    <n v="2616756"/>
    <n v="249"/>
    <n v="1600221"/>
    <n v="263"/>
    <n v="1591406"/>
    <n v="0"/>
    <n v="0"/>
    <n v="0"/>
    <n v="0"/>
    <n v="1"/>
    <n v="2890"/>
    <n v="1"/>
    <n v="2678"/>
    <n v="286"/>
    <n v="39667"/>
    <n v="314"/>
    <n v="39889"/>
    <n v="255"/>
    <n v="55594"/>
    <n v="289"/>
    <n v="52489"/>
    <n v="286"/>
    <n v="136455"/>
    <n v="314"/>
    <n v="137219"/>
    <n v="28"/>
    <n v="28572"/>
    <n v="23"/>
    <n v="26724"/>
    <n v="0"/>
    <n v="0"/>
    <n v="0"/>
    <n v="0"/>
    <n v="286"/>
    <n v="4153923"/>
    <n v="314"/>
    <n v="4467161"/>
    <n v="59"/>
    <n v="820081"/>
    <n v="46"/>
    <n v="657923"/>
    <n v="51"/>
    <n v="370700"/>
    <n v="41"/>
    <n v="266686"/>
    <n v="0"/>
    <n v="0"/>
    <m/>
    <m/>
    <n v="0"/>
    <n v="0"/>
    <n v="0"/>
    <n v="0"/>
    <n v="59"/>
    <n v="13488"/>
    <n v="46"/>
    <n v="9919"/>
    <n v="56"/>
    <n v="13616"/>
    <n v="40"/>
    <n v="9043"/>
    <n v="59"/>
    <n v="46399"/>
    <n v="46"/>
    <n v="34120"/>
    <n v="6"/>
    <n v="6916"/>
    <n v="2"/>
    <n v="2184"/>
    <n v="0"/>
    <n v="0"/>
    <m/>
    <m/>
    <n v="59"/>
    <n v="1271200"/>
    <n v="46"/>
    <n v="979875"/>
  </r>
  <r>
    <x v="6"/>
    <s v="Grambling State University"/>
    <m/>
    <n v="159009"/>
    <x v="3"/>
    <n v="185"/>
    <n v="2250990"/>
    <n v="193"/>
    <n v="1712398"/>
    <n v="158"/>
    <n v="1164163"/>
    <n v="157"/>
    <n v="934531"/>
    <n v="98"/>
    <n v="42815"/>
    <n v="109"/>
    <n v="22778"/>
    <n v="158"/>
    <n v="179205"/>
    <n v="134"/>
    <n v="114241"/>
    <n v="0"/>
    <n v="0"/>
    <n v="0"/>
    <n v="0"/>
    <n v="86"/>
    <n v="25211"/>
    <n v="90"/>
    <n v="20530"/>
    <n v="0"/>
    <n v="0"/>
    <n v="0"/>
    <n v="0"/>
    <n v="0"/>
    <n v="0"/>
    <n v="0"/>
    <n v="0"/>
    <n v="0"/>
    <n v="0"/>
    <n v="0"/>
    <n v="0"/>
    <n v="185"/>
    <n v="3662384"/>
    <n v="193"/>
    <n v="2804478"/>
    <n v="39"/>
    <n v="448508"/>
    <n v="42"/>
    <n v="504923"/>
    <n v="36"/>
    <n v="234406"/>
    <n v="36"/>
    <n v="218245"/>
    <n v="18"/>
    <n v="8411"/>
    <n v="25"/>
    <n v="10786"/>
    <n v="38"/>
    <n v="40154"/>
    <n v="39"/>
    <n v="42217"/>
    <n v="0"/>
    <n v="0"/>
    <m/>
    <m/>
    <n v="17"/>
    <n v="4608"/>
    <n v="28"/>
    <n v="4720"/>
    <n v="0"/>
    <n v="0"/>
    <n v="0"/>
    <n v="0"/>
    <n v="0"/>
    <n v="0"/>
    <n v="0"/>
    <n v="0"/>
    <n v="0"/>
    <n v="0"/>
    <m/>
    <m/>
    <n v="39"/>
    <n v="736087"/>
    <n v="42"/>
    <n v="780891"/>
  </r>
  <r>
    <x v="6"/>
    <s v="Louisiana State University in Shreveport"/>
    <m/>
    <n v="159416"/>
    <x v="3"/>
    <n v="113"/>
    <n v="980396"/>
    <n v="127"/>
    <n v="1038852"/>
    <n v="103"/>
    <n v="605033"/>
    <n v="113"/>
    <n v="610264"/>
    <n v="0"/>
    <n v="0"/>
    <n v="0"/>
    <n v="0"/>
    <n v="1"/>
    <n v="1215"/>
    <n v="111"/>
    <n v="82303"/>
    <n v="0"/>
    <n v="0"/>
    <n v="130"/>
    <n v="20423"/>
    <n v="44"/>
    <n v="7392"/>
    <n v="49"/>
    <n v="10707"/>
    <n v="0"/>
    <n v="0"/>
    <n v="130"/>
    <n v="20374"/>
    <n v="0"/>
    <n v="0"/>
    <n v="0"/>
    <n v="0"/>
    <n v="0"/>
    <n v="0"/>
    <n v="0"/>
    <n v="0"/>
    <n v="113"/>
    <n v="1594036"/>
    <n v="130"/>
    <n v="1782923"/>
    <n v="11"/>
    <n v="106168"/>
    <n v="6"/>
    <n v="72878"/>
    <n v="9"/>
    <n v="50757"/>
    <n v="3"/>
    <n v="11172"/>
    <n v="0"/>
    <n v="0"/>
    <m/>
    <m/>
    <n v="0"/>
    <n v="0"/>
    <n v="3"/>
    <n v="2510"/>
    <n v="0"/>
    <n v="0"/>
    <n v="6"/>
    <n v="936"/>
    <n v="9"/>
    <n v="1512"/>
    <n v="2"/>
    <n v="552"/>
    <n v="0"/>
    <n v="0"/>
    <n v="6"/>
    <n v="936"/>
    <n v="0"/>
    <n v="0"/>
    <n v="0"/>
    <n v="0"/>
    <n v="0"/>
    <n v="0"/>
    <m/>
    <m/>
    <n v="11"/>
    <n v="158437"/>
    <n v="6"/>
    <n v="88984"/>
  </r>
  <r>
    <x v="6"/>
    <s v="McNeese State University"/>
    <m/>
    <n v="159717"/>
    <x v="3"/>
    <n v="295"/>
    <n v="2769745"/>
    <n v="286"/>
    <n v="2306227"/>
    <n v="246"/>
    <n v="1626922"/>
    <n v="238"/>
    <n v="1417322"/>
    <n v="0"/>
    <n v="0"/>
    <n v="0"/>
    <n v="0"/>
    <n v="260"/>
    <n v="210105"/>
    <n v="241"/>
    <n v="160107"/>
    <n v="0"/>
    <n v="0"/>
    <n v="0"/>
    <n v="0"/>
    <n v="87"/>
    <n v="19704"/>
    <n v="93"/>
    <n v="18876"/>
    <n v="0"/>
    <n v="0"/>
    <n v="0"/>
    <n v="0"/>
    <n v="21"/>
    <n v="25130"/>
    <n v="24"/>
    <n v="23964"/>
    <n v="0"/>
    <n v="0"/>
    <n v="0"/>
    <n v="0"/>
    <n v="295"/>
    <n v="4651606"/>
    <n v="286"/>
    <n v="3926496"/>
    <n v="7"/>
    <n v="65220"/>
    <n v="6"/>
    <n v="47606"/>
    <n v="6"/>
    <n v="43005"/>
    <n v="5"/>
    <n v="31722"/>
    <n v="0"/>
    <n v="0"/>
    <m/>
    <m/>
    <n v="5"/>
    <n v="3804"/>
    <n v="4"/>
    <n v="2526"/>
    <n v="0"/>
    <n v="0"/>
    <m/>
    <m/>
    <n v="2"/>
    <n v="600"/>
    <n v="0"/>
    <n v="0"/>
    <n v="0"/>
    <n v="0"/>
    <n v="0"/>
    <n v="0"/>
    <n v="3"/>
    <n v="1785"/>
    <n v="1"/>
    <n v="263"/>
    <n v="0"/>
    <n v="0"/>
    <m/>
    <m/>
    <n v="7"/>
    <n v="114414"/>
    <n v="6"/>
    <n v="82117"/>
  </r>
  <r>
    <x v="6"/>
    <s v="Nicholls State University "/>
    <m/>
    <n v="159966"/>
    <x v="3"/>
    <n v="243"/>
    <n v="1948990"/>
    <n v="255"/>
    <n v="1938552"/>
    <n v="194"/>
    <n v="1250184"/>
    <n v="218"/>
    <n v="1320497"/>
    <n v="0"/>
    <n v="0"/>
    <n v="0"/>
    <n v="0"/>
    <n v="219"/>
    <n v="162343"/>
    <n v="219"/>
    <n v="149089"/>
    <n v="0"/>
    <n v="0"/>
    <n v="0"/>
    <n v="0"/>
    <n v="78"/>
    <n v="18625"/>
    <n v="98"/>
    <n v="19452"/>
    <n v="247"/>
    <n v="81510"/>
    <n v="266"/>
    <n v="91770"/>
    <n v="20"/>
    <n v="26658"/>
    <n v="23"/>
    <n v="78706"/>
    <n v="0"/>
    <n v="0"/>
    <n v="0"/>
    <n v="0"/>
    <n v="247"/>
    <n v="3488310"/>
    <n v="266"/>
    <n v="3598066"/>
    <n v="27"/>
    <n v="272226"/>
    <n v="19"/>
    <n v="164130"/>
    <n v="27"/>
    <n v="164498"/>
    <n v="18"/>
    <n v="98388"/>
    <n v="0"/>
    <n v="0"/>
    <m/>
    <m/>
    <n v="23"/>
    <n v="20259"/>
    <n v="17"/>
    <n v="12755"/>
    <n v="0"/>
    <n v="0"/>
    <m/>
    <m/>
    <n v="11"/>
    <n v="1630"/>
    <n v="7"/>
    <n v="1684"/>
    <n v="28"/>
    <n v="9240"/>
    <n v="19"/>
    <n v="6555"/>
    <n v="4"/>
    <n v="5699"/>
    <n v="2"/>
    <n v="6633"/>
    <n v="0"/>
    <n v="0"/>
    <m/>
    <m/>
    <n v="28"/>
    <n v="473552"/>
    <n v="19"/>
    <n v="290145"/>
  </r>
  <r>
    <x v="6"/>
    <s v="Northwestern State University"/>
    <m/>
    <n v="160038"/>
    <x v="3"/>
    <n v="268"/>
    <n v="2293427"/>
    <n v="262"/>
    <n v="2077236"/>
    <n v="216"/>
    <n v="1301104"/>
    <n v="209"/>
    <n v="1153413"/>
    <n v="0"/>
    <n v="0"/>
    <n v="0"/>
    <n v="0"/>
    <n v="8"/>
    <n v="21818"/>
    <n v="12"/>
    <n v="30218"/>
    <n v="0"/>
    <n v="0"/>
    <n v="0"/>
    <n v="0"/>
    <n v="65"/>
    <n v="14766"/>
    <n v="71"/>
    <n v="14943"/>
    <n v="0"/>
    <n v="0"/>
    <n v="0"/>
    <n v="0"/>
    <n v="0"/>
    <n v="0"/>
    <n v="0"/>
    <n v="0"/>
    <n v="0"/>
    <n v="0"/>
    <n v="0"/>
    <n v="0"/>
    <n v="268"/>
    <n v="3631115"/>
    <n v="262"/>
    <n v="3275810"/>
    <n v="44"/>
    <n v="523539"/>
    <n v="30"/>
    <n v="330372"/>
    <n v="42"/>
    <n v="266365"/>
    <n v="27"/>
    <n v="171764"/>
    <n v="0"/>
    <n v="0"/>
    <m/>
    <m/>
    <n v="0"/>
    <n v="0"/>
    <n v="0"/>
    <n v="0"/>
    <n v="0"/>
    <n v="0"/>
    <m/>
    <m/>
    <n v="10"/>
    <n v="1776"/>
    <n v="8"/>
    <n v="1711"/>
    <n v="0"/>
    <n v="0"/>
    <n v="0"/>
    <n v="0"/>
    <n v="0"/>
    <n v="0"/>
    <n v="0"/>
    <n v="0"/>
    <n v="0"/>
    <n v="0"/>
    <m/>
    <m/>
    <n v="44"/>
    <n v="791680"/>
    <n v="30"/>
    <n v="503847"/>
  </r>
  <r>
    <x v="6"/>
    <s v="Southern University at New Orleans"/>
    <s v="Met the criteria for Four-year 5 in 2010-11."/>
    <n v="160630"/>
    <x v="3"/>
    <n v="86"/>
    <n v="560204"/>
    <n v="69"/>
    <n v="572000"/>
    <n v="53"/>
    <n v="304644"/>
    <n v="60"/>
    <n v="27291"/>
    <n v="0"/>
    <n v="0"/>
    <n v="0"/>
    <n v="0"/>
    <n v="0"/>
    <n v="0"/>
    <n v="0"/>
    <n v="0"/>
    <n v="0"/>
    <n v="0"/>
    <n v="0"/>
    <n v="0"/>
    <n v="12"/>
    <n v="252"/>
    <n v="21"/>
    <n v="435"/>
    <n v="0"/>
    <n v="0"/>
    <n v="0"/>
    <n v="0"/>
    <n v="0"/>
    <n v="0"/>
    <n v="0"/>
    <n v="0"/>
    <n v="0"/>
    <n v="0"/>
    <n v="0"/>
    <n v="0"/>
    <n v="86"/>
    <n v="865100"/>
    <n v="69"/>
    <n v="599726"/>
    <n v="11"/>
    <n v="71654"/>
    <n v="0"/>
    <n v="0"/>
    <n v="6"/>
    <n v="34489"/>
    <n v="0"/>
    <n v="0"/>
    <n v="0"/>
    <n v="0"/>
    <m/>
    <m/>
    <n v="0"/>
    <n v="0"/>
    <n v="0"/>
    <n v="0"/>
    <n v="0"/>
    <n v="0"/>
    <m/>
    <m/>
    <n v="2"/>
    <n v="42"/>
    <n v="0"/>
    <n v="0"/>
    <n v="0"/>
    <n v="0"/>
    <n v="0"/>
    <n v="0"/>
    <n v="0"/>
    <n v="0"/>
    <n v="0"/>
    <n v="0"/>
    <n v="0"/>
    <n v="0"/>
    <m/>
    <m/>
    <n v="11"/>
    <n v="106185"/>
    <n v="0"/>
    <n v="0"/>
  </r>
  <r>
    <x v="6"/>
    <s v="Louisiana State University at Alexandria"/>
    <s v="Met the criteria for Four-Year 6 in 2009-10 and 2010-11."/>
    <n v="159382"/>
    <x v="11"/>
    <n v="91"/>
    <n v="561173"/>
    <n v="88"/>
    <n v="612729"/>
    <n v="74"/>
    <n v="405185"/>
    <n v="74"/>
    <n v="427416"/>
    <n v="0"/>
    <n v="0"/>
    <n v="0"/>
    <n v="0"/>
    <n v="94"/>
    <n v="58712"/>
    <n v="82"/>
    <n v="55011"/>
    <n v="0"/>
    <n v="0"/>
    <n v="0"/>
    <n v="0"/>
    <n v="22"/>
    <n v="6266"/>
    <n v="21"/>
    <n v="3296"/>
    <n v="0"/>
    <n v="0"/>
    <n v="0"/>
    <n v="0"/>
    <n v="0"/>
    <n v="0"/>
    <n v="0"/>
    <n v="0"/>
    <n v="0"/>
    <n v="0"/>
    <n v="0"/>
    <n v="0"/>
    <n v="94"/>
    <n v="1031336"/>
    <n v="88"/>
    <n v="1098452"/>
    <n v="14"/>
    <n v="117565"/>
    <n v="14"/>
    <n v="135477"/>
    <n v="13"/>
    <n v="71181"/>
    <n v="13"/>
    <n v="69866"/>
    <n v="0"/>
    <n v="0"/>
    <m/>
    <m/>
    <n v="14"/>
    <n v="11892"/>
    <n v="7"/>
    <n v="11342"/>
    <n v="0"/>
    <n v="0"/>
    <m/>
    <m/>
    <n v="5"/>
    <n v="1424"/>
    <n v="5"/>
    <n v="1132"/>
    <n v="0"/>
    <n v="0"/>
    <n v="0"/>
    <n v="0"/>
    <n v="0"/>
    <n v="0"/>
    <n v="0"/>
    <n v="0"/>
    <n v="0"/>
    <n v="0"/>
    <m/>
    <m/>
    <n v="14"/>
    <n v="202062"/>
    <n v="14"/>
    <n v="217817"/>
  </r>
  <r>
    <x v="6"/>
    <s v="Delgado Community College "/>
    <s v="Now includes LTC-Jefferson Campus and LTC-W.Jefferson Campus"/>
    <n v="158662"/>
    <x v="6"/>
    <n v="405"/>
    <n v="2793965"/>
    <n v="353"/>
    <n v="2585605"/>
    <n v="320"/>
    <n v="1212265"/>
    <n v="291"/>
    <n v="781326"/>
    <n v="0"/>
    <n v="0"/>
    <n v="0"/>
    <n v="0"/>
    <n v="409"/>
    <n v="265543"/>
    <n v="332"/>
    <n v="209431"/>
    <n v="0"/>
    <n v="0"/>
    <n v="0"/>
    <n v="0"/>
    <n v="89"/>
    <n v="10519"/>
    <n v="120"/>
    <n v="11529"/>
    <n v="0"/>
    <n v="0"/>
    <n v="0"/>
    <n v="0"/>
    <n v="0"/>
    <n v="0"/>
    <n v="0"/>
    <n v="0"/>
    <n v="0"/>
    <n v="0"/>
    <n v="0"/>
    <n v="0"/>
    <n v="409"/>
    <n v="4282292"/>
    <n v="353"/>
    <n v="3587891"/>
    <n v="18"/>
    <n v="144157"/>
    <n v="24"/>
    <n v="208043"/>
    <n v="19"/>
    <n v="79949"/>
    <n v="26"/>
    <n v="72756"/>
    <n v="0"/>
    <n v="0"/>
    <m/>
    <m/>
    <n v="19"/>
    <n v="15152"/>
    <n v="25"/>
    <n v="16644"/>
    <n v="0"/>
    <n v="0"/>
    <m/>
    <m/>
    <n v="5"/>
    <n v="343"/>
    <n v="9"/>
    <n v="689"/>
    <n v="0"/>
    <n v="0"/>
    <n v="0"/>
    <n v="0"/>
    <n v="0"/>
    <n v="0"/>
    <n v="0"/>
    <n v="0"/>
    <n v="0"/>
    <n v="0"/>
    <m/>
    <m/>
    <n v="19"/>
    <n v="239601"/>
    <n v="26"/>
    <n v="298132"/>
  </r>
  <r>
    <x v="6"/>
    <s v="Baton Rouge Community College"/>
    <s v="Reclassified: Met criteria for Two-Year 1 in 2008-09, 2009-10 and 2010-11."/>
    <n v="437103"/>
    <x v="6"/>
    <n v="96"/>
    <n v="565856"/>
    <n v="87"/>
    <n v="507075"/>
    <n v="110"/>
    <n v="441108"/>
    <n v="72"/>
    <n v="230400"/>
    <n v="0"/>
    <n v="0"/>
    <n v="0"/>
    <n v="0"/>
    <n v="0"/>
    <n v="0"/>
    <n v="0"/>
    <n v="0"/>
    <n v="0"/>
    <n v="0"/>
    <n v="0"/>
    <n v="0"/>
    <n v="86"/>
    <n v="7472"/>
    <n v="24"/>
    <n v="3850"/>
    <n v="0"/>
    <n v="0"/>
    <n v="0"/>
    <n v="0"/>
    <n v="0"/>
    <n v="0"/>
    <n v="0"/>
    <n v="0"/>
    <n v="0"/>
    <n v="0"/>
    <n v="0"/>
    <n v="0"/>
    <n v="110"/>
    <n v="1014436"/>
    <n v="87"/>
    <n v="741325"/>
    <m/>
    <m/>
    <n v="0"/>
    <n v="0"/>
    <m/>
    <m/>
    <n v="0"/>
    <n v="0"/>
    <m/>
    <m/>
    <m/>
    <m/>
    <m/>
    <m/>
    <n v="0"/>
    <n v="0"/>
    <m/>
    <m/>
    <m/>
    <m/>
    <m/>
    <m/>
    <m/>
    <m/>
    <m/>
    <m/>
    <n v="0"/>
    <n v="0"/>
    <m/>
    <m/>
    <n v="0"/>
    <n v="0"/>
    <m/>
    <m/>
    <m/>
    <m/>
    <n v="0"/>
    <n v="0"/>
    <n v="0"/>
    <n v="0"/>
  </r>
  <r>
    <x v="6"/>
    <s v="Bossier Parish Community College"/>
    <s v="Met the criteria for Two-Year 1 in 2010-11."/>
    <n v="158431"/>
    <x v="7"/>
    <n v="115"/>
    <n v="727809"/>
    <n v="105"/>
    <n v="618117"/>
    <n v="71"/>
    <n v="318103"/>
    <n v="61"/>
    <n v="259986"/>
    <n v="0"/>
    <n v="0"/>
    <n v="0"/>
    <n v="0"/>
    <n v="0"/>
    <n v="0"/>
    <n v="0"/>
    <n v="0"/>
    <n v="0"/>
    <n v="0"/>
    <n v="0"/>
    <n v="0"/>
    <n v="47"/>
    <n v="8730"/>
    <n v="43"/>
    <n v="6347"/>
    <n v="0"/>
    <n v="0"/>
    <n v="0"/>
    <n v="0"/>
    <n v="4"/>
    <n v="1939"/>
    <n v="2"/>
    <n v="702"/>
    <n v="0"/>
    <n v="0"/>
    <n v="0"/>
    <n v="0"/>
    <n v="115"/>
    <n v="1056581"/>
    <n v="105"/>
    <n v="885152"/>
    <m/>
    <m/>
    <n v="3"/>
    <n v="16719"/>
    <m/>
    <m/>
    <n v="2"/>
    <n v="5623"/>
    <m/>
    <m/>
    <m/>
    <m/>
    <m/>
    <m/>
    <n v="0"/>
    <n v="0"/>
    <m/>
    <m/>
    <m/>
    <m/>
    <m/>
    <m/>
    <m/>
    <m/>
    <m/>
    <m/>
    <n v="0"/>
    <n v="0"/>
    <m/>
    <m/>
    <n v="0"/>
    <n v="0"/>
    <m/>
    <m/>
    <m/>
    <m/>
    <n v="0"/>
    <n v="0"/>
    <n v="3"/>
    <n v="22342"/>
  </r>
  <r>
    <x v="6"/>
    <s v="Louisiana State University at Eunice"/>
    <m/>
    <n v="159407"/>
    <x v="7"/>
    <n v="56"/>
    <n v="440118"/>
    <n v="61"/>
    <n v="414450"/>
    <n v="53"/>
    <n v="285386"/>
    <n v="50"/>
    <n v="279984"/>
    <n v="0"/>
    <n v="0"/>
    <n v="0"/>
    <n v="0"/>
    <n v="51"/>
    <n v="33205"/>
    <n v="53"/>
    <n v="31454"/>
    <n v="0"/>
    <n v="0"/>
    <n v="0"/>
    <n v="0"/>
    <n v="7"/>
    <n v="1604"/>
    <n v="10"/>
    <n v="2721"/>
    <n v="57"/>
    <n v="21630"/>
    <n v="61"/>
    <n v="18094"/>
    <n v="0"/>
    <n v="0"/>
    <n v="0"/>
    <n v="0"/>
    <n v="0"/>
    <n v="0"/>
    <n v="0"/>
    <n v="0"/>
    <n v="57"/>
    <n v="781943"/>
    <n v="61"/>
    <n v="746703"/>
    <n v="9"/>
    <n v="92124"/>
    <n v="8"/>
    <n v="78724"/>
    <n v="5"/>
    <n v="34401"/>
    <n v="6"/>
    <n v="39676"/>
    <n v="0"/>
    <n v="0"/>
    <m/>
    <m/>
    <n v="9"/>
    <n v="8046"/>
    <n v="8"/>
    <n v="7365"/>
    <n v="0"/>
    <n v="0"/>
    <m/>
    <m/>
    <n v="0"/>
    <n v="0"/>
    <n v="1"/>
    <n v="276"/>
    <n v="9"/>
    <n v="3414"/>
    <n v="8"/>
    <n v="2353"/>
    <n v="0"/>
    <n v="0"/>
    <n v="0"/>
    <n v="0"/>
    <n v="0"/>
    <n v="0"/>
    <m/>
    <m/>
    <n v="9"/>
    <n v="137985"/>
    <n v="8"/>
    <n v="128394"/>
  </r>
  <r>
    <x v="6"/>
    <s v="Louisiana Delta Community College"/>
    <s v="Now includes LTC Tallulah Campus"/>
    <n v="440624"/>
    <x v="8"/>
    <n v="34"/>
    <n v="229982"/>
    <n v="25"/>
    <n v="148905"/>
    <n v="26"/>
    <n v="162942"/>
    <n v="18"/>
    <n v="115530"/>
    <n v="0"/>
    <n v="0"/>
    <n v="0"/>
    <n v="0"/>
    <n v="0"/>
    <n v="0"/>
    <n v="0"/>
    <n v="0"/>
    <n v="0"/>
    <n v="0"/>
    <n v="0"/>
    <n v="0"/>
    <n v="6"/>
    <n v="1674"/>
    <n v="6"/>
    <n v="1730"/>
    <n v="0"/>
    <n v="0"/>
    <n v="0"/>
    <n v="0"/>
    <n v="0"/>
    <n v="0"/>
    <n v="0"/>
    <n v="0"/>
    <n v="0"/>
    <n v="0"/>
    <n v="0"/>
    <n v="0"/>
    <n v="34"/>
    <n v="394598"/>
    <n v="25"/>
    <n v="266165"/>
    <n v="3"/>
    <n v="25185"/>
    <n v="0"/>
    <n v="0"/>
    <n v="2"/>
    <n v="9640"/>
    <n v="0"/>
    <n v="0"/>
    <n v="0"/>
    <n v="0"/>
    <m/>
    <m/>
    <n v="0"/>
    <n v="0"/>
    <n v="0"/>
    <n v="0"/>
    <n v="0"/>
    <n v="0"/>
    <m/>
    <m/>
    <n v="2"/>
    <n v="640"/>
    <n v="0"/>
    <n v="0"/>
    <n v="0"/>
    <n v="0"/>
    <n v="0"/>
    <n v="0"/>
    <n v="0"/>
    <n v="0"/>
    <n v="0"/>
    <n v="0"/>
    <n v="0"/>
    <n v="0"/>
    <m/>
    <m/>
    <n v="3"/>
    <n v="35465"/>
    <n v="0"/>
    <n v="0"/>
  </r>
  <r>
    <x v="6"/>
    <s v="Nunez Community College"/>
    <m/>
    <n v="158884"/>
    <x v="8"/>
    <n v="36"/>
    <n v="270094"/>
    <n v="33"/>
    <n v="194645"/>
    <n v="23"/>
    <n v="123662"/>
    <n v="27"/>
    <n v="143399"/>
    <n v="0"/>
    <n v="0"/>
    <n v="0"/>
    <n v="0"/>
    <n v="35"/>
    <n v="24577"/>
    <n v="34"/>
    <n v="18820"/>
    <n v="0"/>
    <n v="0"/>
    <n v="0"/>
    <n v="0"/>
    <n v="13"/>
    <n v="2550"/>
    <n v="12"/>
    <n v="2329"/>
    <n v="0"/>
    <n v="0"/>
    <n v="0"/>
    <n v="0"/>
    <n v="0"/>
    <n v="0"/>
    <n v="0"/>
    <n v="0"/>
    <n v="0"/>
    <n v="0"/>
    <n v="0"/>
    <n v="0"/>
    <n v="36"/>
    <n v="420883"/>
    <n v="34"/>
    <n v="359193"/>
    <n v="2"/>
    <n v="22514"/>
    <n v="4"/>
    <n v="28946"/>
    <n v="1"/>
    <n v="4827"/>
    <n v="1"/>
    <n v="4263"/>
    <n v="0"/>
    <n v="0"/>
    <m/>
    <m/>
    <n v="2"/>
    <n v="2064"/>
    <n v="4"/>
    <n v="2656"/>
    <n v="0"/>
    <n v="0"/>
    <m/>
    <m/>
    <n v="1"/>
    <n v="300"/>
    <n v="2"/>
    <n v="552"/>
    <n v="0"/>
    <n v="0"/>
    <n v="0"/>
    <n v="0"/>
    <n v="0"/>
    <n v="0"/>
    <n v="0"/>
    <n v="0"/>
    <n v="0"/>
    <n v="0"/>
    <m/>
    <m/>
    <n v="2"/>
    <n v="29705"/>
    <n v="4"/>
    <n v="36417"/>
  </r>
  <r>
    <x v="6"/>
    <s v="River Parishes Community College"/>
    <s v="Now includes LTC Ascension Campus"/>
    <n v="436304"/>
    <x v="8"/>
    <n v="22"/>
    <n v="135209"/>
    <n v="18"/>
    <n v="79672"/>
    <n v="13"/>
    <n v="55018"/>
    <n v="6"/>
    <n v="33728"/>
    <n v="0"/>
    <n v="0"/>
    <n v="0"/>
    <n v="0"/>
    <n v="0"/>
    <n v="0"/>
    <n v="0"/>
    <n v="0"/>
    <n v="0"/>
    <n v="0"/>
    <n v="0"/>
    <n v="0"/>
    <n v="7"/>
    <n v="1306"/>
    <n v="5"/>
    <n v="711"/>
    <n v="0"/>
    <n v="0"/>
    <n v="0"/>
    <n v="0"/>
    <n v="0"/>
    <n v="0"/>
    <n v="0"/>
    <n v="0"/>
    <n v="0"/>
    <n v="0"/>
    <n v="0"/>
    <n v="0"/>
    <n v="22"/>
    <n v="191533"/>
    <n v="18"/>
    <n v="114111"/>
    <n v="4"/>
    <n v="32956"/>
    <n v="3"/>
    <n v="12640"/>
    <n v="3"/>
    <n v="16045"/>
    <n v="3"/>
    <n v="3270"/>
    <n v="0"/>
    <n v="0"/>
    <m/>
    <m/>
    <n v="0"/>
    <n v="0"/>
    <n v="0"/>
    <n v="0"/>
    <n v="0"/>
    <n v="0"/>
    <m/>
    <m/>
    <n v="2"/>
    <n v="625"/>
    <n v="2"/>
    <n v="299"/>
    <n v="0"/>
    <n v="0"/>
    <n v="0"/>
    <n v="0"/>
    <n v="0"/>
    <n v="0"/>
    <n v="0"/>
    <n v="0"/>
    <n v="0"/>
    <n v="0"/>
    <m/>
    <m/>
    <n v="4"/>
    <n v="49626"/>
    <n v="3"/>
    <n v="16209"/>
  </r>
  <r>
    <x v="6"/>
    <s v="South Louisiana Community College"/>
    <s v="Reclassified: Met criteria for Two-Year 2 in 2008-09, 2009-10 and 2010-11."/>
    <n v="434061"/>
    <x v="7"/>
    <n v="36"/>
    <n v="220221"/>
    <n v="24"/>
    <n v="140626"/>
    <n v="30"/>
    <n v="167191"/>
    <n v="17"/>
    <n v="92118"/>
    <n v="0"/>
    <n v="0"/>
    <n v="0"/>
    <n v="0"/>
    <n v="36"/>
    <n v="102080"/>
    <n v="25"/>
    <n v="14432"/>
    <n v="0"/>
    <n v="0"/>
    <n v="0"/>
    <n v="0"/>
    <n v="6"/>
    <n v="1368"/>
    <n v="6"/>
    <n v="1390"/>
    <n v="0"/>
    <n v="0"/>
    <n v="0"/>
    <n v="0"/>
    <n v="0"/>
    <n v="0"/>
    <n v="0"/>
    <n v="0"/>
    <n v="0"/>
    <n v="0"/>
    <n v="0"/>
    <n v="0"/>
    <n v="36"/>
    <n v="490860"/>
    <n v="25"/>
    <n v="248566"/>
    <m/>
    <m/>
    <n v="0"/>
    <n v="0"/>
    <m/>
    <m/>
    <n v="0"/>
    <n v="0"/>
    <m/>
    <m/>
    <m/>
    <m/>
    <m/>
    <m/>
    <n v="0"/>
    <n v="0"/>
    <m/>
    <m/>
    <m/>
    <m/>
    <m/>
    <m/>
    <m/>
    <m/>
    <m/>
    <m/>
    <n v="0"/>
    <n v="0"/>
    <m/>
    <m/>
    <n v="0"/>
    <n v="0"/>
    <m/>
    <m/>
    <m/>
    <m/>
    <n v="0"/>
    <n v="0"/>
    <n v="0"/>
    <n v="0"/>
  </r>
  <r>
    <x v="6"/>
    <s v="Southern University in Shreveport"/>
    <s v="Met criteria for Two-Year 2 in 2009-10 and 2010-11."/>
    <n v="160649"/>
    <x v="8"/>
    <n v="55"/>
    <n v="405741"/>
    <n v="57"/>
    <n v="412171"/>
    <n v="42"/>
    <n v="209381"/>
    <n v="57"/>
    <n v="225144"/>
    <n v="0"/>
    <n v="0"/>
    <n v="0"/>
    <n v="0"/>
    <n v="0"/>
    <n v="0"/>
    <n v="0"/>
    <n v="0"/>
    <n v="55"/>
    <n v="47118"/>
    <n v="57"/>
    <n v="9323"/>
    <n v="27"/>
    <n v="4370"/>
    <n v="57"/>
    <n v="4905"/>
    <n v="0"/>
    <n v="0"/>
    <n v="0"/>
    <n v="0"/>
    <n v="0"/>
    <n v="0"/>
    <n v="0"/>
    <n v="0"/>
    <n v="0"/>
    <n v="0"/>
    <n v="0"/>
    <n v="0"/>
    <n v="55"/>
    <n v="666610"/>
    <n v="57"/>
    <n v="651543"/>
    <n v="22"/>
    <n v="218847"/>
    <n v="24"/>
    <n v="260412"/>
    <n v="16"/>
    <n v="103817"/>
    <n v="24"/>
    <n v="110760"/>
    <n v="0"/>
    <n v="0"/>
    <m/>
    <m/>
    <n v="0"/>
    <n v="0"/>
    <n v="0"/>
    <n v="0"/>
    <n v="22"/>
    <n v="25415"/>
    <n v="24"/>
    <n v="6609"/>
    <n v="10"/>
    <n v="2460"/>
    <n v="12"/>
    <n v="2755"/>
    <n v="0"/>
    <n v="0"/>
    <n v="0"/>
    <n v="0"/>
    <n v="0"/>
    <n v="0"/>
    <n v="0"/>
    <n v="0"/>
    <n v="0"/>
    <n v="0"/>
    <m/>
    <m/>
    <n v="22"/>
    <n v="350539"/>
    <n v="24"/>
    <n v="380536"/>
  </r>
  <r>
    <x v="6"/>
    <s v="Sowela Technical Community College"/>
    <m/>
    <n v="160579"/>
    <x v="9"/>
    <n v="28"/>
    <n v="156557"/>
    <n v="11"/>
    <n v="59369"/>
    <n v="20"/>
    <n v="127878"/>
    <n v="6"/>
    <n v="29368"/>
    <n v="0"/>
    <n v="0"/>
    <n v="0"/>
    <n v="0"/>
    <n v="0"/>
    <n v="0"/>
    <n v="0"/>
    <n v="0"/>
    <n v="0"/>
    <n v="0"/>
    <n v="0"/>
    <n v="0"/>
    <n v="12"/>
    <n v="2778"/>
    <n v="4"/>
    <n v="859"/>
    <n v="0"/>
    <n v="0"/>
    <n v="0"/>
    <n v="0"/>
    <n v="0"/>
    <n v="0"/>
    <n v="0"/>
    <n v="0"/>
    <n v="0"/>
    <n v="0"/>
    <n v="0"/>
    <n v="0"/>
    <n v="28"/>
    <n v="287213"/>
    <n v="11"/>
    <n v="89596"/>
    <n v="40"/>
    <n v="329753"/>
    <n v="50"/>
    <n v="380822"/>
    <n v="33"/>
    <n v="210167"/>
    <n v="42"/>
    <n v="253240"/>
    <n v="0"/>
    <n v="0"/>
    <m/>
    <m/>
    <n v="0"/>
    <n v="0"/>
    <n v="0"/>
    <n v="0"/>
    <n v="0"/>
    <n v="0"/>
    <m/>
    <m/>
    <n v="23"/>
    <n v="6282"/>
    <n v="30"/>
    <n v="8026"/>
    <n v="0"/>
    <n v="0"/>
    <n v="0"/>
    <n v="0"/>
    <n v="0"/>
    <n v="0"/>
    <n v="0"/>
    <n v="0"/>
    <n v="0"/>
    <n v="0"/>
    <m/>
    <m/>
    <n v="40"/>
    <n v="546202"/>
    <n v="50"/>
    <n v="642088"/>
  </r>
  <r>
    <x v="6"/>
    <s v="L.E. Fletcher Technical Community College"/>
    <m/>
    <n v="160481"/>
    <x v="10"/>
    <n v="23"/>
    <n v="120362"/>
    <n v="22"/>
    <n v="107341"/>
    <n v="14"/>
    <n v="90382"/>
    <n v="14"/>
    <n v="81434"/>
    <n v="0"/>
    <n v="0"/>
    <n v="0"/>
    <n v="0"/>
    <n v="24"/>
    <n v="11792"/>
    <n v="22"/>
    <n v="9851"/>
    <n v="0"/>
    <n v="0"/>
    <n v="0"/>
    <n v="0"/>
    <n v="10"/>
    <n v="2118"/>
    <n v="10"/>
    <n v="1833"/>
    <n v="0"/>
    <n v="0"/>
    <n v="0"/>
    <n v="0"/>
    <n v="0"/>
    <n v="0"/>
    <n v="0"/>
    <n v="0"/>
    <n v="0"/>
    <n v="0"/>
    <n v="0"/>
    <n v="0"/>
    <n v="24"/>
    <n v="224654"/>
    <n v="22"/>
    <n v="200459"/>
    <n v="17"/>
    <n v="138466"/>
    <n v="20"/>
    <n v="151699"/>
    <n v="11"/>
    <n v="70764"/>
    <n v="15"/>
    <n v="93145"/>
    <n v="0"/>
    <n v="0"/>
    <m/>
    <m/>
    <n v="15"/>
    <n v="11334"/>
    <n v="18"/>
    <n v="12474"/>
    <n v="0"/>
    <n v="0"/>
    <m/>
    <m/>
    <n v="8"/>
    <n v="1860"/>
    <n v="9"/>
    <n v="2169"/>
    <n v="0"/>
    <n v="0"/>
    <n v="0"/>
    <n v="0"/>
    <n v="0"/>
    <n v="0"/>
    <n v="0"/>
    <n v="0"/>
    <n v="0"/>
    <n v="0"/>
    <m/>
    <m/>
    <n v="17"/>
    <n v="222424"/>
    <n v="20"/>
    <n v="259487"/>
  </r>
  <r>
    <x v="6"/>
    <s v="Louisiana Technical College-ALL CAMPUSES"/>
    <m/>
    <s v="All Tech Col"/>
    <x v="13"/>
    <n v="73"/>
    <n v="431983"/>
    <n v="64"/>
    <n v="460660"/>
    <n v="45"/>
    <n v="259374"/>
    <n v="37"/>
    <n v="211745"/>
    <n v="0"/>
    <n v="0"/>
    <n v="0"/>
    <n v="0"/>
    <m/>
    <m/>
    <n v="16"/>
    <n v="8380"/>
    <n v="0"/>
    <n v="0"/>
    <n v="0"/>
    <n v="0"/>
    <n v="15"/>
    <n v="3814"/>
    <n v="11"/>
    <n v="2075"/>
    <n v="0"/>
    <n v="0"/>
    <n v="0"/>
    <n v="0"/>
    <n v="0"/>
    <n v="0"/>
    <n v="0"/>
    <n v="0"/>
    <n v="0"/>
    <n v="0"/>
    <n v="0"/>
    <n v="0"/>
    <n v="73"/>
    <n v="695171"/>
    <n v="64"/>
    <n v="682860"/>
    <n v="403"/>
    <n v="3181090"/>
    <n v="425"/>
    <n v="3054617"/>
    <n v="328"/>
    <n v="2294347"/>
    <n v="324"/>
    <n v="1914471"/>
    <n v="0"/>
    <n v="0"/>
    <m/>
    <m/>
    <n v="80"/>
    <n v="58126"/>
    <n v="194"/>
    <n v="126003"/>
    <n v="0"/>
    <n v="0"/>
    <m/>
    <m/>
    <n v="166"/>
    <n v="45576"/>
    <n v="193"/>
    <n v="57959"/>
    <n v="0"/>
    <n v="0"/>
    <n v="14"/>
    <n v="2212"/>
    <n v="0"/>
    <n v="0"/>
    <n v="0"/>
    <n v="0"/>
    <n v="0"/>
    <n v="0"/>
    <m/>
    <m/>
    <n v="403"/>
    <n v="5579139"/>
    <n v="425"/>
    <n v="5155262"/>
  </r>
  <r>
    <x v="6"/>
    <s v="Acadiana Technical College"/>
    <s v="Includes LTC Acadian, C.B. Coreil, Evangaline, Gulf Area, Lafayette, T.H. Harris and Teche Area Campuses"/>
    <m/>
    <x v="9"/>
    <m/>
    <m/>
    <m/>
    <m/>
    <m/>
    <m/>
    <m/>
    <m/>
    <m/>
    <m/>
    <m/>
    <m/>
    <m/>
    <m/>
    <m/>
    <m/>
    <m/>
    <m/>
    <m/>
    <m/>
    <m/>
    <m/>
    <m/>
    <m/>
    <m/>
    <m/>
    <m/>
    <m/>
    <m/>
    <m/>
    <m/>
    <m/>
    <m/>
    <m/>
    <m/>
    <m/>
    <n v="0"/>
    <n v="0"/>
    <n v="0"/>
    <n v="0"/>
    <m/>
    <m/>
    <m/>
    <m/>
    <m/>
    <m/>
    <m/>
    <m/>
    <m/>
    <m/>
    <m/>
    <m/>
    <m/>
    <m/>
    <m/>
    <m/>
    <m/>
    <m/>
    <m/>
    <m/>
    <m/>
    <m/>
    <m/>
    <m/>
    <m/>
    <m/>
    <m/>
    <m/>
    <m/>
    <m/>
    <m/>
    <m/>
    <m/>
    <m/>
    <m/>
    <m/>
    <n v="0"/>
    <n v="0"/>
    <n v="0"/>
    <n v="0"/>
  </r>
  <r>
    <x v="6"/>
    <s v="Capital Area Technical College"/>
    <s v="Includes LTC Baton Rouge, Folkes, Jumonville Memorial and Westside Campuses"/>
    <m/>
    <x v="9"/>
    <m/>
    <m/>
    <m/>
    <m/>
    <m/>
    <m/>
    <m/>
    <m/>
    <m/>
    <m/>
    <m/>
    <m/>
    <m/>
    <m/>
    <m/>
    <m/>
    <m/>
    <m/>
    <m/>
    <m/>
    <m/>
    <m/>
    <m/>
    <m/>
    <m/>
    <m/>
    <m/>
    <m/>
    <m/>
    <m/>
    <m/>
    <m/>
    <m/>
    <m/>
    <m/>
    <m/>
    <n v="0"/>
    <n v="0"/>
    <n v="0"/>
    <n v="0"/>
    <m/>
    <m/>
    <m/>
    <m/>
    <m/>
    <m/>
    <m/>
    <m/>
    <m/>
    <m/>
    <m/>
    <m/>
    <m/>
    <m/>
    <m/>
    <m/>
    <m/>
    <m/>
    <m/>
    <m/>
    <m/>
    <m/>
    <m/>
    <m/>
    <m/>
    <m/>
    <m/>
    <m/>
    <m/>
    <m/>
    <m/>
    <m/>
    <m/>
    <m/>
    <m/>
    <m/>
    <n v="0"/>
    <n v="0"/>
    <n v="0"/>
    <n v="0"/>
  </r>
  <r>
    <x v="6"/>
    <s v="Central LA Technical College"/>
    <s v="Includes LTC Alexandria, Avoyelles, Huey P. Long, Lamar-Salter, Morgan Smith, Oakdale and Shelby M. Jackson campuses"/>
    <m/>
    <x v="9"/>
    <m/>
    <m/>
    <m/>
    <m/>
    <m/>
    <m/>
    <m/>
    <m/>
    <m/>
    <m/>
    <m/>
    <m/>
    <m/>
    <m/>
    <m/>
    <m/>
    <m/>
    <m/>
    <m/>
    <m/>
    <m/>
    <m/>
    <m/>
    <m/>
    <m/>
    <m/>
    <m/>
    <m/>
    <m/>
    <m/>
    <m/>
    <m/>
    <m/>
    <m/>
    <m/>
    <m/>
    <n v="0"/>
    <n v="0"/>
    <n v="0"/>
    <n v="0"/>
    <m/>
    <m/>
    <m/>
    <m/>
    <m/>
    <m/>
    <m/>
    <m/>
    <m/>
    <m/>
    <m/>
    <m/>
    <m/>
    <m/>
    <m/>
    <m/>
    <m/>
    <m/>
    <m/>
    <m/>
    <m/>
    <m/>
    <m/>
    <m/>
    <m/>
    <m/>
    <m/>
    <m/>
    <m/>
    <m/>
    <m/>
    <m/>
    <m/>
    <m/>
    <m/>
    <m/>
    <n v="0"/>
    <n v="0"/>
    <n v="0"/>
    <n v="0"/>
  </r>
  <r>
    <x v="6"/>
    <s v="Northeast Technical College"/>
    <s v="Includes LTC Bastrop, Delta/Ouachita, North Central, Northeast Louisiana and Ruston Campuses"/>
    <m/>
    <x v="9"/>
    <m/>
    <m/>
    <m/>
    <m/>
    <m/>
    <m/>
    <m/>
    <m/>
    <m/>
    <m/>
    <m/>
    <m/>
    <m/>
    <m/>
    <m/>
    <m/>
    <m/>
    <m/>
    <m/>
    <m/>
    <m/>
    <m/>
    <m/>
    <m/>
    <m/>
    <m/>
    <m/>
    <m/>
    <m/>
    <m/>
    <m/>
    <m/>
    <m/>
    <m/>
    <m/>
    <m/>
    <n v="0"/>
    <n v="0"/>
    <n v="0"/>
    <n v="0"/>
    <m/>
    <m/>
    <m/>
    <m/>
    <m/>
    <m/>
    <m/>
    <m/>
    <m/>
    <m/>
    <m/>
    <m/>
    <m/>
    <m/>
    <m/>
    <m/>
    <m/>
    <m/>
    <m/>
    <m/>
    <m/>
    <m/>
    <m/>
    <m/>
    <m/>
    <m/>
    <m/>
    <m/>
    <m/>
    <m/>
    <m/>
    <m/>
    <m/>
    <m/>
    <m/>
    <m/>
    <n v="0"/>
    <n v="0"/>
    <n v="0"/>
    <n v="0"/>
  </r>
  <r>
    <x v="6"/>
    <s v="Northshore Technical College"/>
    <s v="Includes LTC Florida Parishes, Hammond Area and Sullivan Campuses"/>
    <m/>
    <x v="9"/>
    <m/>
    <m/>
    <m/>
    <m/>
    <m/>
    <m/>
    <m/>
    <m/>
    <m/>
    <m/>
    <m/>
    <m/>
    <m/>
    <m/>
    <m/>
    <m/>
    <m/>
    <m/>
    <m/>
    <m/>
    <m/>
    <m/>
    <m/>
    <m/>
    <m/>
    <m/>
    <m/>
    <m/>
    <m/>
    <m/>
    <m/>
    <m/>
    <m/>
    <m/>
    <m/>
    <m/>
    <n v="0"/>
    <n v="0"/>
    <n v="0"/>
    <n v="0"/>
    <m/>
    <m/>
    <m/>
    <m/>
    <m/>
    <m/>
    <m/>
    <m/>
    <m/>
    <m/>
    <m/>
    <m/>
    <m/>
    <m/>
    <m/>
    <m/>
    <m/>
    <m/>
    <m/>
    <m/>
    <m/>
    <m/>
    <m/>
    <m/>
    <m/>
    <m/>
    <m/>
    <m/>
    <m/>
    <m/>
    <m/>
    <m/>
    <m/>
    <m/>
    <m/>
    <m/>
    <n v="0"/>
    <n v="0"/>
    <n v="0"/>
    <n v="0"/>
  </r>
  <r>
    <x v="6"/>
    <s v="Northwest LA Technical College"/>
    <s v="Includes LTC Mansfield, Nachitoches, Northwest Louisiana, Sabine Valley and Shreveport/Bossier campuses."/>
    <m/>
    <x v="9"/>
    <m/>
    <m/>
    <m/>
    <m/>
    <m/>
    <m/>
    <m/>
    <m/>
    <m/>
    <m/>
    <m/>
    <m/>
    <m/>
    <m/>
    <m/>
    <m/>
    <m/>
    <m/>
    <m/>
    <m/>
    <m/>
    <m/>
    <m/>
    <m/>
    <m/>
    <m/>
    <m/>
    <m/>
    <m/>
    <m/>
    <m/>
    <m/>
    <m/>
    <m/>
    <m/>
    <m/>
    <n v="0"/>
    <n v="0"/>
    <n v="0"/>
    <n v="0"/>
    <m/>
    <m/>
    <m/>
    <m/>
    <m/>
    <m/>
    <m/>
    <m/>
    <m/>
    <m/>
    <m/>
    <m/>
    <m/>
    <m/>
    <m/>
    <m/>
    <m/>
    <m/>
    <m/>
    <m/>
    <m/>
    <m/>
    <m/>
    <m/>
    <m/>
    <m/>
    <m/>
    <m/>
    <m/>
    <m/>
    <m/>
    <m/>
    <m/>
    <m/>
    <m/>
    <m/>
    <n v="0"/>
    <n v="0"/>
    <n v="0"/>
    <n v="0"/>
  </r>
  <r>
    <x v="6"/>
    <s v="South Central LA Technical College"/>
    <s v="Includes LTC Laforuche, Rivers Parishes and Young Memorial Campuses"/>
    <m/>
    <x v="9"/>
    <m/>
    <m/>
    <m/>
    <m/>
    <m/>
    <m/>
    <m/>
    <m/>
    <m/>
    <m/>
    <m/>
    <m/>
    <m/>
    <m/>
    <m/>
    <m/>
    <m/>
    <m/>
    <m/>
    <m/>
    <m/>
    <m/>
    <m/>
    <m/>
    <m/>
    <m/>
    <m/>
    <m/>
    <m/>
    <m/>
    <m/>
    <m/>
    <m/>
    <m/>
    <m/>
    <m/>
    <n v="0"/>
    <n v="0"/>
    <n v="0"/>
    <n v="0"/>
    <m/>
    <m/>
    <m/>
    <m/>
    <m/>
    <m/>
    <m/>
    <m/>
    <m/>
    <m/>
    <m/>
    <m/>
    <m/>
    <m/>
    <m/>
    <m/>
    <m/>
    <m/>
    <m/>
    <m/>
    <m/>
    <m/>
    <m/>
    <m/>
    <m/>
    <m/>
    <m/>
    <m/>
    <m/>
    <m/>
    <m/>
    <m/>
    <m/>
    <m/>
    <m/>
    <m/>
    <n v="0"/>
    <n v="0"/>
    <n v="0"/>
    <n v="0"/>
  </r>
  <r>
    <x v="7"/>
    <s v="University of Maryland College Park"/>
    <m/>
    <n v="163286"/>
    <x v="0"/>
    <n v="1136"/>
    <n v="8683200"/>
    <n v="1142"/>
    <n v="8627905"/>
    <n v="1143"/>
    <n v="10562435"/>
    <n v="1147"/>
    <n v="10567311"/>
    <m/>
    <m/>
    <m/>
    <m/>
    <n v="1143"/>
    <n v="7459349"/>
    <n v="1147"/>
    <n v="7406224"/>
    <n v="1143"/>
    <n v="112723"/>
    <n v="1147"/>
    <n v="111514"/>
    <m/>
    <m/>
    <m/>
    <m/>
    <n v="1143"/>
    <n v="349440"/>
    <n v="1147"/>
    <n v="345693"/>
    <n v="286"/>
    <n v="1359136"/>
    <n v="320"/>
    <n v="1460535"/>
    <m/>
    <m/>
    <m/>
    <m/>
    <n v="1143"/>
    <n v="28526283"/>
    <n v="1147"/>
    <n v="28519182"/>
    <n v="474"/>
    <n v="5494262"/>
    <n v="465"/>
    <n v="5393911"/>
    <n v="475"/>
    <n v="4376175"/>
    <n v="466"/>
    <n v="4293258"/>
    <m/>
    <m/>
    <m/>
    <m/>
    <n v="475"/>
    <n v="3891263"/>
    <n v="466"/>
    <n v="3824342"/>
    <n v="475"/>
    <n v="67133"/>
    <n v="466"/>
    <n v="66345"/>
    <m/>
    <m/>
    <m/>
    <m/>
    <n v="475"/>
    <n v="208384"/>
    <n v="466"/>
    <n v="205668"/>
    <n v="119"/>
    <n v="564820"/>
    <n v="142"/>
    <n v="626059"/>
    <m/>
    <m/>
    <m/>
    <m/>
    <n v="475"/>
    <n v="14602037"/>
    <n v="466"/>
    <n v="14409583"/>
  </r>
  <r>
    <x v="7"/>
    <s v="University of Maryland, Baltimore County"/>
    <m/>
    <n v="163268"/>
    <x v="1"/>
    <n v="399"/>
    <n v="2498593"/>
    <n v="401"/>
    <n v="2563963"/>
    <n v="399"/>
    <n v="3581025"/>
    <n v="401"/>
    <n v="3758573"/>
    <m/>
    <m/>
    <m/>
    <m/>
    <n v="399"/>
    <n v="2227344"/>
    <n v="401"/>
    <n v="2241177"/>
    <n v="399"/>
    <n v="30975"/>
    <n v="401"/>
    <n v="86517"/>
    <m/>
    <m/>
    <m/>
    <m/>
    <n v="399"/>
    <n v="96023"/>
    <n v="401"/>
    <n v="95787"/>
    <m/>
    <m/>
    <m/>
    <m/>
    <m/>
    <m/>
    <m/>
    <m/>
    <n v="399"/>
    <n v="8433960"/>
    <n v="401"/>
    <n v="8746017"/>
    <n v="81"/>
    <n v="796396"/>
    <n v="80"/>
    <n v="766751"/>
    <n v="81"/>
    <n v="726975"/>
    <n v="80"/>
    <n v="749840"/>
    <m/>
    <m/>
    <m/>
    <m/>
    <n v="81"/>
    <n v="627862"/>
    <n v="80"/>
    <n v="637094"/>
    <n v="81"/>
    <n v="10291"/>
    <n v="80"/>
    <n v="28872"/>
    <m/>
    <m/>
    <m/>
    <m/>
    <n v="81"/>
    <n v="31903"/>
    <n v="80"/>
    <n v="31966"/>
    <m/>
    <m/>
    <m/>
    <m/>
    <m/>
    <m/>
    <m/>
    <m/>
    <n v="81"/>
    <n v="2193427"/>
    <n v="80"/>
    <n v="2214523"/>
  </r>
  <r>
    <x v="7"/>
    <s v="Morgan State University"/>
    <s v="Met the criteria for  Four-Year 2 in 2009-10 and 2010-11."/>
    <n v="163453"/>
    <x v="2"/>
    <n v="275"/>
    <n v="1634575"/>
    <n v="268"/>
    <n v="1813019"/>
    <n v="275"/>
    <n v="2212742"/>
    <n v="268"/>
    <n v="2270496"/>
    <m/>
    <m/>
    <m/>
    <m/>
    <n v="275"/>
    <n v="1534802"/>
    <n v="268"/>
    <n v="1492010"/>
    <n v="275"/>
    <n v="33676"/>
    <n v="268"/>
    <n v="19582"/>
    <m/>
    <m/>
    <m/>
    <m/>
    <n v="275"/>
    <n v="43615"/>
    <n v="268"/>
    <n v="42504"/>
    <n v="41"/>
    <n v="83460"/>
    <n v="23"/>
    <n v="50692"/>
    <m/>
    <m/>
    <m/>
    <m/>
    <n v="275"/>
    <n v="5542870"/>
    <n v="268"/>
    <n v="5688303"/>
    <n v="45"/>
    <n v="443388"/>
    <n v="53"/>
    <n v="547700"/>
    <n v="45"/>
    <n v="433368"/>
    <n v="53"/>
    <n v="546384"/>
    <m/>
    <m/>
    <m/>
    <m/>
    <n v="45"/>
    <n v="390055"/>
    <n v="53"/>
    <n v="442877"/>
    <n v="45"/>
    <n v="5511"/>
    <n v="53"/>
    <n v="5931"/>
    <m/>
    <m/>
    <m/>
    <m/>
    <n v="45"/>
    <n v="7137"/>
    <n v="53"/>
    <n v="8405"/>
    <m/>
    <m/>
    <m/>
    <m/>
    <m/>
    <m/>
    <m/>
    <m/>
    <n v="45"/>
    <n v="1279459"/>
    <n v="53"/>
    <n v="1551297"/>
  </r>
  <r>
    <x v="7"/>
    <s v="Towson University "/>
    <m/>
    <n v="164076"/>
    <x v="2"/>
    <n v="777"/>
    <n v="4034533"/>
    <n v="787"/>
    <n v="4311892"/>
    <n v="777"/>
    <n v="6667702"/>
    <n v="787"/>
    <n v="7748324"/>
    <m/>
    <m/>
    <m/>
    <m/>
    <n v="777"/>
    <n v="3710374"/>
    <n v="787"/>
    <n v="3708127"/>
    <n v="777"/>
    <n v="44884"/>
    <n v="787"/>
    <n v="75470"/>
    <m/>
    <m/>
    <m/>
    <m/>
    <n v="777"/>
    <n v="324159"/>
    <n v="787"/>
    <n v="161004"/>
    <n v="56"/>
    <n v="250433"/>
    <n v="60"/>
    <n v="279050"/>
    <m/>
    <m/>
    <m/>
    <m/>
    <n v="777"/>
    <n v="15032085"/>
    <n v="787"/>
    <n v="16283867"/>
    <n v="45"/>
    <n v="381632"/>
    <n v="43"/>
    <n v="394158"/>
    <n v="45"/>
    <n v="630706"/>
    <n v="43"/>
    <n v="708289"/>
    <m/>
    <m/>
    <m/>
    <m/>
    <m/>
    <m/>
    <m/>
    <m/>
    <n v="45"/>
    <n v="4246"/>
    <n v="43"/>
    <n v="6899"/>
    <m/>
    <m/>
    <m/>
    <m/>
    <n v="45"/>
    <n v="30664"/>
    <n v="43"/>
    <n v="14718"/>
    <n v="3"/>
    <n v="5855"/>
    <n v="3"/>
    <n v="6546"/>
    <m/>
    <m/>
    <m/>
    <m/>
    <n v="45"/>
    <n v="1053103"/>
    <n v="43"/>
    <n v="1130610"/>
  </r>
  <r>
    <x v="7"/>
    <s v="Bowie State University "/>
    <m/>
    <n v="162007"/>
    <x v="3"/>
    <n v="214"/>
    <n v="1619565"/>
    <n v="211"/>
    <n v="1586376"/>
    <n v="214"/>
    <n v="968971"/>
    <n v="211"/>
    <n v="905144"/>
    <m/>
    <m/>
    <m/>
    <m/>
    <n v="214"/>
    <n v="1011882"/>
    <n v="211"/>
    <n v="944708"/>
    <n v="214"/>
    <n v="13842"/>
    <n v="211"/>
    <n v="37997"/>
    <m/>
    <m/>
    <m/>
    <m/>
    <n v="214"/>
    <n v="42912"/>
    <n v="211"/>
    <n v="69570"/>
    <n v="19"/>
    <n v="160427"/>
    <n v="20"/>
    <n v="120472"/>
    <m/>
    <m/>
    <m/>
    <m/>
    <n v="214"/>
    <n v="3817599"/>
    <n v="211"/>
    <n v="3664267"/>
    <n v="16"/>
    <n v="178778"/>
    <n v="16"/>
    <n v="180165"/>
    <n v="16"/>
    <n v="106961"/>
    <n v="16"/>
    <n v="102798"/>
    <m/>
    <m/>
    <m/>
    <m/>
    <n v="16"/>
    <n v="111698"/>
    <n v="16"/>
    <n v="112969"/>
    <n v="16"/>
    <n v="1528"/>
    <n v="16"/>
    <n v="4315"/>
    <m/>
    <m/>
    <m/>
    <m/>
    <n v="16"/>
    <n v="2444"/>
    <n v="16"/>
    <n v="3087"/>
    <n v="16"/>
    <n v="11995"/>
    <n v="8"/>
    <n v="7636"/>
    <m/>
    <m/>
    <m/>
    <m/>
    <n v="16"/>
    <n v="413404"/>
    <n v="16"/>
    <n v="410970"/>
  </r>
  <r>
    <x v="7"/>
    <s v="Coppin State University"/>
    <s v="Met the criteria for Four-Year 5 in 2010-11."/>
    <n v="162283"/>
    <x v="3"/>
    <n v="126"/>
    <n v="946791"/>
    <n v="124"/>
    <n v="1050125"/>
    <n v="126"/>
    <n v="1289778"/>
    <n v="107"/>
    <n v="1171392"/>
    <m/>
    <m/>
    <m/>
    <m/>
    <n v="141"/>
    <n v="717512"/>
    <n v="140"/>
    <n v="688456"/>
    <n v="141"/>
    <n v="9295"/>
    <n v="140"/>
    <n v="25198"/>
    <m/>
    <m/>
    <m/>
    <m/>
    <m/>
    <m/>
    <m/>
    <m/>
    <m/>
    <m/>
    <m/>
    <m/>
    <m/>
    <m/>
    <m/>
    <m/>
    <n v="141"/>
    <n v="2963376"/>
    <n v="140"/>
    <n v="2935171"/>
    <n v="15"/>
    <n v="145256"/>
    <n v="12"/>
    <n v="126781"/>
    <n v="14"/>
    <n v="154661"/>
    <n v="11"/>
    <n v="121274"/>
    <m/>
    <m/>
    <m/>
    <m/>
    <n v="15"/>
    <n v="94484"/>
    <n v="12"/>
    <n v="77618"/>
    <n v="15"/>
    <n v="1319"/>
    <n v="12"/>
    <n v="3009"/>
    <m/>
    <m/>
    <m/>
    <m/>
    <m/>
    <m/>
    <m/>
    <m/>
    <m/>
    <m/>
    <m/>
    <m/>
    <m/>
    <m/>
    <m/>
    <m/>
    <n v="15"/>
    <n v="395720"/>
    <n v="12"/>
    <n v="328682"/>
  </r>
  <r>
    <x v="7"/>
    <s v="Frostburg State University "/>
    <m/>
    <n v="162584"/>
    <x v="3"/>
    <n v="216"/>
    <n v="1431282"/>
    <n v="214"/>
    <n v="1429760"/>
    <n v="223"/>
    <n v="1097424"/>
    <n v="224"/>
    <n v="1035479"/>
    <m/>
    <m/>
    <m/>
    <m/>
    <n v="240"/>
    <n v="1182674"/>
    <n v="242"/>
    <n v="1171327"/>
    <n v="240"/>
    <n v="16179"/>
    <n v="242"/>
    <n v="44744"/>
    <m/>
    <m/>
    <m/>
    <m/>
    <n v="240"/>
    <n v="50154"/>
    <n v="242"/>
    <n v="49538"/>
    <n v="29"/>
    <n v="115363"/>
    <n v="28"/>
    <n v="109717"/>
    <m/>
    <m/>
    <m/>
    <m/>
    <n v="240"/>
    <n v="3893076"/>
    <n v="242"/>
    <n v="3840565"/>
    <m/>
    <m/>
    <m/>
    <m/>
    <m/>
    <m/>
    <m/>
    <m/>
    <m/>
    <m/>
    <m/>
    <m/>
    <m/>
    <m/>
    <n v="1"/>
    <n v="4618"/>
    <m/>
    <m/>
    <n v="1"/>
    <n v="176"/>
    <m/>
    <m/>
    <m/>
    <m/>
    <m/>
    <m/>
    <n v="1"/>
    <n v="242"/>
    <m/>
    <m/>
    <m/>
    <m/>
    <m/>
    <m/>
    <m/>
    <m/>
    <n v="0"/>
    <n v="0"/>
    <n v="1"/>
    <n v="5036"/>
  </r>
  <r>
    <x v="7"/>
    <s v="Salisbury University "/>
    <m/>
    <n v="163851"/>
    <x v="3"/>
    <n v="325"/>
    <n v="1969723"/>
    <n v="328"/>
    <n v="2045424"/>
    <n v="295"/>
    <n v="2819580"/>
    <n v="307"/>
    <n v="2953658"/>
    <m/>
    <m/>
    <m/>
    <m/>
    <n v="371"/>
    <n v="1856856"/>
    <n v="377"/>
    <n v="1878515"/>
    <n v="371"/>
    <n v="24444"/>
    <n v="377"/>
    <n v="63361"/>
    <m/>
    <m/>
    <m/>
    <m/>
    <m/>
    <m/>
    <m/>
    <m/>
    <n v="26"/>
    <n v="109188"/>
    <n v="35"/>
    <n v="134566"/>
    <m/>
    <m/>
    <m/>
    <m/>
    <n v="371"/>
    <n v="6779791"/>
    <n v="377"/>
    <n v="7075524"/>
    <n v="5"/>
    <n v="46486"/>
    <n v="6"/>
    <n v="56166"/>
    <n v="5"/>
    <n v="56706"/>
    <n v="8"/>
    <n v="88246"/>
    <m/>
    <m/>
    <m/>
    <m/>
    <n v="9"/>
    <n v="51481"/>
    <n v="11"/>
    <n v="61434"/>
    <n v="9"/>
    <n v="690"/>
    <n v="11"/>
    <n v="1733"/>
    <m/>
    <m/>
    <m/>
    <m/>
    <m/>
    <m/>
    <m/>
    <m/>
    <n v="1"/>
    <n v="2400"/>
    <m/>
    <m/>
    <m/>
    <m/>
    <m/>
    <m/>
    <n v="9"/>
    <n v="157763"/>
    <n v="11"/>
    <n v="207579"/>
  </r>
  <r>
    <x v="7"/>
    <s v="University of Baltimore"/>
    <m/>
    <n v="161873"/>
    <x v="3"/>
    <n v="166"/>
    <n v="1363811"/>
    <n v="171"/>
    <n v="1418245"/>
    <n v="166"/>
    <n v="1165058"/>
    <n v="171"/>
    <n v="1179335"/>
    <m/>
    <m/>
    <m/>
    <m/>
    <n v="166"/>
    <n v="740381"/>
    <n v="171"/>
    <n v="991458"/>
    <n v="166"/>
    <n v="323965"/>
    <n v="171"/>
    <n v="259100"/>
    <m/>
    <m/>
    <m/>
    <m/>
    <n v="166"/>
    <n v="318879"/>
    <n v="171"/>
    <n v="330375"/>
    <n v="16"/>
    <n v="80000"/>
    <m/>
    <m/>
    <m/>
    <m/>
    <m/>
    <m/>
    <n v="166"/>
    <n v="3992094"/>
    <n v="171"/>
    <n v="4178513"/>
    <n v="12"/>
    <n v="90317"/>
    <n v="11"/>
    <n v="71393"/>
    <n v="12"/>
    <n v="105525"/>
    <n v="11"/>
    <n v="67767"/>
    <m/>
    <m/>
    <m/>
    <m/>
    <n v="12"/>
    <n v="60652"/>
    <n v="11"/>
    <n v="70784"/>
    <n v="12"/>
    <n v="31265"/>
    <n v="11"/>
    <n v="29650"/>
    <m/>
    <m/>
    <m/>
    <m/>
    <n v="12"/>
    <n v="33454"/>
    <n v="11"/>
    <n v="29993"/>
    <n v="4"/>
    <n v="24589"/>
    <m/>
    <m/>
    <m/>
    <m/>
    <m/>
    <m/>
    <n v="12"/>
    <n v="345802"/>
    <n v="11"/>
    <n v="269587"/>
  </r>
  <r>
    <x v="7"/>
    <s v="University of Maryland Eastern Shore "/>
    <m/>
    <n v="163338"/>
    <x v="3"/>
    <n v="134"/>
    <n v="659201"/>
    <n v="140"/>
    <n v="1039813"/>
    <n v="134"/>
    <n v="1202650"/>
    <n v="140"/>
    <n v="1312220"/>
    <m/>
    <m/>
    <m/>
    <m/>
    <n v="134"/>
    <n v="595991"/>
    <n v="140"/>
    <n v="752396"/>
    <n v="134"/>
    <n v="8153"/>
    <n v="140"/>
    <n v="24019"/>
    <m/>
    <m/>
    <m/>
    <m/>
    <n v="134"/>
    <n v="25275"/>
    <n v="140"/>
    <n v="26626"/>
    <m/>
    <m/>
    <m/>
    <m/>
    <m/>
    <m/>
    <m/>
    <m/>
    <n v="134"/>
    <n v="2491270"/>
    <n v="140"/>
    <n v="3155074"/>
    <n v="42"/>
    <n v="328594"/>
    <n v="55"/>
    <n v="613748"/>
    <n v="42"/>
    <n v="376950"/>
    <n v="55"/>
    <n v="515515"/>
    <m/>
    <m/>
    <m/>
    <m/>
    <n v="42"/>
    <n v="264569"/>
    <n v="55"/>
    <n v="433659"/>
    <n v="42"/>
    <n v="3663"/>
    <n v="55"/>
    <n v="13884"/>
    <m/>
    <m/>
    <m/>
    <m/>
    <n v="42"/>
    <n v="11355"/>
    <n v="55"/>
    <n v="15372"/>
    <m/>
    <m/>
    <m/>
    <m/>
    <m/>
    <m/>
    <m/>
    <m/>
    <n v="42"/>
    <n v="985131"/>
    <n v="55"/>
    <n v="1592178"/>
  </r>
  <r>
    <x v="7"/>
    <s v="Saint Mary's College of Maryland"/>
    <s v="Met the criteria for Four-Year 5 in 2010-11."/>
    <n v="163912"/>
    <x v="5"/>
    <n v="137"/>
    <n v="798526"/>
    <m/>
    <m/>
    <n v="129"/>
    <n v="1394498"/>
    <m/>
    <m/>
    <m/>
    <m/>
    <m/>
    <m/>
    <n v="143"/>
    <n v="676640"/>
    <m/>
    <m/>
    <n v="143"/>
    <n v="9696"/>
    <m/>
    <m/>
    <m/>
    <m/>
    <m/>
    <m/>
    <m/>
    <m/>
    <m/>
    <m/>
    <n v="3"/>
    <n v="32985"/>
    <m/>
    <m/>
    <m/>
    <m/>
    <m/>
    <m/>
    <n v="143"/>
    <n v="2912345"/>
    <n v="0"/>
    <n v="0"/>
    <m/>
    <m/>
    <m/>
    <m/>
    <m/>
    <m/>
    <m/>
    <m/>
    <m/>
    <m/>
    <m/>
    <m/>
    <m/>
    <m/>
    <m/>
    <m/>
    <m/>
    <m/>
    <m/>
    <m/>
    <m/>
    <m/>
    <m/>
    <m/>
    <m/>
    <m/>
    <m/>
    <m/>
    <m/>
    <m/>
    <m/>
    <m/>
    <m/>
    <m/>
    <m/>
    <m/>
    <n v="0"/>
    <n v="0"/>
    <n v="0"/>
    <n v="0"/>
  </r>
  <r>
    <x v="7"/>
    <s v="Anne Arundel Community College "/>
    <m/>
    <n v="161767"/>
    <x v="6"/>
    <n v="168"/>
    <n v="811913"/>
    <n v="174"/>
    <n v="809415"/>
    <n v="251"/>
    <n v="2061808"/>
    <n v="252"/>
    <n v="2269351"/>
    <n v="251"/>
    <n v="40561"/>
    <n v="252"/>
    <n v="39052"/>
    <n v="251"/>
    <n v="1439152"/>
    <n v="252"/>
    <n v="1414125"/>
    <m/>
    <m/>
    <m/>
    <m/>
    <n v="215"/>
    <n v="47900"/>
    <n v="218"/>
    <n v="46163"/>
    <m/>
    <m/>
    <m/>
    <m/>
    <m/>
    <m/>
    <m/>
    <m/>
    <m/>
    <m/>
    <m/>
    <m/>
    <n v="251"/>
    <n v="4401334"/>
    <n v="252"/>
    <n v="4578106"/>
    <n v="7"/>
    <n v="38408"/>
    <n v="8"/>
    <n v="40645"/>
    <n v="11"/>
    <n v="84926"/>
    <n v="12"/>
    <n v="2795"/>
    <n v="11"/>
    <n v="1944"/>
    <n v="13"/>
    <n v="2256"/>
    <n v="11"/>
    <n v="62665"/>
    <n v="13"/>
    <n v="76577"/>
    <m/>
    <m/>
    <m/>
    <m/>
    <n v="11"/>
    <n v="2601"/>
    <n v="12"/>
    <n v="2795"/>
    <m/>
    <m/>
    <m/>
    <m/>
    <m/>
    <m/>
    <m/>
    <m/>
    <m/>
    <m/>
    <m/>
    <m/>
    <n v="11"/>
    <n v="190544"/>
    <n v="13"/>
    <n v="125068"/>
  </r>
  <r>
    <x v="7"/>
    <s v="Community College of Baltimore County (all campuses)"/>
    <m/>
    <n v="434672"/>
    <x v="6"/>
    <n v="329"/>
    <n v="1961104"/>
    <n v="328"/>
    <n v="2121163"/>
    <n v="259"/>
    <n v="2923890"/>
    <n v="268"/>
    <n v="3002826"/>
    <m/>
    <m/>
    <m/>
    <m/>
    <n v="338"/>
    <n v="1591838"/>
    <n v="337"/>
    <n v="1624730"/>
    <m/>
    <m/>
    <m/>
    <m/>
    <n v="271"/>
    <n v="67208"/>
    <n v="271"/>
    <n v="60293"/>
    <n v="338"/>
    <n v="93638"/>
    <n v="337"/>
    <n v="95572"/>
    <m/>
    <m/>
    <m/>
    <m/>
    <m/>
    <m/>
    <m/>
    <m/>
    <n v="338"/>
    <n v="6637678"/>
    <n v="337"/>
    <n v="6904584"/>
    <n v="64"/>
    <n v="489315"/>
    <n v="77"/>
    <n v="634309"/>
    <n v="48"/>
    <n v="615065"/>
    <n v="63"/>
    <n v="814524"/>
    <m/>
    <m/>
    <m/>
    <m/>
    <n v="65"/>
    <n v="372736"/>
    <n v="78"/>
    <n v="463274"/>
    <m/>
    <m/>
    <m/>
    <m/>
    <n v="59"/>
    <n v="14632"/>
    <n v="70"/>
    <n v="15573"/>
    <n v="65"/>
    <n v="22010"/>
    <n v="78"/>
    <n v="27447"/>
    <m/>
    <m/>
    <m/>
    <m/>
    <m/>
    <m/>
    <m/>
    <m/>
    <n v="65"/>
    <n v="1513758"/>
    <n v="78"/>
    <n v="1955127"/>
  </r>
  <r>
    <x v="7"/>
    <s v="Montgomery College (all campuses)"/>
    <m/>
    <n v="163426"/>
    <x v="6"/>
    <n v="500"/>
    <n v="3118858"/>
    <n v="510"/>
    <n v="3182292"/>
    <n v="386"/>
    <n v="2878537"/>
    <n v="443"/>
    <n v="73801"/>
    <n v="410"/>
    <n v="53848"/>
    <n v="415"/>
    <n v="54210"/>
    <n v="500"/>
    <n v="3004189"/>
    <n v="513"/>
    <n v="3053094"/>
    <m/>
    <m/>
    <m/>
    <m/>
    <n v="431"/>
    <n v="71774"/>
    <n v="443"/>
    <n v="73801"/>
    <m/>
    <m/>
    <m/>
    <m/>
    <m/>
    <m/>
    <m/>
    <m/>
    <m/>
    <m/>
    <m/>
    <m/>
    <n v="500"/>
    <n v="9127206"/>
    <n v="513"/>
    <n v="6437198"/>
    <m/>
    <m/>
    <m/>
    <m/>
    <m/>
    <m/>
    <m/>
    <m/>
    <m/>
    <m/>
    <m/>
    <m/>
    <m/>
    <m/>
    <m/>
    <m/>
    <m/>
    <m/>
    <m/>
    <m/>
    <m/>
    <m/>
    <m/>
    <m/>
    <m/>
    <m/>
    <m/>
    <m/>
    <m/>
    <m/>
    <m/>
    <m/>
    <m/>
    <m/>
    <m/>
    <m/>
    <n v="0"/>
    <n v="0"/>
    <n v="0"/>
    <n v="0"/>
  </r>
  <r>
    <x v="7"/>
    <s v="Prince George's Community College "/>
    <m/>
    <n v="163657"/>
    <x v="6"/>
    <n v="103"/>
    <n v="444450"/>
    <n v="106"/>
    <n v="444633"/>
    <n v="179"/>
    <n v="1402073"/>
    <n v="183"/>
    <n v="1438827"/>
    <n v="227"/>
    <n v="283482"/>
    <n v="231"/>
    <n v="286076"/>
    <n v="227"/>
    <n v="910258"/>
    <n v="231"/>
    <n v="938787"/>
    <m/>
    <m/>
    <m/>
    <m/>
    <n v="225"/>
    <n v="119065"/>
    <n v="231"/>
    <n v="89511"/>
    <m/>
    <m/>
    <m/>
    <m/>
    <m/>
    <m/>
    <m/>
    <m/>
    <m/>
    <m/>
    <m/>
    <m/>
    <n v="227"/>
    <n v="3159328"/>
    <n v="231"/>
    <n v="3197834"/>
    <n v="1"/>
    <n v="5508"/>
    <n v="2"/>
    <n v="10830"/>
    <n v="6"/>
    <n v="44292"/>
    <n v="5"/>
    <n v="61059"/>
    <n v="9"/>
    <n v="13609"/>
    <n v="8"/>
    <n v="8682"/>
    <n v="9"/>
    <n v="41522"/>
    <n v="8"/>
    <n v="43293"/>
    <m/>
    <m/>
    <m/>
    <m/>
    <n v="9"/>
    <n v="5558"/>
    <n v="8"/>
    <n v="3792"/>
    <m/>
    <m/>
    <m/>
    <m/>
    <m/>
    <m/>
    <m/>
    <m/>
    <m/>
    <m/>
    <m/>
    <m/>
    <n v="9"/>
    <n v="110489"/>
    <n v="8"/>
    <n v="127656"/>
  </r>
  <r>
    <x v="7"/>
    <s v="Allegany College of Maryland"/>
    <m/>
    <n v="161688"/>
    <x v="7"/>
    <n v="79"/>
    <n v="449996"/>
    <n v="82"/>
    <n v="445328"/>
    <n v="84"/>
    <n v="596243"/>
    <n v="84"/>
    <n v="684627"/>
    <n v="84"/>
    <n v="11789"/>
    <n v="84"/>
    <n v="9916"/>
    <n v="84"/>
    <n v="322085"/>
    <n v="84"/>
    <n v="329830"/>
    <n v="84"/>
    <n v="9953"/>
    <n v="84"/>
    <n v="10167"/>
    <n v="0"/>
    <n v="0"/>
    <n v="0"/>
    <n v="0"/>
    <n v="84"/>
    <n v="14736"/>
    <n v="84"/>
    <n v="15090"/>
    <n v="19"/>
    <n v="29949"/>
    <n v="25"/>
    <n v="31501"/>
    <n v="84"/>
    <n v="33200"/>
    <n v="84"/>
    <n v="33600"/>
    <n v="84"/>
    <n v="1467951"/>
    <n v="84"/>
    <n v="1560059"/>
    <n v="30"/>
    <n v="220328"/>
    <n v="30"/>
    <n v="245395"/>
    <n v="30"/>
    <n v="266962"/>
    <n v="31"/>
    <n v="319052"/>
    <n v="30"/>
    <n v="5193"/>
    <n v="31"/>
    <n v="4528"/>
    <n v="30"/>
    <n v="141878"/>
    <n v="31"/>
    <n v="150596"/>
    <n v="30"/>
    <n v="4472"/>
    <n v="31"/>
    <n v="3761"/>
    <m/>
    <m/>
    <m/>
    <m/>
    <n v="30"/>
    <n v="6491"/>
    <n v="31"/>
    <n v="6890"/>
    <n v="5"/>
    <n v="9446"/>
    <n v="5"/>
    <n v="6619"/>
    <n v="30"/>
    <n v="12000"/>
    <n v="31"/>
    <n v="12400"/>
    <n v="30"/>
    <n v="666770"/>
    <n v="31"/>
    <n v="749241"/>
  </r>
  <r>
    <x v="7"/>
    <s v="Baltimore City Community College"/>
    <m/>
    <n v="161864"/>
    <x v="7"/>
    <n v="123"/>
    <n v="1166941"/>
    <n v="116"/>
    <n v="1174419"/>
    <n v="112"/>
    <n v="1072414"/>
    <n v="109"/>
    <n v="1076819"/>
    <m/>
    <m/>
    <m/>
    <m/>
    <n v="127"/>
    <n v="543040"/>
    <n v="121"/>
    <n v="541984"/>
    <n v="127"/>
    <n v="7082"/>
    <n v="121"/>
    <n v="19810"/>
    <m/>
    <m/>
    <m/>
    <m/>
    <n v="127"/>
    <n v="48914"/>
    <n v="121"/>
    <n v="34079"/>
    <n v="127"/>
    <n v="55345"/>
    <n v="121"/>
    <n v="54065"/>
    <m/>
    <m/>
    <m/>
    <m/>
    <n v="127"/>
    <n v="2893736"/>
    <n v="121"/>
    <n v="2901176"/>
    <m/>
    <m/>
    <m/>
    <m/>
    <m/>
    <m/>
    <m/>
    <m/>
    <m/>
    <m/>
    <m/>
    <m/>
    <m/>
    <m/>
    <m/>
    <m/>
    <m/>
    <m/>
    <m/>
    <m/>
    <m/>
    <m/>
    <m/>
    <m/>
    <m/>
    <m/>
    <m/>
    <m/>
    <m/>
    <m/>
    <m/>
    <m/>
    <m/>
    <m/>
    <m/>
    <m/>
    <n v="0"/>
    <n v="0"/>
    <n v="0"/>
    <n v="0"/>
  </r>
  <r>
    <x v="7"/>
    <s v="College of Southern Maryland"/>
    <s v="Met the criteria for Two-Year 1 in 2009-10 and 2010-11."/>
    <n v="162122"/>
    <x v="7"/>
    <n v="101"/>
    <n v="636699"/>
    <n v="103"/>
    <n v="677035"/>
    <n v="86"/>
    <n v="660579"/>
    <n v="85"/>
    <n v="642489"/>
    <n v="101"/>
    <n v="18524"/>
    <n v="104"/>
    <n v="20347"/>
    <n v="101"/>
    <n v="581412"/>
    <n v="104"/>
    <n v="600984"/>
    <m/>
    <m/>
    <m/>
    <m/>
    <n v="101"/>
    <n v="21787"/>
    <n v="104"/>
    <n v="19934"/>
    <n v="101"/>
    <n v="19760"/>
    <n v="104"/>
    <n v="24354"/>
    <n v="20"/>
    <n v="26585"/>
    <n v="21"/>
    <n v="30135"/>
    <m/>
    <m/>
    <m/>
    <m/>
    <n v="101"/>
    <n v="1965346"/>
    <n v="104"/>
    <n v="2015278"/>
    <n v="22"/>
    <n v="192350"/>
    <n v="22"/>
    <n v="206789"/>
    <n v="18"/>
    <n v="129867"/>
    <n v="18"/>
    <n v="127079"/>
    <n v="22"/>
    <n v="4270"/>
    <n v="22"/>
    <n v="5357"/>
    <n v="22"/>
    <n v="160406"/>
    <n v="22"/>
    <n v="159575"/>
    <m/>
    <m/>
    <m/>
    <m/>
    <n v="22"/>
    <n v="4753"/>
    <n v="22"/>
    <n v="4221"/>
    <n v="22"/>
    <n v="5452"/>
    <n v="22"/>
    <n v="6466"/>
    <n v="4"/>
    <n v="7334"/>
    <n v="4"/>
    <n v="7924"/>
    <m/>
    <m/>
    <m/>
    <m/>
    <n v="22"/>
    <n v="504432"/>
    <n v="22"/>
    <n v="517411"/>
  </r>
  <r>
    <x v="7"/>
    <s v="Frederick Community College "/>
    <m/>
    <n v="162557"/>
    <x v="7"/>
    <n v="89"/>
    <n v="495080"/>
    <n v="94"/>
    <n v="525616"/>
    <n v="77"/>
    <n v="824692"/>
    <n v="80"/>
    <n v="903258"/>
    <n v="89"/>
    <n v="19753"/>
    <n v="94"/>
    <n v="20812"/>
    <n v="89"/>
    <n v="457907"/>
    <n v="94"/>
    <n v="482452"/>
    <m/>
    <m/>
    <m/>
    <m/>
    <n v="89"/>
    <n v="21549"/>
    <n v="94"/>
    <n v="22704"/>
    <n v="89"/>
    <n v="22704"/>
    <n v="94"/>
    <n v="23921"/>
    <n v="5"/>
    <n v="7020"/>
    <n v="15"/>
    <n v="39085"/>
    <n v="68"/>
    <n v="3476"/>
    <n v="73"/>
    <n v="3732"/>
    <n v="89"/>
    <n v="1852181"/>
    <n v="94"/>
    <n v="2021580"/>
    <n v="6"/>
    <n v="41587"/>
    <n v="4"/>
    <n v="29870"/>
    <n v="5"/>
    <n v="55838"/>
    <n v="4"/>
    <n v="32316"/>
    <n v="5"/>
    <n v="1546"/>
    <n v="4"/>
    <n v="1218"/>
    <n v="6"/>
    <n v="35837"/>
    <n v="4"/>
    <n v="28737"/>
    <m/>
    <m/>
    <m/>
    <m/>
    <n v="5"/>
    <n v="1686"/>
    <n v="4"/>
    <n v="1329"/>
    <n v="6"/>
    <n v="1777"/>
    <n v="4"/>
    <n v="1400"/>
    <n v="10"/>
    <n v="70008"/>
    <n v="0"/>
    <n v="0"/>
    <n v="4"/>
    <n v="204"/>
    <n v="4"/>
    <n v="204"/>
    <n v="10"/>
    <n v="208483"/>
    <n v="4"/>
    <n v="95074"/>
  </r>
  <r>
    <x v="7"/>
    <s v="Hagerstown Community College "/>
    <m/>
    <n v="162690"/>
    <x v="7"/>
    <n v="48"/>
    <n v="352458"/>
    <n v="50"/>
    <n v="347426"/>
    <n v="45"/>
    <n v="440127"/>
    <n v="48"/>
    <n v="445016"/>
    <n v="59"/>
    <n v="77905"/>
    <n v="61"/>
    <n v="78156"/>
    <n v="59"/>
    <n v="258670"/>
    <n v="61"/>
    <n v="259502"/>
    <m/>
    <m/>
    <m/>
    <m/>
    <n v="59"/>
    <n v="7304"/>
    <n v="61"/>
    <n v="7327"/>
    <n v="59"/>
    <n v="12173"/>
    <n v="61"/>
    <n v="12212"/>
    <n v="3"/>
    <n v="960"/>
    <n v="4"/>
    <n v="6468"/>
    <m/>
    <m/>
    <m/>
    <m/>
    <n v="59"/>
    <n v="1149597"/>
    <n v="61"/>
    <n v="1156107"/>
    <n v="12"/>
    <n v="57549"/>
    <n v="12"/>
    <n v="54015"/>
    <n v="13"/>
    <n v="120353"/>
    <n v="13"/>
    <n v="130808"/>
    <n v="14"/>
    <n v="20588"/>
    <n v="16"/>
    <n v="22368"/>
    <n v="14"/>
    <n v="68359"/>
    <n v="16"/>
    <n v="74268"/>
    <m/>
    <m/>
    <m/>
    <m/>
    <n v="14"/>
    <n v="1930"/>
    <n v="16"/>
    <n v="2097"/>
    <n v="14"/>
    <n v="3217"/>
    <n v="16"/>
    <n v="3495"/>
    <m/>
    <m/>
    <m/>
    <m/>
    <m/>
    <m/>
    <m/>
    <m/>
    <n v="14"/>
    <n v="271996"/>
    <n v="16"/>
    <n v="287051"/>
  </r>
  <r>
    <x v="7"/>
    <s v="Harford Community College "/>
    <m/>
    <n v="162706"/>
    <x v="7"/>
    <n v="98"/>
    <n v="560609"/>
    <n v="94"/>
    <n v="580457"/>
    <n v="87"/>
    <n v="860411"/>
    <n v="84"/>
    <n v="953438"/>
    <n v="100"/>
    <n v="14620"/>
    <n v="95"/>
    <n v="18444"/>
    <n v="100"/>
    <n v="455261"/>
    <n v="95"/>
    <n v="420824"/>
    <n v="100"/>
    <n v="1020"/>
    <n v="95"/>
    <n v="969"/>
    <n v="100"/>
    <n v="19514"/>
    <n v="95"/>
    <n v="18444"/>
    <n v="100"/>
    <n v="19207"/>
    <n v="95"/>
    <n v="18153"/>
    <n v="38"/>
    <n v="7876"/>
    <n v="36"/>
    <n v="17295"/>
    <m/>
    <m/>
    <m/>
    <m/>
    <n v="100"/>
    <n v="1938518"/>
    <n v="95"/>
    <n v="2028024"/>
    <n v="2"/>
    <n v="16419"/>
    <n v="2"/>
    <n v="18454"/>
    <n v="2"/>
    <n v="10001"/>
    <n v="2"/>
    <n v="10630"/>
    <n v="2"/>
    <n v="344"/>
    <n v="2"/>
    <n v="344"/>
    <n v="2"/>
    <n v="10735"/>
    <n v="2"/>
    <n v="10735"/>
    <n v="2"/>
    <n v="20"/>
    <n v="2"/>
    <n v="20"/>
    <n v="2"/>
    <n v="468"/>
    <n v="2"/>
    <n v="468"/>
    <n v="2"/>
    <n v="463"/>
    <n v="2"/>
    <n v="463"/>
    <m/>
    <m/>
    <m/>
    <m/>
    <m/>
    <m/>
    <m/>
    <m/>
    <n v="2"/>
    <n v="38450"/>
    <n v="2"/>
    <n v="41114"/>
  </r>
  <r>
    <x v="7"/>
    <s v="Howard Community College "/>
    <s v="Met the criteria for Two-Year 1 in 2009-10 and 2010-11."/>
    <n v="162779"/>
    <x v="7"/>
    <n v="121"/>
    <n v="608427"/>
    <n v="125"/>
    <n v="712655"/>
    <n v="96"/>
    <n v="960191"/>
    <n v="103"/>
    <n v="1088419"/>
    <n v="121"/>
    <n v="25108"/>
    <n v="125"/>
    <n v="23145"/>
    <n v="121"/>
    <n v="600852"/>
    <n v="125"/>
    <n v="619439"/>
    <m/>
    <m/>
    <m/>
    <m/>
    <n v="121"/>
    <n v="22703"/>
    <n v="125"/>
    <n v="20876"/>
    <n v="121"/>
    <n v="14850"/>
    <n v="125"/>
    <n v="14518"/>
    <n v="13"/>
    <n v="9865"/>
    <n v="10"/>
    <n v="12590"/>
    <m/>
    <m/>
    <m/>
    <m/>
    <n v="121"/>
    <n v="2241996"/>
    <n v="125"/>
    <n v="2491642"/>
    <n v="29"/>
    <n v="234823"/>
    <n v="29"/>
    <n v="234307"/>
    <n v="26"/>
    <n v="231596"/>
    <n v="29"/>
    <n v="6492"/>
    <n v="29"/>
    <n v="8408"/>
    <n v="29"/>
    <n v="7416"/>
    <n v="29"/>
    <n v="199862"/>
    <n v="29"/>
    <n v="198496"/>
    <m/>
    <m/>
    <m/>
    <m/>
    <n v="29"/>
    <n v="7376"/>
    <n v="29"/>
    <n v="6492"/>
    <n v="29"/>
    <n v="3560"/>
    <n v="29"/>
    <n v="3367"/>
    <n v="3"/>
    <n v="3349"/>
    <n v="1"/>
    <n v="733"/>
    <m/>
    <m/>
    <m/>
    <m/>
    <n v="29"/>
    <n v="688974"/>
    <n v="29"/>
    <n v="457303"/>
  </r>
  <r>
    <x v="7"/>
    <s v="Carroll Community College"/>
    <s v="Reclassified: Met the criteria for Two-Year 2 in 2008-09, 2009-10 and 2010-11."/>
    <n v="405872"/>
    <x v="7"/>
    <n v="60"/>
    <n v="282270"/>
    <n v="63"/>
    <n v="312960"/>
    <n v="56"/>
    <n v="713013"/>
    <n v="60"/>
    <n v="784975"/>
    <m/>
    <m/>
    <m/>
    <m/>
    <n v="64"/>
    <n v="272300"/>
    <n v="66"/>
    <n v="274787"/>
    <m/>
    <m/>
    <m/>
    <m/>
    <n v="64"/>
    <n v="6723"/>
    <n v="66"/>
    <n v="6574"/>
    <n v="64"/>
    <n v="28120"/>
    <n v="66"/>
    <n v="28377"/>
    <m/>
    <m/>
    <m/>
    <m/>
    <m/>
    <m/>
    <m/>
    <m/>
    <n v="64"/>
    <n v="1302426"/>
    <n v="66"/>
    <n v="1407673"/>
    <n v="5"/>
    <n v="26812"/>
    <n v="6"/>
    <n v="34458"/>
    <n v="5"/>
    <n v="57974"/>
    <n v="6"/>
    <n v="81006"/>
    <m/>
    <m/>
    <m/>
    <m/>
    <n v="5"/>
    <n v="26259"/>
    <n v="7"/>
    <n v="38692"/>
    <m/>
    <m/>
    <m/>
    <m/>
    <n v="5"/>
    <n v="525"/>
    <n v="7"/>
    <n v="697"/>
    <n v="5"/>
    <n v="2712"/>
    <n v="7"/>
    <n v="3996"/>
    <m/>
    <m/>
    <m/>
    <m/>
    <m/>
    <m/>
    <m/>
    <m/>
    <n v="5"/>
    <n v="114282"/>
    <n v="7"/>
    <n v="158849"/>
  </r>
  <r>
    <x v="7"/>
    <s v="Cecil Community College "/>
    <m/>
    <n v="162104"/>
    <x v="8"/>
    <n v="40"/>
    <n v="196248"/>
    <n v="38"/>
    <n v="180094"/>
    <n v="40"/>
    <n v="491640"/>
    <n v="38"/>
    <n v="466184"/>
    <n v="43"/>
    <n v="7653"/>
    <n v="41"/>
    <n v="5088"/>
    <n v="43"/>
    <n v="195156"/>
    <n v="41"/>
    <n v="176923"/>
    <m/>
    <m/>
    <m/>
    <m/>
    <n v="43"/>
    <n v="4592"/>
    <n v="41"/>
    <n v="4394"/>
    <n v="43"/>
    <n v="9694"/>
    <n v="41"/>
    <n v="10176"/>
    <n v="6"/>
    <n v="6660"/>
    <n v="3"/>
    <n v="3780"/>
    <m/>
    <m/>
    <m/>
    <m/>
    <n v="43"/>
    <n v="911643"/>
    <n v="41"/>
    <n v="846639"/>
    <n v="4"/>
    <n v="28993"/>
    <n v="3"/>
    <n v="19556"/>
    <n v="3"/>
    <n v="36873"/>
    <n v="3"/>
    <n v="408"/>
    <n v="4"/>
    <n v="924"/>
    <n v="3"/>
    <n v="473"/>
    <n v="4"/>
    <n v="23559"/>
    <n v="3"/>
    <n v="16428"/>
    <m/>
    <m/>
    <m/>
    <m/>
    <n v="4"/>
    <n v="555"/>
    <n v="3"/>
    <n v="408"/>
    <n v="4"/>
    <n v="1170"/>
    <n v="3"/>
    <n v="944"/>
    <m/>
    <m/>
    <m/>
    <m/>
    <m/>
    <m/>
    <m/>
    <m/>
    <n v="4"/>
    <n v="92074"/>
    <n v="3"/>
    <n v="38217"/>
  </r>
  <r>
    <x v="7"/>
    <s v="Chesapeake College "/>
    <m/>
    <n v="162168"/>
    <x v="8"/>
    <n v="53"/>
    <n v="305317"/>
    <n v="53"/>
    <n v="317532"/>
    <n v="36"/>
    <n v="372606"/>
    <n v="41"/>
    <n v="439653"/>
    <n v="53"/>
    <n v="18050"/>
    <n v="53"/>
    <n v="6828"/>
    <n v="53"/>
    <n v="260672"/>
    <n v="53"/>
    <n v="261033"/>
    <n v="53"/>
    <n v="3407"/>
    <n v="53"/>
    <n v="3412"/>
    <n v="53"/>
    <n v="16356"/>
    <n v="53"/>
    <n v="11465"/>
    <n v="53"/>
    <n v="20785"/>
    <n v="53"/>
    <n v="16720"/>
    <n v="1"/>
    <n v="1911"/>
    <n v="3"/>
    <n v="2034"/>
    <n v="17"/>
    <n v="34000"/>
    <n v="12"/>
    <n v="24000"/>
    <n v="53"/>
    <n v="1033104"/>
    <n v="53"/>
    <n v="1082677"/>
    <n v="6"/>
    <n v="41310"/>
    <n v="6"/>
    <n v="42250"/>
    <n v="4"/>
    <n v="44464"/>
    <n v="4"/>
    <n v="44918"/>
    <n v="6"/>
    <n v="2483"/>
    <n v="6"/>
    <n v="930"/>
    <n v="6"/>
    <n v="35835"/>
    <n v="6"/>
    <n v="35545"/>
    <n v="6"/>
    <n v="468"/>
    <n v="6"/>
    <n v="464"/>
    <n v="6"/>
    <n v="2248"/>
    <n v="6"/>
    <n v="1671"/>
    <n v="6"/>
    <n v="2857"/>
    <n v="6"/>
    <n v="2276"/>
    <m/>
    <m/>
    <m/>
    <m/>
    <n v="2"/>
    <n v="4000"/>
    <n v="2"/>
    <n v="4000"/>
    <n v="6"/>
    <n v="133665"/>
    <n v="6"/>
    <n v="132054"/>
  </r>
  <r>
    <x v="7"/>
    <s v="Garrett College "/>
    <m/>
    <n v="162609"/>
    <x v="8"/>
    <n v="16"/>
    <n v="86213"/>
    <n v="15"/>
    <n v="90255"/>
    <n v="16"/>
    <n v="186591"/>
    <n v="15"/>
    <n v="169484"/>
    <n v="16"/>
    <n v="7201"/>
    <n v="15"/>
    <n v="7140"/>
    <n v="17"/>
    <n v="75938"/>
    <n v="15"/>
    <n v="71868"/>
    <n v="17"/>
    <n v="10919"/>
    <n v="15"/>
    <n v="10334"/>
    <n v="16"/>
    <n v="744"/>
    <n v="15"/>
    <n v="685"/>
    <n v="17"/>
    <n v="2879"/>
    <n v="15"/>
    <n v="2724"/>
    <m/>
    <m/>
    <m/>
    <m/>
    <m/>
    <m/>
    <m/>
    <m/>
    <n v="17"/>
    <n v="370485"/>
    <n v="15"/>
    <n v="352490"/>
    <m/>
    <m/>
    <n v="6"/>
    <n v="34285"/>
    <m/>
    <m/>
    <n v="5"/>
    <n v="62373"/>
    <m/>
    <m/>
    <n v="6"/>
    <n v="2789"/>
    <m/>
    <m/>
    <n v="6"/>
    <n v="28073"/>
    <m/>
    <m/>
    <n v="6"/>
    <n v="4037"/>
    <m/>
    <m/>
    <n v="6"/>
    <n v="278"/>
    <m/>
    <m/>
    <n v="6"/>
    <n v="1064"/>
    <m/>
    <m/>
    <m/>
    <m/>
    <m/>
    <m/>
    <m/>
    <m/>
    <n v="0"/>
    <n v="0"/>
    <n v="6"/>
    <n v="132899"/>
  </r>
  <r>
    <x v="7"/>
    <s v="Wor-Wic Community College "/>
    <s v="Reclassified: Met the criteria for Two-Year 2 in 2008-09, 2009-10 and 2010-11."/>
    <n v="164313"/>
    <x v="7"/>
    <n v="51"/>
    <n v="277997"/>
    <n v="51"/>
    <n v="295647"/>
    <n v="44"/>
    <n v="300989"/>
    <n v="43"/>
    <n v="327943"/>
    <n v="52"/>
    <n v="8680"/>
    <n v="52"/>
    <n v="8450"/>
    <n v="52"/>
    <n v="223397"/>
    <n v="52"/>
    <n v="215463"/>
    <m/>
    <m/>
    <m/>
    <m/>
    <n v="52"/>
    <n v="9175"/>
    <n v="52"/>
    <n v="8931"/>
    <n v="52"/>
    <n v="9548"/>
    <n v="52"/>
    <n v="9294"/>
    <n v="8"/>
    <n v="11016"/>
    <n v="15"/>
    <n v="23096"/>
    <n v="12"/>
    <n v="21752"/>
    <n v="15"/>
    <n v="24612"/>
    <n v="52"/>
    <n v="862554"/>
    <n v="52"/>
    <n v="913436"/>
    <n v="16"/>
    <n v="124355"/>
    <n v="15"/>
    <n v="127244"/>
    <n v="16"/>
    <n v="109150"/>
    <n v="14"/>
    <n v="105497"/>
    <n v="16"/>
    <n v="3456"/>
    <n v="15"/>
    <n v="3259"/>
    <n v="16"/>
    <n v="86824"/>
    <n v="15"/>
    <n v="83110"/>
    <m/>
    <m/>
    <m/>
    <m/>
    <n v="16"/>
    <n v="3648"/>
    <n v="15"/>
    <n v="3438"/>
    <n v="16"/>
    <n v="3802"/>
    <n v="15"/>
    <n v="3585"/>
    <n v="2"/>
    <n v="3402"/>
    <n v="6"/>
    <n v="10943"/>
    <n v="2"/>
    <n v="780"/>
    <n v="3"/>
    <n v="3700"/>
    <n v="16"/>
    <n v="335417"/>
    <n v="15"/>
    <n v="340776"/>
  </r>
  <r>
    <x v="8"/>
    <s v="Mississippi State University"/>
    <m/>
    <n v="176080"/>
    <x v="0"/>
    <n v="266"/>
    <n v="2024719.02"/>
    <n v="242"/>
    <n v="1794497.34"/>
    <n v="438"/>
    <n v="1422090"/>
    <n v="392"/>
    <n v="1305612"/>
    <m/>
    <m/>
    <m/>
    <m/>
    <n v="672"/>
    <n v="2110032.1800000002"/>
    <n v="645"/>
    <n v="2000692.8"/>
    <n v="206"/>
    <n v="23514.3"/>
    <n v="194"/>
    <n v="26915.4"/>
    <n v="447"/>
    <n v="49619.519999999997"/>
    <n v="420"/>
    <n v="44005.68"/>
    <n v="675"/>
    <n v="296603.28000000003"/>
    <n v="648"/>
    <n v="243270.54"/>
    <m/>
    <m/>
    <m/>
    <m/>
    <m/>
    <m/>
    <m/>
    <m/>
    <n v="675"/>
    <n v="5926578.3000000007"/>
    <n v="648"/>
    <n v="5414993.7599999998"/>
    <n v="111"/>
    <n v="1385765.52"/>
    <n v="104"/>
    <n v="1299819.6000000001"/>
    <n v="178"/>
    <n v="770232"/>
    <n v="165"/>
    <n v="730380"/>
    <m/>
    <m/>
    <m/>
    <m/>
    <n v="217"/>
    <n v="1186922.1599999999"/>
    <n v="201"/>
    <n v="1085199.6000000001"/>
    <n v="4"/>
    <n v="1427.76"/>
    <n v="1"/>
    <n v="320.16000000000003"/>
    <n v="168"/>
    <n v="25128"/>
    <n v="157"/>
    <n v="23083.200000000001"/>
    <n v="217"/>
    <n v="150813.12"/>
    <n v="201"/>
    <n v="119053.2"/>
    <m/>
    <m/>
    <m/>
    <m/>
    <m/>
    <m/>
    <m/>
    <m/>
    <n v="217"/>
    <n v="3520288.56"/>
    <n v="201"/>
    <n v="3257855.7600000002"/>
  </r>
  <r>
    <x v="8"/>
    <s v="University of Southern Mississippi"/>
    <m/>
    <n v="176372"/>
    <x v="0"/>
    <n v="643"/>
    <n v="4607218"/>
    <n v="615"/>
    <n v="4435320"/>
    <n v="643"/>
    <n v="2734056"/>
    <n v="615"/>
    <n v="267888"/>
    <m/>
    <m/>
    <m/>
    <m/>
    <n v="643"/>
    <n v="2924208"/>
    <n v="615"/>
    <n v="2280445"/>
    <n v="643"/>
    <n v="24434"/>
    <n v="615"/>
    <n v="36900"/>
    <n v="643"/>
    <n v="110876"/>
    <n v="615"/>
    <n v="86583"/>
    <n v="643"/>
    <n v="268754"/>
    <n v="615"/>
    <n v="258727"/>
    <n v="32"/>
    <n v="39618"/>
    <n v="31"/>
    <n v="40467"/>
    <m/>
    <m/>
    <m/>
    <m/>
    <n v="643"/>
    <n v="10709164"/>
    <n v="615"/>
    <n v="7406330"/>
    <n v="115"/>
    <n v="1206317"/>
    <n v="85"/>
    <n v="873201"/>
    <n v="115"/>
    <n v="493860"/>
    <n v="85"/>
    <n v="371688"/>
    <m/>
    <m/>
    <m/>
    <m/>
    <n v="115"/>
    <n v="711664"/>
    <n v="85"/>
    <n v="422958"/>
    <n v="115"/>
    <n v="4370"/>
    <n v="85"/>
    <n v="5100"/>
    <n v="115"/>
    <n v="29061"/>
    <n v="85"/>
    <n v="11923"/>
    <n v="115"/>
    <n v="70509"/>
    <n v="85"/>
    <n v="50972"/>
    <n v="7"/>
    <n v="6177"/>
    <n v="4"/>
    <n v="5912"/>
    <m/>
    <m/>
    <m/>
    <m/>
    <n v="115"/>
    <n v="2521958"/>
    <n v="85"/>
    <n v="1741754"/>
  </r>
  <r>
    <x v="8"/>
    <s v="Jackson State University "/>
    <m/>
    <n v="175856"/>
    <x v="1"/>
    <n v="347"/>
    <n v="2232361"/>
    <n v="321"/>
    <n v="2117136"/>
    <n v="312"/>
    <n v="111786"/>
    <n v="281"/>
    <n v="100017"/>
    <m/>
    <m/>
    <m/>
    <m/>
    <n v="347"/>
    <n v="1423130"/>
    <n v="321"/>
    <n v="1349674"/>
    <n v="347"/>
    <n v="24290"/>
    <n v="321"/>
    <n v="22470"/>
    <n v="252"/>
    <n v="2889"/>
    <n v="239"/>
    <n v="2682"/>
    <n v="347"/>
    <n v="139523"/>
    <n v="321"/>
    <n v="132321"/>
    <m/>
    <m/>
    <m/>
    <m/>
    <m/>
    <m/>
    <m/>
    <m/>
    <n v="347"/>
    <n v="3933979"/>
    <n v="321"/>
    <n v="3724300"/>
    <n v="61"/>
    <n v="648838"/>
    <n v="55"/>
    <n v="577329"/>
    <n v="55"/>
    <n v="19061"/>
    <n v="48"/>
    <n v="17274"/>
    <m/>
    <m/>
    <m/>
    <m/>
    <n v="61"/>
    <n v="413634"/>
    <n v="55"/>
    <n v="368047"/>
    <n v="61"/>
    <n v="4270"/>
    <n v="55"/>
    <n v="3850"/>
    <n v="49"/>
    <n v="588"/>
    <n v="45"/>
    <n v="540"/>
    <n v="61"/>
    <n v="40552"/>
    <n v="55"/>
    <n v="36083"/>
    <m/>
    <m/>
    <m/>
    <m/>
    <m/>
    <m/>
    <m/>
    <m/>
    <n v="61"/>
    <n v="1126943"/>
    <n v="55"/>
    <n v="1003123"/>
  </r>
  <r>
    <x v="8"/>
    <s v="University of Mississippi"/>
    <m/>
    <n v="176017"/>
    <x v="1"/>
    <n v="566"/>
    <n v="3685648"/>
    <n v="566"/>
    <n v="3728542"/>
    <n v="397"/>
    <n v="1717120"/>
    <n v="383"/>
    <n v="1658638"/>
    <m/>
    <m/>
    <m/>
    <m/>
    <n v="566"/>
    <n v="2844932"/>
    <n v="566"/>
    <n v="2873361"/>
    <n v="566"/>
    <n v="28622"/>
    <n v="566"/>
    <n v="28622"/>
    <n v="316"/>
    <n v="43018"/>
    <n v="321"/>
    <n v="43534"/>
    <n v="566"/>
    <n v="173555"/>
    <n v="566"/>
    <n v="176040"/>
    <n v="33"/>
    <n v="53566"/>
    <n v="38"/>
    <n v="82800"/>
    <m/>
    <m/>
    <m/>
    <m/>
    <n v="566"/>
    <n v="8546461"/>
    <n v="566"/>
    <n v="8591537"/>
    <n v="145"/>
    <n v="1340143"/>
    <n v="157"/>
    <n v="1438806"/>
    <n v="113"/>
    <n v="489516"/>
    <n v="115"/>
    <n v="483740"/>
    <m/>
    <m/>
    <m/>
    <m/>
    <n v="145"/>
    <n v="1022139"/>
    <n v="157"/>
    <n v="1095645"/>
    <n v="145"/>
    <n v="7333"/>
    <n v="157"/>
    <n v="7940"/>
    <n v="95"/>
    <n v="13622"/>
    <n v="106"/>
    <n v="15156"/>
    <n v="145"/>
    <n v="65032"/>
    <n v="157"/>
    <n v="69680"/>
    <n v="17"/>
    <n v="31631"/>
    <n v="20"/>
    <n v="43614"/>
    <m/>
    <m/>
    <m/>
    <m/>
    <n v="145"/>
    <n v="2969416"/>
    <n v="157"/>
    <n v="3154581"/>
  </r>
  <r>
    <x v="8"/>
    <s v="Alcorn State University"/>
    <m/>
    <n v="175342"/>
    <x v="3"/>
    <n v="151"/>
    <n v="951948"/>
    <n v="144"/>
    <n v="919971"/>
    <n v="151"/>
    <n v="617973"/>
    <n v="144"/>
    <n v="597215"/>
    <m/>
    <m/>
    <m/>
    <m/>
    <n v="151"/>
    <n v="491840"/>
    <n v="144"/>
    <n v="475318"/>
    <n v="151"/>
    <n v="53150"/>
    <n v="144"/>
    <n v="51365"/>
    <n v="151"/>
    <n v="95195"/>
    <n v="144"/>
    <n v="91997"/>
    <n v="151"/>
    <n v="94401"/>
    <n v="144"/>
    <n v="91230"/>
    <n v="5"/>
    <n v="5610"/>
    <n v="6"/>
    <n v="6374"/>
    <m/>
    <m/>
    <m/>
    <m/>
    <n v="151"/>
    <n v="2310117"/>
    <n v="144"/>
    <n v="2233470"/>
    <n v="32"/>
    <n v="274131"/>
    <n v="31"/>
    <n v="292926"/>
    <n v="32"/>
    <n v="177956"/>
    <n v="31"/>
    <n v="190158"/>
    <m/>
    <m/>
    <m/>
    <m/>
    <n v="32"/>
    <n v="141634"/>
    <n v="31"/>
    <n v="151345"/>
    <n v="32"/>
    <n v="15306"/>
    <n v="31"/>
    <n v="16355"/>
    <n v="32"/>
    <n v="27413"/>
    <n v="31"/>
    <n v="29293"/>
    <n v="32"/>
    <n v="27185"/>
    <n v="31"/>
    <n v="29049"/>
    <n v="2"/>
    <n v="2244"/>
    <n v="3"/>
    <n v="3636"/>
    <m/>
    <m/>
    <m/>
    <m/>
    <n v="32"/>
    <n v="665869"/>
    <n v="31"/>
    <n v="712762"/>
  </r>
  <r>
    <x v="8"/>
    <s v="Delta State University"/>
    <m/>
    <n v="175616"/>
    <x v="3"/>
    <n v="155"/>
    <n v="965371.8"/>
    <n v="147"/>
    <n v="916600.44"/>
    <n v="148"/>
    <n v="641136"/>
    <n v="139"/>
    <n v="626400"/>
    <m/>
    <m/>
    <m/>
    <m/>
    <n v="155"/>
    <n v="603357.38"/>
    <n v="147"/>
    <n v="584332.78"/>
    <n v="155"/>
    <n v="9300"/>
    <n v="147"/>
    <n v="5145"/>
    <n v="113"/>
    <n v="15208"/>
    <n v="107"/>
    <n v="14259"/>
    <n v="155"/>
    <n v="9300"/>
    <n v="147"/>
    <n v="8820"/>
    <n v="33"/>
    <n v="72149"/>
    <n v="35"/>
    <n v="76405"/>
    <m/>
    <m/>
    <m/>
    <m/>
    <n v="155"/>
    <n v="2315822.1799999997"/>
    <n v="147"/>
    <n v="2231962.2199999997"/>
    <n v="37"/>
    <n v="305996.52"/>
    <n v="39"/>
    <n v="323920.56"/>
    <n v="36"/>
    <n v="155952"/>
    <n v="38"/>
    <n v="171390"/>
    <m/>
    <m/>
    <m/>
    <m/>
    <n v="37"/>
    <n v="191247.83"/>
    <n v="39"/>
    <n v="206499.36"/>
    <n v="37"/>
    <n v="2220"/>
    <n v="39"/>
    <n v="1365"/>
    <n v="28"/>
    <n v="3950"/>
    <n v="27"/>
    <n v="3776"/>
    <m/>
    <m/>
    <n v="39"/>
    <n v="2340"/>
    <n v="9"/>
    <n v="18464"/>
    <n v="9"/>
    <n v="20466"/>
    <m/>
    <m/>
    <m/>
    <m/>
    <n v="37"/>
    <n v="677830.35"/>
    <n v="39"/>
    <n v="729756.91999999993"/>
  </r>
  <r>
    <x v="8"/>
    <s v="Mississippi Valley State University"/>
    <m/>
    <n v="176044"/>
    <x v="3"/>
    <n v="109"/>
    <n v="651315"/>
    <n v="102"/>
    <n v="611372"/>
    <n v="109"/>
    <n v="564473"/>
    <n v="102"/>
    <n v="529856"/>
    <m/>
    <m/>
    <m/>
    <m/>
    <n v="109"/>
    <n v="415213"/>
    <n v="102"/>
    <n v="389750"/>
    <n v="109"/>
    <n v="54276"/>
    <n v="102"/>
    <n v="50948"/>
    <n v="109"/>
    <n v="10855"/>
    <n v="102"/>
    <n v="10190"/>
    <n v="109"/>
    <n v="78701"/>
    <n v="102"/>
    <n v="89158"/>
    <m/>
    <m/>
    <m/>
    <m/>
    <m/>
    <m/>
    <m/>
    <m/>
    <n v="109"/>
    <n v="1774833"/>
    <n v="102"/>
    <n v="1681274"/>
    <n v="24"/>
    <n v="198994"/>
    <n v="24"/>
    <n v="193112"/>
    <n v="24"/>
    <n v="172461"/>
    <n v="24"/>
    <n v="167364"/>
    <m/>
    <m/>
    <m/>
    <m/>
    <n v="24"/>
    <n v="126859"/>
    <n v="24"/>
    <n v="123109"/>
    <n v="24"/>
    <n v="16583"/>
    <n v="24"/>
    <n v="16093"/>
    <n v="24"/>
    <n v="3317"/>
    <n v="24"/>
    <n v="3219"/>
    <n v="24"/>
    <n v="24045"/>
    <n v="24"/>
    <n v="28262"/>
    <m/>
    <m/>
    <m/>
    <m/>
    <m/>
    <m/>
    <m/>
    <m/>
    <n v="24"/>
    <n v="542259"/>
    <n v="24"/>
    <n v="531159"/>
  </r>
  <r>
    <x v="8"/>
    <s v="Mississippi University for Women"/>
    <m/>
    <n v="176035"/>
    <x v="4"/>
    <n v="111"/>
    <n v="632813"/>
    <n v="106"/>
    <n v="611098"/>
    <n v="111"/>
    <n v="480852"/>
    <n v="84"/>
    <n v="10971"/>
    <m/>
    <m/>
    <m/>
    <m/>
    <n v="111"/>
    <n v="413549"/>
    <n v="106"/>
    <n v="397656"/>
    <n v="111"/>
    <n v="7875"/>
    <n v="106"/>
    <n v="7545"/>
    <n v="88"/>
    <n v="11516"/>
    <n v="84"/>
    <n v="10971"/>
    <n v="111"/>
    <n v="33186"/>
    <n v="106"/>
    <n v="31797"/>
    <n v="7"/>
    <n v="5896"/>
    <n v="4"/>
    <n v="3290"/>
    <m/>
    <m/>
    <m/>
    <m/>
    <n v="111"/>
    <n v="1585687"/>
    <n v="106"/>
    <n v="1073328"/>
    <n v="23"/>
    <n v="186813"/>
    <n v="24"/>
    <n v="194240"/>
    <n v="23"/>
    <n v="99636"/>
    <n v="24"/>
    <n v="103968"/>
    <m/>
    <m/>
    <m/>
    <m/>
    <n v="23"/>
    <n v="122915"/>
    <n v="24"/>
    <n v="125595"/>
    <n v="23"/>
    <n v="2314"/>
    <n v="24"/>
    <n v="2375"/>
    <n v="20"/>
    <n v="2880"/>
    <n v="20"/>
    <n v="2880"/>
    <n v="23"/>
    <n v="9752"/>
    <n v="24"/>
    <n v="10007"/>
    <n v="2"/>
    <n v="1290"/>
    <n v="4"/>
    <n v="4451"/>
    <m/>
    <m/>
    <m/>
    <m/>
    <n v="23"/>
    <n v="425600"/>
    <n v="24"/>
    <n v="443516"/>
  </r>
  <r>
    <x v="8"/>
    <s v="Hinds Community College "/>
    <m/>
    <n v="175786"/>
    <x v="6"/>
    <n v="284"/>
    <n v="1596399"/>
    <n v="283"/>
    <n v="1580148"/>
    <n v="284"/>
    <n v="1173306"/>
    <n v="283"/>
    <n v="1479345"/>
    <m/>
    <m/>
    <m/>
    <m/>
    <n v="284"/>
    <n v="1017705"/>
    <n v="283"/>
    <n v="1007344"/>
    <n v="284"/>
    <n v="13303"/>
    <n v="283"/>
    <n v="19721"/>
    <n v="284"/>
    <n v="33258"/>
    <n v="283"/>
    <n v="32920"/>
    <n v="284"/>
    <n v="98445"/>
    <n v="283"/>
    <n v="131702"/>
    <m/>
    <m/>
    <m/>
    <m/>
    <m/>
    <m/>
    <n v="283"/>
    <n v="100229"/>
    <n v="284"/>
    <n v="3932416"/>
    <n v="283"/>
    <n v="4351409"/>
    <n v="122"/>
    <n v="643432"/>
    <n v="120"/>
    <n v="773474"/>
    <n v="122"/>
    <n v="483313"/>
    <n v="120"/>
    <n v="724132"/>
    <m/>
    <m/>
    <m/>
    <m/>
    <n v="122"/>
    <n v="414013"/>
    <n v="120"/>
    <n v="493090"/>
    <n v="122"/>
    <n v="5412"/>
    <n v="120"/>
    <n v="9653"/>
    <n v="122"/>
    <n v="13530"/>
    <n v="120"/>
    <n v="16114"/>
    <n v="122"/>
    <n v="40048"/>
    <n v="120"/>
    <n v="64468"/>
    <m/>
    <m/>
    <m/>
    <m/>
    <m/>
    <m/>
    <n v="120"/>
    <n v="49061"/>
    <n v="122"/>
    <n v="1599748"/>
    <n v="120"/>
    <n v="2129992"/>
  </r>
  <r>
    <x v="8"/>
    <s v="Mississippi Gulf Coast Community College "/>
    <m/>
    <n v="176071"/>
    <x v="6"/>
    <n v="263"/>
    <n v="1064572"/>
    <n v="252.8"/>
    <n v="1406332"/>
    <n v="263"/>
    <n v="854971"/>
    <n v="252.8"/>
    <n v="848384"/>
    <m/>
    <m/>
    <m/>
    <m/>
    <n v="263"/>
    <n v="869915"/>
    <n v="252.8"/>
    <n v="896537"/>
    <n v="263"/>
    <n v="11371"/>
    <n v="252.8"/>
    <n v="15397"/>
    <n v="263"/>
    <n v="28429"/>
    <n v="252.8"/>
    <n v="29299"/>
    <n v="263"/>
    <n v="61406"/>
    <n v="252.8"/>
    <n v="57425"/>
    <m/>
    <m/>
    <m/>
    <m/>
    <m/>
    <m/>
    <m/>
    <m/>
    <n v="263"/>
    <n v="2890664"/>
    <n v="252.8"/>
    <n v="3253374"/>
    <n v="106"/>
    <n v="406216"/>
    <n v="84.5"/>
    <n v="511972"/>
    <n v="106"/>
    <n v="309192"/>
    <n v="84.5"/>
    <n v="308853"/>
    <m/>
    <m/>
    <m/>
    <m/>
    <n v="106"/>
    <n v="324214"/>
    <n v="84.5"/>
    <n v="326382"/>
    <n v="106"/>
    <n v="4238"/>
    <n v="84.5"/>
    <n v="5605"/>
    <n v="106"/>
    <n v="10595"/>
    <n v="84.5"/>
    <n v="10666"/>
    <n v="106"/>
    <n v="22886"/>
    <n v="84.5"/>
    <n v="20906"/>
    <m/>
    <m/>
    <m/>
    <m/>
    <m/>
    <m/>
    <n v="0"/>
    <m/>
    <n v="106"/>
    <n v="1077341"/>
    <n v="84.5"/>
    <n v="1184384"/>
  </r>
  <r>
    <x v="8"/>
    <s v="Northwest Mississippi Community College "/>
    <m/>
    <n v="176178"/>
    <x v="6"/>
    <n v="173"/>
    <n v="1055810"/>
    <n v="183"/>
    <n v="1112680"/>
    <n v="173"/>
    <n v="711170"/>
    <n v="183"/>
    <n v="606059"/>
    <m/>
    <m/>
    <m/>
    <m/>
    <n v="173"/>
    <n v="692204"/>
    <n v="183"/>
    <n v="709334"/>
    <n v="173"/>
    <n v="9048"/>
    <n v="183"/>
    <m/>
    <n v="173"/>
    <n v="22621"/>
    <n v="183"/>
    <n v="23181"/>
    <n v="173"/>
    <n v="56100"/>
    <n v="183"/>
    <n v="84613"/>
    <m/>
    <m/>
    <m/>
    <m/>
    <n v="173"/>
    <n v="37099"/>
    <n v="183"/>
    <n v="46419"/>
    <n v="173"/>
    <n v="2584052"/>
    <n v="183"/>
    <n v="2582286"/>
    <n v="38"/>
    <n v="180781"/>
    <n v="38"/>
    <n v="253144"/>
    <n v="38"/>
    <n v="141405"/>
    <n v="38"/>
    <n v="137883"/>
    <m/>
    <m/>
    <m/>
    <m/>
    <n v="38"/>
    <n v="126086"/>
    <n v="38"/>
    <n v="161379"/>
    <n v="38"/>
    <n v="1648"/>
    <n v="0"/>
    <m/>
    <n v="38"/>
    <n v="4120"/>
    <n v="38"/>
    <n v="5274"/>
    <n v="38"/>
    <n v="9889"/>
    <n v="38"/>
    <n v="19250"/>
    <m/>
    <m/>
    <m/>
    <m/>
    <n v="38"/>
    <n v="6758"/>
    <n v="38"/>
    <n v="10561"/>
    <n v="38"/>
    <n v="470687"/>
    <n v="38"/>
    <n v="587491"/>
  </r>
  <r>
    <x v="8"/>
    <s v="Copiah-Lincoln Community College "/>
    <m/>
    <n v="175573"/>
    <x v="7"/>
    <n v="110"/>
    <n v="602604"/>
    <n v="111.5"/>
    <n v="638017"/>
    <n v="110"/>
    <n v="441520"/>
    <n v="111.5"/>
    <n v="422710"/>
    <m/>
    <m/>
    <m/>
    <m/>
    <n v="110"/>
    <n v="395515"/>
    <n v="111.5"/>
    <n v="406736"/>
    <n v="110"/>
    <n v="5170"/>
    <n v="111.5"/>
    <m/>
    <n v="110"/>
    <n v="10925"/>
    <n v="111.5"/>
    <n v="13292"/>
    <n v="110"/>
    <n v="27919"/>
    <n v="111.5"/>
    <n v="26213"/>
    <m/>
    <m/>
    <m/>
    <m/>
    <m/>
    <m/>
    <m/>
    <m/>
    <n v="110"/>
    <n v="1483653"/>
    <n v="111.5"/>
    <n v="1506968"/>
    <n v="0"/>
    <n v="0"/>
    <n v="0"/>
    <n v="0"/>
    <n v="0"/>
    <n v="0"/>
    <n v="0"/>
    <n v="0"/>
    <m/>
    <m/>
    <m/>
    <m/>
    <n v="0"/>
    <m/>
    <n v="0"/>
    <n v="0"/>
    <n v="0"/>
    <m/>
    <n v="0"/>
    <m/>
    <n v="0"/>
    <m/>
    <n v="0"/>
    <n v="0"/>
    <n v="0"/>
    <m/>
    <n v="0"/>
    <n v="0"/>
    <m/>
    <m/>
    <m/>
    <m/>
    <m/>
    <m/>
    <n v="0"/>
    <m/>
    <n v="0"/>
    <n v="0"/>
    <n v="0"/>
    <n v="0"/>
  </r>
  <r>
    <x v="8"/>
    <s v="East Central Community College "/>
    <m/>
    <n v="175643"/>
    <x v="7"/>
    <n v="71"/>
    <n v="417395"/>
    <n v="73"/>
    <n v="413454"/>
    <n v="71"/>
    <n v="319905"/>
    <n v="73"/>
    <n v="307108"/>
    <m/>
    <m/>
    <m/>
    <m/>
    <n v="71"/>
    <n v="266089"/>
    <n v="73"/>
    <n v="263577"/>
    <n v="71"/>
    <n v="3478"/>
    <n v="73"/>
    <m/>
    <n v="71"/>
    <n v="8696"/>
    <n v="73"/>
    <n v="8614"/>
    <n v="71"/>
    <n v="22261"/>
    <n v="73"/>
    <n v="18742"/>
    <m/>
    <m/>
    <m/>
    <m/>
    <m/>
    <m/>
    <m/>
    <m/>
    <n v="71"/>
    <n v="1037824"/>
    <n v="73"/>
    <n v="1011495"/>
    <n v="9"/>
    <n v="39808"/>
    <n v="9"/>
    <n v="50178"/>
    <n v="9"/>
    <n v="35488"/>
    <n v="9"/>
    <n v="37272"/>
    <m/>
    <m/>
    <m/>
    <m/>
    <n v="9"/>
    <n v="27174"/>
    <n v="9"/>
    <n v="31989"/>
    <n v="9"/>
    <n v="355"/>
    <n v="0"/>
    <m/>
    <n v="9"/>
    <n v="888"/>
    <n v="9"/>
    <n v="1045"/>
    <n v="9"/>
    <n v="2273"/>
    <n v="9"/>
    <n v="2275"/>
    <m/>
    <m/>
    <m/>
    <m/>
    <m/>
    <m/>
    <n v="0"/>
    <m/>
    <n v="9"/>
    <n v="105986"/>
    <n v="9"/>
    <n v="122759"/>
  </r>
  <r>
    <x v="8"/>
    <s v="East Mississippi Community College "/>
    <m/>
    <n v="175652"/>
    <x v="7"/>
    <n v="85"/>
    <n v="517248"/>
    <n v="85.7"/>
    <n v="528453"/>
    <n v="85"/>
    <n v="368220"/>
    <n v="85.7"/>
    <n v="364720"/>
    <m/>
    <m/>
    <m/>
    <m/>
    <n v="85"/>
    <n v="331416"/>
    <n v="85.7"/>
    <n v="336889"/>
    <n v="85"/>
    <n v="4332"/>
    <n v="85.7"/>
    <m/>
    <n v="85"/>
    <n v="10831"/>
    <n v="85.7"/>
    <n v="11009"/>
    <n v="85"/>
    <n v="18195"/>
    <n v="85.7"/>
    <n v="5285"/>
    <m/>
    <m/>
    <m/>
    <m/>
    <n v="85"/>
    <n v="17762"/>
    <n v="85.7"/>
    <n v="16861"/>
    <n v="85"/>
    <n v="1268004"/>
    <n v="85.7"/>
    <n v="1263217"/>
    <n v="26"/>
    <n v="141760"/>
    <n v="25.3"/>
    <n v="177802"/>
    <n v="26"/>
    <n v="104320"/>
    <n v="25.3"/>
    <n v="122713"/>
    <m/>
    <m/>
    <m/>
    <m/>
    <n v="26"/>
    <n v="92922"/>
    <n v="25.3"/>
    <n v="113349"/>
    <n v="26"/>
    <n v="1215"/>
    <n v="0"/>
    <m/>
    <n v="26"/>
    <n v="3037"/>
    <n v="25.3"/>
    <n v="3704"/>
    <n v="26"/>
    <n v="7288"/>
    <n v="25.3"/>
    <n v="1778"/>
    <m/>
    <m/>
    <m/>
    <m/>
    <n v="26"/>
    <n v="4980"/>
    <n v="25.3"/>
    <n v="5673"/>
    <n v="26"/>
    <n v="355522"/>
    <n v="25.3"/>
    <n v="425019"/>
  </r>
  <r>
    <x v="8"/>
    <s v="Holmes Community College "/>
    <s v="Met the criteria for Two-Year 1 in 2010-11."/>
    <n v="175810"/>
    <x v="7"/>
    <n v="142"/>
    <n v="928035"/>
    <n v="138"/>
    <n v="913850"/>
    <n v="142"/>
    <n v="603219"/>
    <n v="138"/>
    <n v="512527"/>
    <m/>
    <m/>
    <m/>
    <m/>
    <n v="142"/>
    <n v="601185"/>
    <n v="138"/>
    <n v="582579"/>
    <n v="142"/>
    <n v="7859"/>
    <n v="138"/>
    <n v="31050"/>
    <n v="142"/>
    <n v="19647"/>
    <n v="138"/>
    <n v="19039"/>
    <n v="142"/>
    <n v="48723"/>
    <n v="138"/>
    <n v="62100"/>
    <m/>
    <m/>
    <m/>
    <m/>
    <m/>
    <m/>
    <n v="138"/>
    <n v="34156"/>
    <n v="142"/>
    <n v="2208668"/>
    <n v="138"/>
    <n v="2155301"/>
    <n v="30"/>
    <n v="151017"/>
    <n v="27"/>
    <n v="171565"/>
    <n v="30"/>
    <n v="111611"/>
    <n v="27"/>
    <n v="96221"/>
    <m/>
    <m/>
    <m/>
    <m/>
    <n v="30"/>
    <n v="102011"/>
    <n v="27"/>
    <n v="109373"/>
    <n v="30"/>
    <n v="1333"/>
    <n v="27"/>
    <n v="5829"/>
    <n v="30"/>
    <n v="3334"/>
    <n v="27"/>
    <n v="3574"/>
    <n v="30"/>
    <n v="5467"/>
    <n v="27"/>
    <n v="11659"/>
    <m/>
    <m/>
    <m/>
    <m/>
    <m/>
    <m/>
    <n v="27"/>
    <n v="6412"/>
    <n v="30"/>
    <n v="374773"/>
    <n v="27"/>
    <n v="404633"/>
  </r>
  <r>
    <x v="8"/>
    <s v="Itawamba Community College "/>
    <s v="Reclassified: Met criteria for Two-Year 1 2008-09, 2009-10 and 2010-11."/>
    <n v="175829"/>
    <x v="6"/>
    <n v="139"/>
    <n v="916215"/>
    <n v="145"/>
    <n v="1002576"/>
    <n v="139"/>
    <n v="591285"/>
    <n v="145"/>
    <n v="530984"/>
    <m/>
    <m/>
    <m/>
    <m/>
    <n v="139"/>
    <n v="593012"/>
    <n v="145"/>
    <n v="639142"/>
    <n v="139"/>
    <n v="7752"/>
    <n v="145"/>
    <m/>
    <n v="139"/>
    <n v="19379"/>
    <n v="145"/>
    <n v="20887"/>
    <n v="139"/>
    <n v="48061"/>
    <n v="145"/>
    <n v="62661"/>
    <m/>
    <m/>
    <m/>
    <m/>
    <m/>
    <m/>
    <m/>
    <m/>
    <n v="139"/>
    <n v="2175704"/>
    <n v="145"/>
    <n v="2256250"/>
    <n v="63"/>
    <n v="434140"/>
    <n v="62"/>
    <n v="542026"/>
    <n v="63"/>
    <n v="269872"/>
    <n v="62"/>
    <n v="287068"/>
    <m/>
    <m/>
    <m/>
    <m/>
    <n v="63"/>
    <n v="278804"/>
    <n v="62"/>
    <n v="345542"/>
    <n v="63"/>
    <n v="3644"/>
    <n v="0"/>
    <n v="0"/>
    <n v="63"/>
    <n v="9111"/>
    <n v="62"/>
    <n v="11292"/>
    <n v="63"/>
    <n v="27334"/>
    <n v="62"/>
    <n v="33877"/>
    <m/>
    <m/>
    <m/>
    <m/>
    <m/>
    <m/>
    <n v="0"/>
    <m/>
    <n v="63"/>
    <n v="1022905"/>
    <n v="62"/>
    <n v="1219805"/>
  </r>
  <r>
    <x v="8"/>
    <s v="Jones County Junior College "/>
    <s v="Met the criteria for Two-Year 1 in 2010-11."/>
    <n v="175883"/>
    <x v="7"/>
    <n v="131"/>
    <n v="946338"/>
    <n v="123.5"/>
    <n v="783944"/>
    <n v="131"/>
    <n v="667492"/>
    <n v="123.5"/>
    <n v="619049"/>
    <m/>
    <m/>
    <m/>
    <m/>
    <n v="131"/>
    <n v="533344"/>
    <n v="123.5"/>
    <n v="499764"/>
    <n v="131"/>
    <n v="6972"/>
    <n v="123.5"/>
    <m/>
    <n v="131"/>
    <n v="17430"/>
    <n v="123.5"/>
    <n v="16332"/>
    <n v="131"/>
    <n v="43225"/>
    <n v="123.5"/>
    <n v="39530"/>
    <m/>
    <m/>
    <m/>
    <m/>
    <m/>
    <m/>
    <m/>
    <m/>
    <n v="131"/>
    <n v="2214801"/>
    <n v="123.5"/>
    <n v="1958619"/>
    <n v="34"/>
    <n v="204611"/>
    <n v="19"/>
    <n v="133428"/>
    <n v="34"/>
    <n v="169981"/>
    <n v="19"/>
    <n v="105362"/>
    <m/>
    <m/>
    <m/>
    <m/>
    <n v="34"/>
    <n v="124065"/>
    <n v="19"/>
    <n v="85060"/>
    <n v="34"/>
    <n v="1622"/>
    <n v="0"/>
    <m/>
    <n v="34"/>
    <n v="4054"/>
    <n v="19"/>
    <n v="2780"/>
    <n v="34"/>
    <n v="10866"/>
    <n v="19"/>
    <n v="6728"/>
    <m/>
    <m/>
    <m/>
    <m/>
    <m/>
    <m/>
    <n v="0"/>
    <m/>
    <n v="34"/>
    <n v="515199"/>
    <n v="19"/>
    <n v="333358"/>
  </r>
  <r>
    <x v="8"/>
    <s v="Meridian Community College "/>
    <m/>
    <n v="175935"/>
    <x v="7"/>
    <n v="93"/>
    <n v="440794"/>
    <n v="92"/>
    <n v="485973"/>
    <n v="93"/>
    <n v="362876"/>
    <n v="92"/>
    <n v="326264"/>
    <m/>
    <m/>
    <m/>
    <m/>
    <n v="93"/>
    <n v="305879"/>
    <n v="92"/>
    <n v="309808"/>
    <n v="93"/>
    <n v="3998"/>
    <n v="92"/>
    <m/>
    <n v="93"/>
    <n v="9996"/>
    <n v="92"/>
    <n v="10124"/>
    <n v="93"/>
    <n v="23990"/>
    <n v="92"/>
    <n v="25271"/>
    <m/>
    <m/>
    <m/>
    <m/>
    <m/>
    <m/>
    <m/>
    <m/>
    <n v="93"/>
    <n v="1147533"/>
    <n v="92"/>
    <n v="1157440"/>
    <n v="62"/>
    <n v="260051"/>
    <n v="63"/>
    <n v="357838"/>
    <n v="62"/>
    <n v="238584"/>
    <n v="63"/>
    <n v="240239"/>
    <m/>
    <m/>
    <m/>
    <m/>
    <n v="62"/>
    <n v="189782"/>
    <n v="63"/>
    <n v="228122"/>
    <n v="62"/>
    <n v="2481"/>
    <n v="0"/>
    <m/>
    <n v="62"/>
    <n v="6202"/>
    <n v="63"/>
    <n v="7455"/>
    <n v="62"/>
    <n v="14885"/>
    <n v="63"/>
    <n v="18608"/>
    <m/>
    <m/>
    <m/>
    <m/>
    <m/>
    <m/>
    <n v="0"/>
    <m/>
    <n v="62"/>
    <n v="711985"/>
    <n v="63"/>
    <n v="852262"/>
  </r>
  <r>
    <x v="8"/>
    <s v="Mississippi Delta Community College "/>
    <m/>
    <n v="176008"/>
    <x v="7"/>
    <n v="109"/>
    <n v="597152"/>
    <n v="113"/>
    <n v="681302"/>
    <n v="109"/>
    <n v="451613"/>
    <n v="113"/>
    <n v="476490"/>
    <m/>
    <m/>
    <m/>
    <m/>
    <n v="109"/>
    <n v="403634"/>
    <n v="113"/>
    <n v="434330"/>
    <n v="109"/>
    <n v="5276"/>
    <n v="113"/>
    <m/>
    <n v="109"/>
    <n v="13191"/>
    <n v="113"/>
    <n v="14194"/>
    <n v="109"/>
    <n v="26909"/>
    <n v="113"/>
    <n v="39334"/>
    <m/>
    <m/>
    <m/>
    <m/>
    <m/>
    <m/>
    <n v="113"/>
    <n v="4961"/>
    <n v="109"/>
    <n v="1497775"/>
    <n v="113"/>
    <n v="1650611"/>
    <n v="9"/>
    <n v="41555"/>
    <n v="4"/>
    <n v="19877"/>
    <n v="9"/>
    <n v="34596"/>
    <n v="4"/>
    <n v="13902"/>
    <m/>
    <m/>
    <m/>
    <m/>
    <n v="9"/>
    <n v="29308"/>
    <n v="4"/>
    <n v="12672"/>
    <n v="9"/>
    <n v="383"/>
    <n v="0"/>
    <m/>
    <n v="9"/>
    <n v="958"/>
    <n v="4"/>
    <n v="414"/>
    <n v="9"/>
    <n v="1954"/>
    <n v="4"/>
    <n v="1148"/>
    <m/>
    <m/>
    <m/>
    <m/>
    <m/>
    <m/>
    <n v="4"/>
    <n v="145"/>
    <n v="9"/>
    <n v="108754"/>
    <n v="4"/>
    <n v="48158"/>
  </r>
  <r>
    <x v="8"/>
    <s v="Northeast Mississippi Community College "/>
    <m/>
    <n v="176169"/>
    <x v="7"/>
    <n v="106"/>
    <n v="607177"/>
    <n v="103"/>
    <n v="642198"/>
    <n v="106"/>
    <n v="400773"/>
    <n v="103"/>
    <n v="359397"/>
    <m/>
    <m/>
    <m/>
    <m/>
    <n v="106"/>
    <n v="418951"/>
    <n v="103"/>
    <n v="409401"/>
    <n v="106"/>
    <n v="5476"/>
    <n v="103"/>
    <m/>
    <n v="106"/>
    <n v="13691"/>
    <n v="103"/>
    <n v="13379"/>
    <n v="106"/>
    <n v="33954"/>
    <n v="103"/>
    <n v="35249"/>
    <m/>
    <m/>
    <m/>
    <m/>
    <m/>
    <m/>
    <m/>
    <m/>
    <n v="106"/>
    <n v="1480022"/>
    <n v="103"/>
    <n v="1459624"/>
    <n v="23"/>
    <n v="133455"/>
    <n v="22"/>
    <n v="166105"/>
    <n v="23"/>
    <n v="81636"/>
    <n v="22"/>
    <n v="92959"/>
    <m/>
    <m/>
    <m/>
    <m/>
    <n v="23"/>
    <n v="89305"/>
    <n v="22"/>
    <n v="105892"/>
    <n v="23"/>
    <n v="1167"/>
    <n v="0"/>
    <m/>
    <n v="23"/>
    <n v="2918"/>
    <n v="22"/>
    <n v="3461"/>
    <n v="23"/>
    <n v="7004"/>
    <n v="22"/>
    <n v="9117"/>
    <m/>
    <m/>
    <m/>
    <m/>
    <m/>
    <m/>
    <n v="0"/>
    <m/>
    <n v="23"/>
    <n v="315485"/>
    <n v="22"/>
    <n v="377534"/>
  </r>
  <r>
    <x v="8"/>
    <s v="Pearl River Community College "/>
    <m/>
    <n v="176239"/>
    <x v="7"/>
    <n v="187"/>
    <n v="1261655"/>
    <n v="183"/>
    <n v="1244855"/>
    <n v="187"/>
    <n v="761445"/>
    <n v="183"/>
    <n v="814955"/>
    <m/>
    <m/>
    <m/>
    <m/>
    <n v="187"/>
    <n v="804305"/>
    <n v="183"/>
    <n v="793595"/>
    <n v="187"/>
    <n v="10514"/>
    <n v="183"/>
    <n v="13306"/>
    <n v="187"/>
    <n v="26284"/>
    <n v="183"/>
    <n v="25934"/>
    <n v="187"/>
    <n v="41004"/>
    <n v="183"/>
    <n v="39919"/>
    <m/>
    <m/>
    <m/>
    <m/>
    <m/>
    <m/>
    <m/>
    <m/>
    <n v="187"/>
    <n v="2905207"/>
    <n v="183"/>
    <n v="2932564"/>
    <n v="0"/>
    <n v="0"/>
    <n v="0"/>
    <n v="0"/>
    <n v="0"/>
    <m/>
    <n v="0"/>
    <n v="0"/>
    <m/>
    <m/>
    <m/>
    <m/>
    <n v="0"/>
    <m/>
    <n v="0"/>
    <n v="0"/>
    <n v="0"/>
    <m/>
    <n v="0"/>
    <m/>
    <n v="0"/>
    <m/>
    <n v="0"/>
    <n v="0"/>
    <n v="0"/>
    <m/>
    <n v="0"/>
    <n v="0"/>
    <m/>
    <m/>
    <m/>
    <m/>
    <m/>
    <m/>
    <n v="0"/>
    <m/>
    <n v="0"/>
    <n v="0"/>
    <n v="0"/>
    <n v="0"/>
  </r>
  <r>
    <x v="8"/>
    <s v="Coahoma Community College "/>
    <s v="Met the criteria for Two-Year 2 in 2010-11."/>
    <n v="175519"/>
    <x v="8"/>
    <n v="52"/>
    <n v="289565"/>
    <n v="53"/>
    <n v="285039"/>
    <n v="52"/>
    <n v="225264"/>
    <n v="53"/>
    <n v="237792"/>
    <m/>
    <m/>
    <m/>
    <m/>
    <n v="52"/>
    <n v="185906"/>
    <n v="53"/>
    <n v="181713"/>
    <n v="52"/>
    <n v="2430"/>
    <n v="53"/>
    <n v="8235"/>
    <n v="52"/>
    <n v="6075"/>
    <n v="53"/>
    <n v="5938"/>
    <n v="52"/>
    <n v="15067"/>
    <n v="53"/>
    <n v="17639"/>
    <m/>
    <m/>
    <m/>
    <m/>
    <m/>
    <m/>
    <m/>
    <m/>
    <n v="52"/>
    <n v="724307"/>
    <n v="53"/>
    <n v="736356"/>
    <n v="22"/>
    <n v="59782"/>
    <n v="21"/>
    <n v="97366"/>
    <n v="22"/>
    <n v="77666"/>
    <n v="21"/>
    <n v="81227"/>
    <m/>
    <m/>
    <m/>
    <m/>
    <n v="22"/>
    <n v="49586"/>
    <n v="21"/>
    <n v="62071"/>
    <n v="22"/>
    <n v="648"/>
    <n v="21"/>
    <n v="2813"/>
    <n v="22"/>
    <n v="1620"/>
    <n v="21"/>
    <n v="2028"/>
    <n v="22"/>
    <n v="3889"/>
    <n v="21"/>
    <n v="6025"/>
    <m/>
    <m/>
    <m/>
    <m/>
    <m/>
    <m/>
    <n v="0"/>
    <m/>
    <n v="22"/>
    <n v="193191"/>
    <n v="21"/>
    <n v="251530"/>
  </r>
  <r>
    <x v="8"/>
    <s v="Southwest Mississippi Community College  "/>
    <m/>
    <n v="176354"/>
    <x v="8"/>
    <n v="65"/>
    <n v="434792"/>
    <n v="59"/>
    <n v="392377"/>
    <n v="65"/>
    <n v="286691"/>
    <n v="59"/>
    <n v="242801"/>
    <m/>
    <m/>
    <m/>
    <m/>
    <n v="65"/>
    <n v="273993"/>
    <n v="59"/>
    <n v="250140"/>
    <n v="65"/>
    <n v="3582"/>
    <n v="59"/>
    <n v="2555"/>
    <n v="65"/>
    <n v="8954"/>
    <n v="59"/>
    <n v="8175"/>
    <n v="65"/>
    <n v="22206"/>
    <n v="59"/>
    <n v="8670"/>
    <m/>
    <m/>
    <m/>
    <m/>
    <m/>
    <m/>
    <m/>
    <m/>
    <n v="65"/>
    <n v="1030218"/>
    <n v="59"/>
    <n v="904718"/>
    <n v="7"/>
    <n v="24200"/>
    <n v="12"/>
    <n v="61011"/>
    <n v="7"/>
    <n v="25645"/>
    <n v="12"/>
    <n v="37753"/>
    <m/>
    <m/>
    <m/>
    <m/>
    <n v="7"/>
    <n v="18615"/>
    <n v="12"/>
    <n v="38895"/>
    <n v="7"/>
    <n v="243"/>
    <n v="12"/>
    <n v="397"/>
    <n v="7"/>
    <n v="608"/>
    <n v="12"/>
    <n v="1271"/>
    <n v="7"/>
    <n v="681"/>
    <n v="12"/>
    <n v="1348"/>
    <m/>
    <m/>
    <m/>
    <m/>
    <m/>
    <m/>
    <n v="0"/>
    <m/>
    <n v="7"/>
    <n v="69992"/>
    <n v="12"/>
    <n v="140675"/>
  </r>
  <r>
    <x v="9"/>
    <s v="North Carolina State University "/>
    <m/>
    <n v="199193"/>
    <x v="0"/>
    <n v="1773"/>
    <n v="16946515"/>
    <n v="1755"/>
    <n v="18148498"/>
    <n v="1773"/>
    <n v="8026371"/>
    <n v="1755"/>
    <n v="8652150"/>
    <n v="1773"/>
    <n v="812431"/>
    <n v="1755"/>
    <n v="808046"/>
    <n v="1773"/>
    <n v="11124234"/>
    <n v="1755"/>
    <n v="11168270"/>
    <n v="1773"/>
    <n v="140649"/>
    <n v="1755"/>
    <n v="139883"/>
    <n v="366"/>
    <n v="46177"/>
    <n v="369"/>
    <n v="46448"/>
    <n v="1773"/>
    <n v="1359416"/>
    <n v="1755"/>
    <n v="1351966"/>
    <m/>
    <m/>
    <m/>
    <m/>
    <m/>
    <m/>
    <m/>
    <m/>
    <n v="1773"/>
    <n v="38455793"/>
    <n v="1755"/>
    <n v="40315261"/>
    <m/>
    <m/>
    <m/>
    <m/>
    <m/>
    <m/>
    <m/>
    <m/>
    <m/>
    <m/>
    <m/>
    <m/>
    <m/>
    <m/>
    <m/>
    <m/>
    <m/>
    <m/>
    <m/>
    <m/>
    <m/>
    <m/>
    <m/>
    <m/>
    <m/>
    <m/>
    <m/>
    <m/>
    <m/>
    <m/>
    <m/>
    <m/>
    <m/>
    <m/>
    <m/>
    <m/>
    <n v="0"/>
    <n v="0"/>
    <n v="0"/>
    <n v="0"/>
  </r>
  <r>
    <x v="9"/>
    <s v="University of North Carolina at Chapel Hill "/>
    <m/>
    <n v="199120"/>
    <x v="0"/>
    <n v="1628"/>
    <n v="18591061"/>
    <n v="1671"/>
    <n v="20489328"/>
    <n v="1628"/>
    <n v="7369956"/>
    <n v="1671"/>
    <n v="8238030"/>
    <n v="1628"/>
    <n v="887839"/>
    <n v="1671"/>
    <n v="910956"/>
    <n v="1628"/>
    <n v="11155535"/>
    <n v="1671"/>
    <n v="11619512"/>
    <n v="1628"/>
    <n v="154620"/>
    <n v="1671"/>
    <n v="158494"/>
    <n v="310"/>
    <n v="47039"/>
    <n v="336"/>
    <n v="50874"/>
    <n v="1628"/>
    <n v="1494110"/>
    <n v="1671"/>
    <n v="1531681"/>
    <m/>
    <m/>
    <m/>
    <m/>
    <m/>
    <m/>
    <m/>
    <m/>
    <n v="1628"/>
    <n v="39700160"/>
    <n v="1671"/>
    <n v="42998875"/>
    <m/>
    <m/>
    <m/>
    <m/>
    <m/>
    <m/>
    <m/>
    <m/>
    <m/>
    <m/>
    <m/>
    <m/>
    <m/>
    <m/>
    <m/>
    <m/>
    <m/>
    <m/>
    <m/>
    <m/>
    <m/>
    <m/>
    <m/>
    <m/>
    <m/>
    <m/>
    <m/>
    <m/>
    <m/>
    <m/>
    <m/>
    <m/>
    <m/>
    <m/>
    <m/>
    <m/>
    <n v="0"/>
    <n v="0"/>
    <n v="0"/>
    <n v="0"/>
  </r>
  <r>
    <x v="9"/>
    <s v="University of North Carolina at Charlotte"/>
    <m/>
    <n v="199139"/>
    <x v="1"/>
    <n v="953"/>
    <n v="7893303"/>
    <n v="949"/>
    <n v="8501614"/>
    <n v="953"/>
    <n v="4314231"/>
    <n v="949"/>
    <n v="4678570"/>
    <n v="953"/>
    <n v="383195"/>
    <n v="949"/>
    <n v="384505"/>
    <n v="953"/>
    <n v="5385383"/>
    <n v="949"/>
    <n v="5417780"/>
    <n v="953"/>
    <n v="66384"/>
    <n v="949"/>
    <n v="66612"/>
    <n v="231"/>
    <n v="26596"/>
    <n v="254"/>
    <n v="29002"/>
    <n v="953"/>
    <n v="641487"/>
    <n v="949"/>
    <n v="643635"/>
    <m/>
    <m/>
    <m/>
    <m/>
    <m/>
    <m/>
    <m/>
    <m/>
    <n v="953"/>
    <n v="18710579"/>
    <n v="949"/>
    <n v="19721718"/>
    <m/>
    <m/>
    <m/>
    <m/>
    <m/>
    <m/>
    <m/>
    <m/>
    <m/>
    <m/>
    <m/>
    <m/>
    <m/>
    <m/>
    <m/>
    <m/>
    <m/>
    <m/>
    <m/>
    <m/>
    <m/>
    <m/>
    <m/>
    <m/>
    <m/>
    <m/>
    <m/>
    <m/>
    <m/>
    <m/>
    <m/>
    <m/>
    <m/>
    <m/>
    <m/>
    <m/>
    <n v="0"/>
    <n v="0"/>
    <n v="0"/>
    <n v="0"/>
  </r>
  <r>
    <x v="9"/>
    <s v="University of North Carolina at Greensboro"/>
    <s v="Met the criteria for Four-Year 1 in 2009-10 and 2010-11."/>
    <n v="199148"/>
    <x v="1"/>
    <n v="788"/>
    <n v="6391668"/>
    <n v="839"/>
    <n v="7234398"/>
    <n v="788"/>
    <n v="3567276"/>
    <n v="839"/>
    <n v="4136270"/>
    <n v="788"/>
    <n v="303215"/>
    <n v="839"/>
    <n v="319789"/>
    <n v="788"/>
    <n v="4285315"/>
    <n v="839"/>
    <n v="4551543"/>
    <n v="788"/>
    <n v="52504"/>
    <n v="839"/>
    <n v="55372"/>
    <n v="139"/>
    <n v="13996"/>
    <n v="157"/>
    <n v="15685"/>
    <n v="788"/>
    <n v="507304"/>
    <n v="839"/>
    <n v="535039"/>
    <m/>
    <m/>
    <m/>
    <m/>
    <m/>
    <m/>
    <m/>
    <m/>
    <n v="788"/>
    <n v="15121278"/>
    <n v="839"/>
    <n v="16848096"/>
    <m/>
    <m/>
    <m/>
    <m/>
    <m/>
    <m/>
    <m/>
    <m/>
    <m/>
    <m/>
    <m/>
    <m/>
    <m/>
    <m/>
    <m/>
    <m/>
    <m/>
    <m/>
    <m/>
    <m/>
    <m/>
    <m/>
    <m/>
    <m/>
    <m/>
    <m/>
    <m/>
    <m/>
    <m/>
    <m/>
    <m/>
    <m/>
    <m/>
    <m/>
    <m/>
    <m/>
    <n v="0"/>
    <n v="0"/>
    <n v="0"/>
    <n v="0"/>
  </r>
  <r>
    <x v="9"/>
    <s v="Appalachian State University "/>
    <m/>
    <n v="197869"/>
    <x v="2"/>
    <n v="824"/>
    <n v="6201688"/>
    <n v="862"/>
    <n v="6881965"/>
    <n v="824"/>
    <n v="3730248"/>
    <n v="862"/>
    <n v="4249660"/>
    <n v="824"/>
    <n v="299185"/>
    <n v="862"/>
    <n v="307667"/>
    <n v="824"/>
    <n v="4330292"/>
    <n v="862"/>
    <n v="4473668"/>
    <n v="824"/>
    <n v="51800"/>
    <n v="862"/>
    <n v="53267"/>
    <n v="186"/>
    <n v="18885"/>
    <n v="196"/>
    <n v="19133"/>
    <n v="824"/>
    <n v="500573"/>
    <n v="862"/>
    <n v="514770"/>
    <m/>
    <m/>
    <m/>
    <m/>
    <m/>
    <m/>
    <m/>
    <m/>
    <n v="824"/>
    <n v="15132671"/>
    <n v="862"/>
    <n v="16500130"/>
    <m/>
    <m/>
    <m/>
    <m/>
    <m/>
    <m/>
    <m/>
    <m/>
    <m/>
    <m/>
    <m/>
    <m/>
    <m/>
    <m/>
    <m/>
    <m/>
    <m/>
    <m/>
    <m/>
    <m/>
    <m/>
    <m/>
    <m/>
    <m/>
    <m/>
    <m/>
    <m/>
    <m/>
    <m/>
    <m/>
    <m/>
    <m/>
    <m/>
    <m/>
    <m/>
    <m/>
    <n v="0"/>
    <n v="0"/>
    <n v="0"/>
    <n v="0"/>
  </r>
  <r>
    <x v="9"/>
    <s v="East Carolina University "/>
    <s v="Met the criteria for Four-Year 2 in 2010-11."/>
    <n v="198464"/>
    <x v="2"/>
    <n v="1234"/>
    <n v="9185146"/>
    <n v="1246"/>
    <n v="10043712"/>
    <n v="1234"/>
    <n v="5586318"/>
    <n v="1246"/>
    <n v="6142780"/>
    <n v="1234"/>
    <n v="451494"/>
    <n v="1246"/>
    <n v="455495"/>
    <n v="1234"/>
    <n v="6524060"/>
    <n v="1246"/>
    <n v="6604924"/>
    <n v="1234"/>
    <n v="78150"/>
    <n v="1246"/>
    <n v="78843"/>
    <n v="362"/>
    <n v="36881"/>
    <n v="351"/>
    <n v="35796"/>
    <n v="1234"/>
    <n v="755399"/>
    <n v="1246"/>
    <n v="762103"/>
    <m/>
    <m/>
    <m/>
    <m/>
    <m/>
    <m/>
    <m/>
    <m/>
    <n v="1234"/>
    <n v="22617448"/>
    <n v="1246"/>
    <n v="24123653"/>
    <m/>
    <m/>
    <m/>
    <m/>
    <m/>
    <m/>
    <m/>
    <m/>
    <m/>
    <m/>
    <m/>
    <m/>
    <m/>
    <m/>
    <m/>
    <m/>
    <m/>
    <m/>
    <m/>
    <m/>
    <m/>
    <m/>
    <m/>
    <m/>
    <m/>
    <m/>
    <m/>
    <m/>
    <m/>
    <m/>
    <m/>
    <m/>
    <m/>
    <m/>
    <m/>
    <m/>
    <n v="0"/>
    <n v="0"/>
    <n v="0"/>
    <n v="0"/>
  </r>
  <r>
    <x v="9"/>
    <s v="North Carolina A&amp;T State University"/>
    <m/>
    <n v="199102"/>
    <x v="2"/>
    <n v="522"/>
    <n v="3848769"/>
    <n v="519"/>
    <n v="4195099"/>
    <n v="522"/>
    <n v="2363094"/>
    <n v="519"/>
    <n v="2558670"/>
    <n v="522"/>
    <n v="196551"/>
    <n v="519"/>
    <n v="196681"/>
    <n v="522"/>
    <n v="2853331"/>
    <n v="519"/>
    <n v="2864424"/>
    <n v="522"/>
    <n v="34022"/>
    <n v="519"/>
    <n v="34054"/>
    <n v="209"/>
    <n v="23274"/>
    <n v="209"/>
    <n v="22737"/>
    <n v="522"/>
    <n v="328846"/>
    <n v="519"/>
    <n v="329059"/>
    <m/>
    <m/>
    <m/>
    <m/>
    <m/>
    <m/>
    <m/>
    <m/>
    <n v="522"/>
    <n v="9647887"/>
    <n v="519"/>
    <n v="10200724"/>
    <m/>
    <m/>
    <m/>
    <m/>
    <m/>
    <m/>
    <m/>
    <m/>
    <m/>
    <m/>
    <m/>
    <m/>
    <m/>
    <m/>
    <m/>
    <m/>
    <m/>
    <m/>
    <m/>
    <m/>
    <m/>
    <m/>
    <m/>
    <m/>
    <m/>
    <m/>
    <m/>
    <m/>
    <m/>
    <m/>
    <m/>
    <m/>
    <m/>
    <m/>
    <m/>
    <m/>
    <n v="0"/>
    <n v="0"/>
    <n v="0"/>
    <n v="0"/>
  </r>
  <r>
    <x v="9"/>
    <s v="North Carolina Central University "/>
    <m/>
    <n v="199157"/>
    <x v="2"/>
    <n v="369"/>
    <n v="2901665"/>
    <n v="412"/>
    <n v="3394147"/>
    <n v="369"/>
    <n v="1670463"/>
    <n v="412"/>
    <n v="2031160"/>
    <n v="369"/>
    <n v="140626"/>
    <n v="412"/>
    <n v="153266"/>
    <n v="369"/>
    <n v="2025140"/>
    <n v="412"/>
    <n v="2211960"/>
    <n v="369"/>
    <n v="24342"/>
    <n v="412"/>
    <n v="26532"/>
    <n v="75"/>
    <n v="9526"/>
    <n v="95"/>
    <n v="11301"/>
    <n v="369"/>
    <n v="235296"/>
    <n v="412"/>
    <n v="256444"/>
    <m/>
    <m/>
    <m/>
    <m/>
    <m/>
    <m/>
    <m/>
    <m/>
    <n v="369"/>
    <n v="7007058"/>
    <n v="412"/>
    <n v="8084810"/>
    <m/>
    <m/>
    <m/>
    <m/>
    <m/>
    <m/>
    <m/>
    <m/>
    <m/>
    <m/>
    <m/>
    <m/>
    <m/>
    <m/>
    <m/>
    <m/>
    <m/>
    <m/>
    <m/>
    <m/>
    <m/>
    <m/>
    <m/>
    <m/>
    <m/>
    <m/>
    <m/>
    <m/>
    <m/>
    <m/>
    <m/>
    <m/>
    <m/>
    <m/>
    <m/>
    <m/>
    <n v="0"/>
    <n v="0"/>
    <n v="0"/>
    <n v="0"/>
  </r>
  <r>
    <x v="9"/>
    <s v="University of North Carolina at Wilmington"/>
    <m/>
    <n v="199218"/>
    <x v="2"/>
    <n v="617"/>
    <n v="4741150"/>
    <n v="617"/>
    <n v="5119534"/>
    <n v="617"/>
    <n v="2793159"/>
    <n v="617"/>
    <n v="3041810"/>
    <n v="617"/>
    <n v="230195"/>
    <n v="617"/>
    <n v="230430"/>
    <n v="617"/>
    <n v="3317539"/>
    <n v="617"/>
    <n v="3341294"/>
    <n v="617"/>
    <n v="39849"/>
    <n v="617"/>
    <n v="39888"/>
    <n v="152"/>
    <n v="15999"/>
    <n v="154"/>
    <n v="16125"/>
    <n v="617"/>
    <n v="385131"/>
    <n v="617"/>
    <n v="385534"/>
    <m/>
    <m/>
    <m/>
    <m/>
    <m/>
    <m/>
    <m/>
    <m/>
    <n v="617"/>
    <n v="11523022"/>
    <n v="617"/>
    <n v="12174615"/>
    <m/>
    <m/>
    <m/>
    <m/>
    <m/>
    <m/>
    <m/>
    <m/>
    <m/>
    <m/>
    <m/>
    <m/>
    <m/>
    <m/>
    <m/>
    <m/>
    <m/>
    <m/>
    <m/>
    <m/>
    <m/>
    <m/>
    <m/>
    <m/>
    <m/>
    <m/>
    <m/>
    <m/>
    <m/>
    <m/>
    <m/>
    <m/>
    <m/>
    <m/>
    <m/>
    <m/>
    <n v="0"/>
    <n v="0"/>
    <n v="0"/>
    <n v="0"/>
  </r>
  <r>
    <x v="9"/>
    <s v="Western Carolina University "/>
    <m/>
    <n v="200004"/>
    <x v="2"/>
    <n v="460"/>
    <n v="3320303"/>
    <n v="451"/>
    <n v="3498027"/>
    <n v="460"/>
    <n v="2082420"/>
    <n v="451"/>
    <n v="2223430"/>
    <n v="460"/>
    <n v="162553"/>
    <n v="451"/>
    <n v="158880"/>
    <n v="460"/>
    <n v="2366893"/>
    <n v="451"/>
    <n v="2320969"/>
    <n v="460"/>
    <n v="28141"/>
    <n v="451"/>
    <n v="27511"/>
    <n v="122"/>
    <n v="12632"/>
    <n v="121"/>
    <n v="12751"/>
    <n v="460"/>
    <n v="271965"/>
    <n v="451"/>
    <n v="265817"/>
    <m/>
    <m/>
    <m/>
    <m/>
    <m/>
    <m/>
    <m/>
    <m/>
    <n v="460"/>
    <n v="8244907"/>
    <n v="451"/>
    <n v="8507385"/>
    <m/>
    <m/>
    <m/>
    <m/>
    <m/>
    <m/>
    <m/>
    <m/>
    <m/>
    <m/>
    <m/>
    <m/>
    <m/>
    <m/>
    <m/>
    <m/>
    <m/>
    <m/>
    <m/>
    <m/>
    <m/>
    <m/>
    <m/>
    <m/>
    <m/>
    <m/>
    <m/>
    <m/>
    <m/>
    <m/>
    <m/>
    <m/>
    <m/>
    <m/>
    <m/>
    <m/>
    <n v="0"/>
    <n v="0"/>
    <n v="0"/>
    <n v="0"/>
  </r>
  <r>
    <x v="9"/>
    <s v="Fayetteville State University "/>
    <s v="Met the criteria for Four-Year 3 in 2010-11."/>
    <n v="198543"/>
    <x v="3"/>
    <n v="287"/>
    <n v="1948596"/>
    <n v="277"/>
    <n v="2072734"/>
    <n v="287"/>
    <n v="1299249"/>
    <n v="277"/>
    <n v="1365610"/>
    <n v="287"/>
    <n v="100986"/>
    <n v="277"/>
    <n v="98965"/>
    <n v="287"/>
    <n v="1477055"/>
    <n v="277"/>
    <n v="1453618"/>
    <n v="287"/>
    <n v="17476"/>
    <n v="277"/>
    <n v="17132"/>
    <n v="129"/>
    <n v="13351"/>
    <n v="124"/>
    <n v="13413"/>
    <n v="287"/>
    <n v="168967"/>
    <n v="277"/>
    <n v="165583"/>
    <m/>
    <m/>
    <m/>
    <m/>
    <m/>
    <m/>
    <m/>
    <m/>
    <n v="287"/>
    <n v="5025680"/>
    <n v="277"/>
    <n v="5187055"/>
    <m/>
    <m/>
    <m/>
    <m/>
    <m/>
    <m/>
    <m/>
    <m/>
    <m/>
    <m/>
    <m/>
    <m/>
    <m/>
    <m/>
    <m/>
    <m/>
    <m/>
    <m/>
    <m/>
    <m/>
    <m/>
    <m/>
    <m/>
    <m/>
    <m/>
    <m/>
    <m/>
    <m/>
    <m/>
    <m/>
    <m/>
    <m/>
    <m/>
    <m/>
    <m/>
    <m/>
    <n v="0"/>
    <n v="0"/>
    <n v="0"/>
    <n v="0"/>
  </r>
  <r>
    <x v="9"/>
    <s v="University of North Carolina at Pembroke"/>
    <m/>
    <n v="199281"/>
    <x v="4"/>
    <n v="293"/>
    <n v="1961180"/>
    <n v="329"/>
    <n v="2343646"/>
    <n v="293"/>
    <n v="1326411"/>
    <n v="329"/>
    <n v="1621970"/>
    <n v="293"/>
    <n v="95176"/>
    <n v="329"/>
    <n v="105877"/>
    <n v="293"/>
    <n v="1390867"/>
    <n v="329"/>
    <n v="1550303"/>
    <n v="293"/>
    <n v="16477"/>
    <n v="329"/>
    <n v="18336"/>
    <n v="68"/>
    <n v="6562"/>
    <n v="83"/>
    <n v="7842"/>
    <n v="293"/>
    <n v="159225"/>
    <n v="329"/>
    <n v="177125"/>
    <m/>
    <m/>
    <m/>
    <m/>
    <m/>
    <m/>
    <m/>
    <m/>
    <n v="293"/>
    <n v="4955898"/>
    <n v="329"/>
    <n v="5825099"/>
    <m/>
    <m/>
    <m/>
    <m/>
    <m/>
    <m/>
    <m/>
    <m/>
    <m/>
    <m/>
    <m/>
    <m/>
    <m/>
    <m/>
    <m/>
    <m/>
    <m/>
    <m/>
    <m/>
    <m/>
    <m/>
    <m/>
    <m/>
    <m/>
    <m/>
    <m/>
    <m/>
    <m/>
    <m/>
    <m/>
    <m/>
    <m/>
    <m/>
    <m/>
    <m/>
    <m/>
    <n v="0"/>
    <n v="0"/>
    <n v="0"/>
    <n v="0"/>
  </r>
  <r>
    <x v="9"/>
    <s v="Winston-Salem State University "/>
    <m/>
    <n v="199999"/>
    <x v="4"/>
    <n v="325"/>
    <n v="1871707"/>
    <n v="343"/>
    <n v="2189345"/>
    <n v="325"/>
    <n v="1471275"/>
    <n v="343"/>
    <n v="1690990"/>
    <n v="325"/>
    <n v="119568"/>
    <n v="343"/>
    <n v="124414"/>
    <n v="325"/>
    <n v="1742067"/>
    <n v="343"/>
    <n v="1822623"/>
    <n v="325"/>
    <n v="20705"/>
    <n v="343"/>
    <n v="21533"/>
    <n v="325"/>
    <n v="36791"/>
    <n v="343"/>
    <n v="38284"/>
    <n v="325"/>
    <n v="200062"/>
    <n v="343"/>
    <n v="208182"/>
    <m/>
    <m/>
    <m/>
    <m/>
    <m/>
    <m/>
    <m/>
    <m/>
    <n v="325"/>
    <n v="5462175"/>
    <n v="343"/>
    <n v="6095371"/>
    <m/>
    <m/>
    <m/>
    <m/>
    <m/>
    <m/>
    <m/>
    <m/>
    <m/>
    <m/>
    <m/>
    <m/>
    <m/>
    <m/>
    <m/>
    <m/>
    <m/>
    <m/>
    <m/>
    <m/>
    <m/>
    <m/>
    <m/>
    <m/>
    <m/>
    <m/>
    <m/>
    <m/>
    <m/>
    <m/>
    <m/>
    <m/>
    <m/>
    <m/>
    <m/>
    <m/>
    <n v="0"/>
    <n v="0"/>
    <n v="0"/>
    <n v="0"/>
  </r>
  <r>
    <x v="9"/>
    <s v="Elizabeth City State University "/>
    <m/>
    <n v="198507"/>
    <x v="5"/>
    <n v="165"/>
    <n v="1054356"/>
    <n v="170"/>
    <n v="1183309"/>
    <n v="165"/>
    <n v="746955"/>
    <n v="170"/>
    <n v="838100"/>
    <n v="165"/>
    <n v="57817"/>
    <n v="170"/>
    <n v="59989"/>
    <n v="165"/>
    <n v="847026"/>
    <n v="170"/>
    <n v="880249"/>
    <n v="165"/>
    <n v="10011"/>
    <n v="170"/>
    <n v="10389"/>
    <n v="100"/>
    <n v="10595"/>
    <n v="111"/>
    <n v="11889"/>
    <n v="165"/>
    <n v="96733"/>
    <n v="170"/>
    <n v="100369"/>
    <m/>
    <m/>
    <m/>
    <m/>
    <m/>
    <m/>
    <m/>
    <m/>
    <n v="165"/>
    <n v="2823493"/>
    <n v="170"/>
    <n v="3084294"/>
    <m/>
    <m/>
    <m/>
    <m/>
    <m/>
    <m/>
    <m/>
    <m/>
    <m/>
    <m/>
    <m/>
    <m/>
    <m/>
    <m/>
    <m/>
    <m/>
    <m/>
    <m/>
    <m/>
    <m/>
    <m/>
    <m/>
    <m/>
    <m/>
    <m/>
    <m/>
    <m/>
    <m/>
    <m/>
    <m/>
    <m/>
    <m/>
    <m/>
    <m/>
    <m/>
    <m/>
    <n v="0"/>
    <n v="0"/>
    <n v="0"/>
    <n v="0"/>
  </r>
  <r>
    <x v="9"/>
    <s v="University of North Carolina at Asheville"/>
    <m/>
    <n v="199111"/>
    <x v="5"/>
    <n v="208"/>
    <n v="1251335"/>
    <n v="217"/>
    <n v="1440139"/>
    <n v="208"/>
    <n v="941616"/>
    <n v="217"/>
    <n v="1069810"/>
    <n v="208"/>
    <n v="73872"/>
    <n v="217"/>
    <n v="76667"/>
    <n v="208"/>
    <n v="1080485"/>
    <n v="217"/>
    <n v="1122298"/>
    <n v="208"/>
    <n v="12793"/>
    <n v="217"/>
    <n v="13277"/>
    <n v="164"/>
    <n v="18153"/>
    <n v="171"/>
    <n v="18900"/>
    <n v="208"/>
    <n v="123583"/>
    <n v="217"/>
    <n v="128250"/>
    <m/>
    <m/>
    <m/>
    <m/>
    <m/>
    <m/>
    <m/>
    <m/>
    <n v="208"/>
    <n v="3501837"/>
    <n v="217"/>
    <n v="3869341"/>
    <m/>
    <m/>
    <m/>
    <m/>
    <m/>
    <m/>
    <m/>
    <m/>
    <m/>
    <m/>
    <m/>
    <m/>
    <m/>
    <m/>
    <m/>
    <m/>
    <m/>
    <m/>
    <m/>
    <m/>
    <m/>
    <m/>
    <m/>
    <m/>
    <m/>
    <m/>
    <m/>
    <m/>
    <m/>
    <m/>
    <m/>
    <m/>
    <m/>
    <m/>
    <m/>
    <m/>
    <n v="0"/>
    <n v="0"/>
    <n v="0"/>
    <n v="0"/>
  </r>
  <r>
    <x v="9"/>
    <s v="Asheville-Buncombe Technical Community College"/>
    <m/>
    <n v="197887"/>
    <x v="6"/>
    <n v="172"/>
    <n v="641858"/>
    <n v="169"/>
    <n v="787791"/>
    <n v="172"/>
    <n v="631367"/>
    <n v="165"/>
    <n v="657189"/>
    <m/>
    <m/>
    <m/>
    <m/>
    <n v="172"/>
    <n v="561168"/>
    <n v="169"/>
    <n v="573416"/>
    <m/>
    <m/>
    <m/>
    <m/>
    <n v="172"/>
    <n v="37576"/>
    <n v="169"/>
    <n v="24648"/>
    <m/>
    <m/>
    <m/>
    <m/>
    <m/>
    <m/>
    <m/>
    <m/>
    <n v="172"/>
    <n v="38700"/>
    <n v="169"/>
    <n v="38025"/>
    <n v="172"/>
    <n v="1910669"/>
    <n v="169"/>
    <n v="2081069"/>
    <m/>
    <m/>
    <m/>
    <m/>
    <m/>
    <m/>
    <m/>
    <m/>
    <m/>
    <m/>
    <m/>
    <m/>
    <m/>
    <m/>
    <m/>
    <m/>
    <m/>
    <m/>
    <m/>
    <m/>
    <m/>
    <m/>
    <m/>
    <m/>
    <m/>
    <m/>
    <m/>
    <m/>
    <m/>
    <m/>
    <m/>
    <m/>
    <m/>
    <m/>
    <m/>
    <m/>
    <n v="0"/>
    <n v="0"/>
    <n v="0"/>
    <n v="0"/>
  </r>
  <r>
    <x v="9"/>
    <s v="Cape Fear Community College"/>
    <m/>
    <n v="198154"/>
    <x v="6"/>
    <n v="253"/>
    <n v="1042292"/>
    <n v="279"/>
    <n v="1416273"/>
    <n v="244"/>
    <n v="1104500"/>
    <n v="270"/>
    <n v="1330992"/>
    <m/>
    <m/>
    <m/>
    <m/>
    <n v="253"/>
    <n v="936475"/>
    <n v="279"/>
    <n v="1033445"/>
    <m/>
    <m/>
    <m/>
    <m/>
    <m/>
    <m/>
    <m/>
    <m/>
    <m/>
    <m/>
    <m/>
    <m/>
    <m/>
    <m/>
    <m/>
    <m/>
    <m/>
    <m/>
    <m/>
    <m/>
    <n v="253"/>
    <n v="3083267"/>
    <n v="279"/>
    <n v="3780710"/>
    <m/>
    <m/>
    <m/>
    <m/>
    <m/>
    <m/>
    <m/>
    <m/>
    <m/>
    <m/>
    <m/>
    <m/>
    <m/>
    <m/>
    <m/>
    <m/>
    <m/>
    <m/>
    <m/>
    <m/>
    <m/>
    <m/>
    <m/>
    <m/>
    <m/>
    <m/>
    <m/>
    <m/>
    <m/>
    <m/>
    <m/>
    <m/>
    <m/>
    <m/>
    <m/>
    <m/>
    <n v="0"/>
    <n v="0"/>
    <n v="0"/>
    <n v="0"/>
  </r>
  <r>
    <x v="9"/>
    <s v="Catawba Valley Community College"/>
    <s v="Reclassified, meets the criteria for Two-Year 2."/>
    <n v="198233"/>
    <x v="7"/>
    <n v="144"/>
    <n v="638995"/>
    <n v="153"/>
    <n v="818156"/>
    <n v="144"/>
    <n v="692513"/>
    <n v="153"/>
    <n v="797430"/>
    <m/>
    <m/>
    <m/>
    <m/>
    <n v="144"/>
    <n v="558664"/>
    <n v="153"/>
    <n v="595519"/>
    <m/>
    <m/>
    <m/>
    <m/>
    <m/>
    <m/>
    <m/>
    <m/>
    <m/>
    <m/>
    <m/>
    <m/>
    <m/>
    <m/>
    <m/>
    <m/>
    <m/>
    <m/>
    <m/>
    <m/>
    <n v="144"/>
    <n v="1890172"/>
    <n v="153"/>
    <n v="2211105"/>
    <m/>
    <m/>
    <m/>
    <m/>
    <m/>
    <m/>
    <m/>
    <m/>
    <m/>
    <m/>
    <m/>
    <m/>
    <m/>
    <m/>
    <m/>
    <m/>
    <m/>
    <m/>
    <m/>
    <m/>
    <m/>
    <m/>
    <m/>
    <m/>
    <m/>
    <m/>
    <m/>
    <m/>
    <m/>
    <m/>
    <m/>
    <m/>
    <m/>
    <m/>
    <m/>
    <m/>
    <n v="0"/>
    <n v="0"/>
    <n v="0"/>
    <n v="0"/>
  </r>
  <r>
    <x v="9"/>
    <s v="Central Carolina Commuity College"/>
    <s v="Reclassified, meets the criteria for Two-Year 2."/>
    <n v="198251"/>
    <x v="7"/>
    <n v="168"/>
    <n v="364957"/>
    <n v="170"/>
    <n v="729429"/>
    <n v="166"/>
    <n v="367754"/>
    <n v="170"/>
    <n v="628524"/>
    <m/>
    <m/>
    <m/>
    <m/>
    <n v="168"/>
    <n v="594371"/>
    <n v="170"/>
    <n v="530935"/>
    <m/>
    <m/>
    <m/>
    <m/>
    <n v="168"/>
    <n v="6190"/>
    <n v="170"/>
    <n v="10342"/>
    <m/>
    <m/>
    <m/>
    <m/>
    <m/>
    <m/>
    <m/>
    <m/>
    <m/>
    <m/>
    <m/>
    <m/>
    <n v="168"/>
    <n v="1333272"/>
    <n v="170"/>
    <n v="1899230"/>
    <m/>
    <m/>
    <m/>
    <m/>
    <m/>
    <m/>
    <m/>
    <m/>
    <m/>
    <m/>
    <m/>
    <m/>
    <m/>
    <m/>
    <m/>
    <m/>
    <m/>
    <m/>
    <m/>
    <m/>
    <m/>
    <m/>
    <m/>
    <m/>
    <m/>
    <m/>
    <m/>
    <m/>
    <m/>
    <m/>
    <m/>
    <m/>
    <m/>
    <m/>
    <m/>
    <m/>
    <n v="0"/>
    <n v="0"/>
    <n v="0"/>
    <n v="0"/>
  </r>
  <r>
    <x v="9"/>
    <s v="Central Piedmont Community College "/>
    <m/>
    <n v="198260"/>
    <x v="6"/>
    <n v="337"/>
    <n v="1696396"/>
    <n v="343"/>
    <n v="2101860"/>
    <n v="337"/>
    <n v="1668919"/>
    <n v="343"/>
    <n v="1836724"/>
    <m/>
    <m/>
    <m/>
    <m/>
    <n v="337"/>
    <n v="1483135"/>
    <n v="343"/>
    <n v="1529898"/>
    <n v="337"/>
    <n v="252036"/>
    <n v="343"/>
    <n v="259983"/>
    <n v="337"/>
    <n v="8897"/>
    <n v="343"/>
    <n v="9057"/>
    <m/>
    <m/>
    <m/>
    <m/>
    <m/>
    <m/>
    <m/>
    <m/>
    <m/>
    <m/>
    <m/>
    <m/>
    <n v="337"/>
    <n v="5109383"/>
    <n v="343"/>
    <n v="5737522"/>
    <m/>
    <m/>
    <m/>
    <m/>
    <m/>
    <m/>
    <m/>
    <m/>
    <m/>
    <m/>
    <m/>
    <m/>
    <m/>
    <m/>
    <m/>
    <m/>
    <m/>
    <m/>
    <m/>
    <m/>
    <m/>
    <m/>
    <m/>
    <m/>
    <m/>
    <m/>
    <m/>
    <m/>
    <m/>
    <m/>
    <m/>
    <m/>
    <m/>
    <m/>
    <m/>
    <m/>
    <n v="0"/>
    <n v="0"/>
    <n v="0"/>
    <n v="0"/>
  </r>
  <r>
    <x v="9"/>
    <s v="Durham Technical Community College"/>
    <s v="Reclassified, meets the criteria for Two-Year 2."/>
    <n v="198455"/>
    <x v="7"/>
    <n v="151"/>
    <n v="625299"/>
    <n v="163"/>
    <n v="554854"/>
    <n v="151"/>
    <n v="737085"/>
    <n v="163"/>
    <n v="870420"/>
    <m/>
    <m/>
    <m/>
    <m/>
    <n v="151"/>
    <n v="613033"/>
    <n v="163"/>
    <n v="656838"/>
    <m/>
    <m/>
    <m/>
    <m/>
    <n v="151"/>
    <n v="30451"/>
    <n v="163"/>
    <n v="24072"/>
    <m/>
    <m/>
    <m/>
    <m/>
    <m/>
    <m/>
    <m/>
    <m/>
    <m/>
    <m/>
    <m/>
    <m/>
    <n v="151"/>
    <n v="2005868"/>
    <n v="163"/>
    <n v="2106184"/>
    <m/>
    <m/>
    <m/>
    <m/>
    <m/>
    <m/>
    <m/>
    <m/>
    <m/>
    <m/>
    <m/>
    <m/>
    <m/>
    <m/>
    <m/>
    <m/>
    <m/>
    <m/>
    <m/>
    <m/>
    <m/>
    <m/>
    <m/>
    <m/>
    <m/>
    <m/>
    <m/>
    <m/>
    <m/>
    <m/>
    <m/>
    <m/>
    <m/>
    <m/>
    <m/>
    <m/>
    <n v="0"/>
    <n v="0"/>
    <n v="0"/>
    <n v="0"/>
  </r>
  <r>
    <x v="9"/>
    <s v="Fayetteville Technical Community College"/>
    <m/>
    <n v="198534"/>
    <x v="6"/>
    <n v="213"/>
    <n v="873636"/>
    <n v="212"/>
    <n v="1056146"/>
    <n v="280"/>
    <n v="1267560"/>
    <n v="289"/>
    <n v="1424770"/>
    <m/>
    <m/>
    <m/>
    <m/>
    <n v="303"/>
    <n v="1053443"/>
    <n v="311"/>
    <n v="1089339"/>
    <m/>
    <m/>
    <m/>
    <m/>
    <m/>
    <m/>
    <m/>
    <m/>
    <m/>
    <m/>
    <m/>
    <m/>
    <m/>
    <m/>
    <m/>
    <m/>
    <m/>
    <m/>
    <m/>
    <m/>
    <n v="303"/>
    <n v="3194639"/>
    <n v="311"/>
    <n v="3570255"/>
    <m/>
    <m/>
    <m/>
    <m/>
    <m/>
    <m/>
    <m/>
    <m/>
    <m/>
    <m/>
    <m/>
    <m/>
    <m/>
    <m/>
    <m/>
    <m/>
    <m/>
    <m/>
    <m/>
    <m/>
    <m/>
    <m/>
    <m/>
    <m/>
    <m/>
    <m/>
    <m/>
    <m/>
    <m/>
    <m/>
    <m/>
    <m/>
    <m/>
    <m/>
    <m/>
    <m/>
    <n v="0"/>
    <n v="0"/>
    <n v="0"/>
    <n v="0"/>
  </r>
  <r>
    <x v="9"/>
    <s v="Forsyth Technical Community College"/>
    <m/>
    <n v="198552"/>
    <x v="6"/>
    <n v="194"/>
    <n v="861360"/>
    <n v="214"/>
    <n v="971008"/>
    <n v="194"/>
    <n v="973686"/>
    <n v="214"/>
    <n v="1139268"/>
    <m/>
    <m/>
    <m/>
    <m/>
    <n v="198"/>
    <n v="781902"/>
    <n v="214"/>
    <n v="704004"/>
    <m/>
    <m/>
    <m/>
    <m/>
    <n v="194"/>
    <n v="25414"/>
    <n v="214"/>
    <n v="28307"/>
    <m/>
    <m/>
    <m/>
    <m/>
    <m/>
    <m/>
    <m/>
    <m/>
    <m/>
    <m/>
    <m/>
    <m/>
    <n v="198"/>
    <n v="2642362"/>
    <n v="214"/>
    <n v="2842587"/>
    <m/>
    <m/>
    <m/>
    <m/>
    <m/>
    <m/>
    <m/>
    <m/>
    <m/>
    <m/>
    <m/>
    <m/>
    <m/>
    <m/>
    <m/>
    <m/>
    <m/>
    <m/>
    <m/>
    <m/>
    <m/>
    <m/>
    <m/>
    <m/>
    <m/>
    <m/>
    <m/>
    <m/>
    <m/>
    <m/>
    <m/>
    <m/>
    <m/>
    <m/>
    <m/>
    <m/>
    <n v="0"/>
    <n v="0"/>
    <n v="0"/>
    <n v="0"/>
  </r>
  <r>
    <x v="9"/>
    <s v="Guilford Technical Community College"/>
    <m/>
    <n v="198622"/>
    <x v="6"/>
    <n v="289"/>
    <n v="1275171"/>
    <n v="324"/>
    <n v="1690060"/>
    <n v="289"/>
    <n v="1401835"/>
    <n v="324"/>
    <n v="1718652"/>
    <m/>
    <m/>
    <m/>
    <m/>
    <n v="289"/>
    <n v="1125163"/>
    <n v="324"/>
    <n v="1230158"/>
    <m/>
    <m/>
    <m/>
    <m/>
    <m/>
    <m/>
    <m/>
    <m/>
    <m/>
    <m/>
    <m/>
    <m/>
    <m/>
    <m/>
    <m/>
    <m/>
    <m/>
    <m/>
    <m/>
    <m/>
    <n v="289"/>
    <n v="3802169"/>
    <n v="324"/>
    <n v="4638870"/>
    <m/>
    <m/>
    <m/>
    <m/>
    <m/>
    <m/>
    <m/>
    <m/>
    <m/>
    <m/>
    <m/>
    <m/>
    <m/>
    <m/>
    <m/>
    <m/>
    <m/>
    <m/>
    <m/>
    <m/>
    <m/>
    <m/>
    <m/>
    <m/>
    <m/>
    <m/>
    <m/>
    <m/>
    <m/>
    <m/>
    <m/>
    <m/>
    <m/>
    <m/>
    <m/>
    <m/>
    <n v="0"/>
    <n v="0"/>
    <n v="0"/>
    <n v="0"/>
  </r>
  <r>
    <x v="9"/>
    <s v="Pitt Community College"/>
    <m/>
    <n v="199333"/>
    <x v="6"/>
    <n v="196"/>
    <n v="807284"/>
    <n v="226"/>
    <n v="1119620"/>
    <n v="196"/>
    <n v="668811"/>
    <n v="226"/>
    <n v="840497"/>
    <m/>
    <m/>
    <m/>
    <m/>
    <n v="196"/>
    <n v="705797"/>
    <n v="226"/>
    <n v="814947"/>
    <m/>
    <m/>
    <m/>
    <m/>
    <m/>
    <m/>
    <m/>
    <m/>
    <m/>
    <m/>
    <m/>
    <m/>
    <m/>
    <m/>
    <m/>
    <m/>
    <m/>
    <m/>
    <m/>
    <m/>
    <n v="196"/>
    <n v="2181892"/>
    <n v="226"/>
    <n v="2775064"/>
    <m/>
    <m/>
    <m/>
    <m/>
    <m/>
    <m/>
    <m/>
    <m/>
    <m/>
    <m/>
    <m/>
    <m/>
    <m/>
    <m/>
    <m/>
    <m/>
    <m/>
    <m/>
    <m/>
    <m/>
    <m/>
    <m/>
    <m/>
    <m/>
    <m/>
    <m/>
    <m/>
    <m/>
    <m/>
    <m/>
    <m/>
    <m/>
    <m/>
    <m/>
    <m/>
    <m/>
    <n v="0"/>
    <n v="0"/>
    <n v="0"/>
    <n v="0"/>
  </r>
  <r>
    <x v="9"/>
    <s v="Rowan-Cabarrus Community College"/>
    <m/>
    <n v="199494"/>
    <x v="6"/>
    <n v="145"/>
    <n v="685391"/>
    <n v="157"/>
    <n v="895198"/>
    <n v="141"/>
    <n v="638256"/>
    <n v="152"/>
    <n v="749360"/>
    <m/>
    <m/>
    <m/>
    <m/>
    <n v="145"/>
    <n v="599228"/>
    <n v="157"/>
    <n v="651595"/>
    <m/>
    <m/>
    <m/>
    <m/>
    <m/>
    <m/>
    <m/>
    <m/>
    <m/>
    <m/>
    <m/>
    <m/>
    <m/>
    <m/>
    <m/>
    <m/>
    <m/>
    <m/>
    <m/>
    <m/>
    <n v="145"/>
    <n v="1922875"/>
    <n v="157"/>
    <n v="2296153"/>
    <m/>
    <m/>
    <m/>
    <m/>
    <m/>
    <m/>
    <m/>
    <m/>
    <m/>
    <m/>
    <m/>
    <m/>
    <m/>
    <m/>
    <m/>
    <m/>
    <m/>
    <m/>
    <m/>
    <m/>
    <m/>
    <m/>
    <m/>
    <m/>
    <m/>
    <m/>
    <m/>
    <m/>
    <m/>
    <m/>
    <m/>
    <m/>
    <m/>
    <m/>
    <m/>
    <m/>
    <n v="0"/>
    <n v="0"/>
    <n v="0"/>
    <n v="0"/>
  </r>
  <r>
    <x v="9"/>
    <s v="Wake Technical Community College"/>
    <m/>
    <n v="199856"/>
    <x v="6"/>
    <n v="453"/>
    <n v="1680865"/>
    <n v="503"/>
    <n v="2337497"/>
    <n v="453"/>
    <n v="1537926"/>
    <n v="503"/>
    <n v="1953310"/>
    <n v="453"/>
    <n v="106203"/>
    <n v="503"/>
    <n v="115652"/>
    <n v="453"/>
    <n v="1562408"/>
    <n v="503"/>
    <n v="1701413"/>
    <m/>
    <m/>
    <n v="503"/>
    <n v="545"/>
    <m/>
    <m/>
    <m/>
    <m/>
    <n v="453"/>
    <n v="37385"/>
    <n v="503"/>
    <n v="37326"/>
    <m/>
    <m/>
    <m/>
    <m/>
    <m/>
    <m/>
    <m/>
    <m/>
    <n v="453"/>
    <n v="4924787"/>
    <n v="503"/>
    <n v="6145743"/>
    <m/>
    <m/>
    <m/>
    <m/>
    <m/>
    <m/>
    <m/>
    <m/>
    <m/>
    <m/>
    <m/>
    <m/>
    <m/>
    <m/>
    <m/>
    <m/>
    <m/>
    <m/>
    <m/>
    <m/>
    <m/>
    <m/>
    <m/>
    <m/>
    <m/>
    <m/>
    <m/>
    <m/>
    <m/>
    <m/>
    <m/>
    <m/>
    <m/>
    <m/>
    <m/>
    <m/>
    <n v="0"/>
    <n v="0"/>
    <n v="0"/>
    <n v="0"/>
  </r>
  <r>
    <x v="9"/>
    <s v="Alamance Community College"/>
    <m/>
    <n v="199786"/>
    <x v="7"/>
    <n v="110"/>
    <n v="467655"/>
    <n v="111"/>
    <n v="561812"/>
    <n v="110"/>
    <n v="404465"/>
    <n v="111"/>
    <n v="410389"/>
    <m/>
    <m/>
    <m/>
    <m/>
    <n v="110"/>
    <n v="408864"/>
    <n v="111"/>
    <n v="408930"/>
    <m/>
    <m/>
    <m/>
    <m/>
    <m/>
    <m/>
    <m/>
    <m/>
    <m/>
    <m/>
    <m/>
    <m/>
    <m/>
    <m/>
    <m/>
    <m/>
    <m/>
    <m/>
    <m/>
    <m/>
    <n v="110"/>
    <n v="1280984"/>
    <n v="111"/>
    <n v="1381131"/>
    <m/>
    <m/>
    <m/>
    <m/>
    <m/>
    <m/>
    <m/>
    <m/>
    <m/>
    <m/>
    <m/>
    <m/>
    <m/>
    <m/>
    <m/>
    <m/>
    <m/>
    <m/>
    <m/>
    <m/>
    <m/>
    <m/>
    <m/>
    <m/>
    <m/>
    <m/>
    <m/>
    <m/>
    <m/>
    <m/>
    <m/>
    <m/>
    <m/>
    <m/>
    <m/>
    <m/>
    <n v="0"/>
    <n v="0"/>
    <n v="0"/>
    <n v="0"/>
  </r>
  <r>
    <x v="9"/>
    <s v="Blue Ridge Community College"/>
    <s v="Reclassified, meets the criteria for Two-Year 3."/>
    <n v="198039"/>
    <x v="8"/>
    <n v="70"/>
    <n v="315532"/>
    <n v="72"/>
    <n v="264782"/>
    <n v="70"/>
    <n v="26405"/>
    <n v="72"/>
    <n v="266328"/>
    <m/>
    <m/>
    <m/>
    <m/>
    <n v="70"/>
    <n v="275865"/>
    <n v="70"/>
    <n v="221375"/>
    <m/>
    <m/>
    <m/>
    <m/>
    <m/>
    <m/>
    <m/>
    <m/>
    <m/>
    <m/>
    <m/>
    <m/>
    <m/>
    <m/>
    <m/>
    <m/>
    <m/>
    <m/>
    <m/>
    <m/>
    <n v="70"/>
    <n v="617802"/>
    <n v="72"/>
    <n v="752485"/>
    <m/>
    <m/>
    <m/>
    <m/>
    <m/>
    <m/>
    <m/>
    <m/>
    <m/>
    <m/>
    <m/>
    <m/>
    <m/>
    <m/>
    <m/>
    <m/>
    <m/>
    <m/>
    <m/>
    <m/>
    <m/>
    <m/>
    <m/>
    <m/>
    <m/>
    <m/>
    <m/>
    <m/>
    <m/>
    <m/>
    <m/>
    <m/>
    <m/>
    <m/>
    <m/>
    <m/>
    <n v="0"/>
    <n v="0"/>
    <n v="0"/>
    <n v="0"/>
  </r>
  <r>
    <x v="9"/>
    <s v="Caldwell Community College &amp; Technical Institute"/>
    <m/>
    <n v="198118"/>
    <x v="7"/>
    <n v="138"/>
    <n v="525050"/>
    <n v="136"/>
    <n v="632208"/>
    <n v="138"/>
    <n v="624676"/>
    <n v="136"/>
    <n v="670425"/>
    <m/>
    <m/>
    <m/>
    <m/>
    <n v="138"/>
    <n v="459044"/>
    <n v="136"/>
    <n v="460170"/>
    <m/>
    <m/>
    <m/>
    <m/>
    <m/>
    <m/>
    <m/>
    <m/>
    <m/>
    <m/>
    <m/>
    <m/>
    <m/>
    <m/>
    <m/>
    <m/>
    <m/>
    <m/>
    <m/>
    <m/>
    <n v="138"/>
    <n v="1608770"/>
    <n v="136"/>
    <n v="1762803"/>
    <m/>
    <m/>
    <m/>
    <m/>
    <m/>
    <m/>
    <m/>
    <m/>
    <m/>
    <m/>
    <m/>
    <m/>
    <m/>
    <m/>
    <m/>
    <m/>
    <m/>
    <m/>
    <m/>
    <m/>
    <m/>
    <m/>
    <m/>
    <m/>
    <m/>
    <m/>
    <m/>
    <m/>
    <m/>
    <m/>
    <m/>
    <m/>
    <m/>
    <m/>
    <m/>
    <m/>
    <n v="0"/>
    <n v="0"/>
    <n v="0"/>
    <n v="0"/>
  </r>
  <r>
    <x v="9"/>
    <s v="Cleveland Community College"/>
    <m/>
    <n v="198321"/>
    <x v="7"/>
    <n v="83"/>
    <n v="335035"/>
    <n v="83"/>
    <n v="452349"/>
    <n v="83"/>
    <n v="375492"/>
    <n v="83"/>
    <n v="409107"/>
    <n v="83"/>
    <n v="19911"/>
    <n v="83"/>
    <n v="23929"/>
    <n v="83"/>
    <n v="292916"/>
    <n v="83"/>
    <n v="352031"/>
    <m/>
    <m/>
    <m/>
    <m/>
    <n v="83"/>
    <n v="3187"/>
    <n v="83"/>
    <n v="7363"/>
    <m/>
    <m/>
    <m/>
    <m/>
    <m/>
    <m/>
    <m/>
    <m/>
    <m/>
    <m/>
    <m/>
    <m/>
    <n v="83"/>
    <n v="1026541"/>
    <n v="83"/>
    <n v="1244779"/>
    <m/>
    <m/>
    <m/>
    <m/>
    <m/>
    <m/>
    <m/>
    <m/>
    <m/>
    <m/>
    <m/>
    <m/>
    <m/>
    <m/>
    <m/>
    <m/>
    <m/>
    <m/>
    <m/>
    <m/>
    <m/>
    <m/>
    <m/>
    <m/>
    <m/>
    <m/>
    <m/>
    <m/>
    <m/>
    <m/>
    <m/>
    <m/>
    <m/>
    <m/>
    <m/>
    <m/>
    <n v="0"/>
    <n v="0"/>
    <n v="0"/>
    <n v="0"/>
  </r>
  <r>
    <x v="9"/>
    <s v="Coastal Carolina Community College "/>
    <m/>
    <n v="198330"/>
    <x v="7"/>
    <n v="134"/>
    <n v="468740"/>
    <n v="141"/>
    <n v="620288"/>
    <n v="125"/>
    <n v="465865"/>
    <n v="138"/>
    <n v="539847"/>
    <m/>
    <m/>
    <m/>
    <m/>
    <n v="134"/>
    <n v="440523"/>
    <n v="141"/>
    <n v="451494"/>
    <m/>
    <m/>
    <m/>
    <m/>
    <m/>
    <m/>
    <m/>
    <m/>
    <m/>
    <m/>
    <m/>
    <m/>
    <m/>
    <m/>
    <m/>
    <m/>
    <m/>
    <m/>
    <m/>
    <m/>
    <n v="134"/>
    <n v="1375128"/>
    <n v="141"/>
    <n v="1611629"/>
    <m/>
    <m/>
    <m/>
    <m/>
    <m/>
    <m/>
    <m/>
    <m/>
    <m/>
    <m/>
    <m/>
    <m/>
    <m/>
    <m/>
    <m/>
    <m/>
    <m/>
    <m/>
    <m/>
    <m/>
    <m/>
    <m/>
    <m/>
    <m/>
    <m/>
    <m/>
    <m/>
    <m/>
    <m/>
    <m/>
    <m/>
    <m/>
    <m/>
    <m/>
    <m/>
    <m/>
    <n v="0"/>
    <n v="0"/>
    <n v="0"/>
    <n v="0"/>
  </r>
  <r>
    <x v="9"/>
    <s v="College of the Albemarle"/>
    <s v="Reclassified, meets the criteria for Two-Year 3."/>
    <n v="197814"/>
    <x v="8"/>
    <n v="84"/>
    <n v="308525"/>
    <n v="84"/>
    <n v="375360"/>
    <n v="84"/>
    <n v="380268"/>
    <n v="84"/>
    <n v="414086"/>
    <m/>
    <m/>
    <m/>
    <m/>
    <n v="84"/>
    <n v="269739"/>
    <n v="84"/>
    <n v="273216"/>
    <m/>
    <m/>
    <m/>
    <m/>
    <m/>
    <m/>
    <m/>
    <m/>
    <m/>
    <m/>
    <m/>
    <m/>
    <m/>
    <m/>
    <m/>
    <m/>
    <m/>
    <m/>
    <m/>
    <m/>
    <n v="84"/>
    <n v="958532"/>
    <n v="84"/>
    <n v="1062662"/>
    <m/>
    <m/>
    <m/>
    <m/>
    <m/>
    <m/>
    <m/>
    <m/>
    <m/>
    <m/>
    <m/>
    <m/>
    <m/>
    <m/>
    <m/>
    <m/>
    <m/>
    <m/>
    <m/>
    <m/>
    <m/>
    <m/>
    <m/>
    <m/>
    <m/>
    <m/>
    <m/>
    <m/>
    <m/>
    <m/>
    <m/>
    <m/>
    <m/>
    <m/>
    <m/>
    <m/>
    <n v="0"/>
    <n v="0"/>
    <n v="0"/>
    <n v="0"/>
  </r>
  <r>
    <x v="9"/>
    <s v="Craven Community College "/>
    <m/>
    <n v="198367"/>
    <x v="7"/>
    <n v="77"/>
    <n v="295833"/>
    <n v="85"/>
    <n v="418965"/>
    <n v="77"/>
    <n v="29046"/>
    <n v="80"/>
    <n v="35282"/>
    <m/>
    <m/>
    <m/>
    <m/>
    <n v="77"/>
    <n v="258642"/>
    <n v="92"/>
    <n v="362513"/>
    <n v="77"/>
    <n v="19300"/>
    <n v="92"/>
    <n v="28807"/>
    <m/>
    <m/>
    <m/>
    <m/>
    <m/>
    <m/>
    <m/>
    <m/>
    <m/>
    <m/>
    <m/>
    <m/>
    <m/>
    <m/>
    <m/>
    <m/>
    <n v="77"/>
    <n v="602821"/>
    <n v="92"/>
    <n v="845567"/>
    <m/>
    <m/>
    <m/>
    <m/>
    <m/>
    <m/>
    <m/>
    <m/>
    <m/>
    <m/>
    <m/>
    <m/>
    <m/>
    <m/>
    <m/>
    <m/>
    <m/>
    <m/>
    <m/>
    <m/>
    <m/>
    <m/>
    <m/>
    <m/>
    <m/>
    <m/>
    <m/>
    <m/>
    <m/>
    <m/>
    <m/>
    <m/>
    <m/>
    <m/>
    <m/>
    <m/>
    <n v="0"/>
    <n v="0"/>
    <n v="0"/>
    <n v="0"/>
  </r>
  <r>
    <x v="9"/>
    <s v="Davidson County Community College "/>
    <m/>
    <n v="198376"/>
    <x v="7"/>
    <n v="85"/>
    <n v="349736"/>
    <n v="90"/>
    <n v="441659"/>
    <n v="85"/>
    <n v="414916"/>
    <n v="90"/>
    <n v="475578"/>
    <m/>
    <m/>
    <m/>
    <m/>
    <n v="85"/>
    <n v="305769"/>
    <n v="90"/>
    <n v="321474"/>
    <m/>
    <m/>
    <n v="90"/>
    <n v="1631"/>
    <n v="85"/>
    <n v="4488"/>
    <n v="90"/>
    <n v="4752"/>
    <n v="85"/>
    <n v="24661"/>
    <n v="90"/>
    <n v="22578"/>
    <m/>
    <m/>
    <m/>
    <m/>
    <m/>
    <m/>
    <m/>
    <m/>
    <n v="85"/>
    <n v="1099570"/>
    <n v="90"/>
    <n v="1267672"/>
    <m/>
    <m/>
    <m/>
    <m/>
    <m/>
    <m/>
    <m/>
    <m/>
    <m/>
    <m/>
    <m/>
    <m/>
    <m/>
    <m/>
    <m/>
    <m/>
    <m/>
    <m/>
    <m/>
    <m/>
    <m/>
    <m/>
    <m/>
    <m/>
    <m/>
    <m/>
    <m/>
    <m/>
    <m/>
    <m/>
    <m/>
    <m/>
    <m/>
    <m/>
    <m/>
    <m/>
    <n v="0"/>
    <n v="0"/>
    <n v="0"/>
    <n v="0"/>
  </r>
  <r>
    <x v="9"/>
    <s v="Edgecombe Community College"/>
    <m/>
    <n v="198491"/>
    <x v="7"/>
    <n v="71"/>
    <n v="262563"/>
    <n v="93"/>
    <n v="418521"/>
    <n v="71"/>
    <n v="321139"/>
    <n v="92"/>
    <n v="340142"/>
    <m/>
    <m/>
    <m/>
    <m/>
    <n v="71"/>
    <n v="229554"/>
    <n v="93"/>
    <n v="315438"/>
    <m/>
    <m/>
    <m/>
    <m/>
    <n v="36"/>
    <n v="1598"/>
    <n v="43"/>
    <n v="1432"/>
    <m/>
    <m/>
    <m/>
    <m/>
    <m/>
    <m/>
    <m/>
    <m/>
    <m/>
    <m/>
    <m/>
    <m/>
    <n v="71"/>
    <n v="814854"/>
    <n v="93"/>
    <n v="1075533"/>
    <m/>
    <m/>
    <m/>
    <m/>
    <m/>
    <m/>
    <m/>
    <m/>
    <m/>
    <m/>
    <m/>
    <m/>
    <m/>
    <m/>
    <m/>
    <m/>
    <m/>
    <m/>
    <m/>
    <m/>
    <m/>
    <m/>
    <m/>
    <m/>
    <m/>
    <m/>
    <m/>
    <m/>
    <m/>
    <m/>
    <m/>
    <m/>
    <m/>
    <m/>
    <m/>
    <m/>
    <n v="0"/>
    <n v="0"/>
    <n v="0"/>
    <n v="0"/>
  </r>
  <r>
    <x v="9"/>
    <s v="Gaston College "/>
    <s v="Reclassified, meets the criteria for Two-Year 1."/>
    <n v="198570"/>
    <x v="6"/>
    <n v="135"/>
    <n v="594020"/>
    <n v="161"/>
    <n v="850806"/>
    <n v="120"/>
    <n v="523716"/>
    <n v="125"/>
    <n v="616200"/>
    <m/>
    <m/>
    <m/>
    <m/>
    <n v="135"/>
    <n v="519343"/>
    <n v="161"/>
    <n v="619873"/>
    <m/>
    <m/>
    <m/>
    <m/>
    <n v="135"/>
    <n v="2673"/>
    <n v="161"/>
    <n v="3111"/>
    <m/>
    <m/>
    <m/>
    <m/>
    <m/>
    <m/>
    <m/>
    <m/>
    <m/>
    <m/>
    <m/>
    <m/>
    <n v="135"/>
    <n v="1639752"/>
    <n v="161"/>
    <n v="2089990"/>
    <m/>
    <m/>
    <m/>
    <m/>
    <m/>
    <m/>
    <m/>
    <m/>
    <m/>
    <m/>
    <m/>
    <m/>
    <m/>
    <m/>
    <m/>
    <m/>
    <m/>
    <m/>
    <m/>
    <m/>
    <m/>
    <m/>
    <m/>
    <m/>
    <m/>
    <m/>
    <m/>
    <m/>
    <m/>
    <m/>
    <m/>
    <m/>
    <m/>
    <m/>
    <m/>
    <m/>
    <n v="0"/>
    <n v="0"/>
    <n v="0"/>
    <n v="0"/>
  </r>
  <r>
    <x v="9"/>
    <s v="Haywood Community College"/>
    <m/>
    <n v="198668"/>
    <x v="7"/>
    <n v="70"/>
    <n v="294679"/>
    <n v="79"/>
    <n v="393795"/>
    <n v="69"/>
    <n v="312338"/>
    <n v="78"/>
    <n v="386880"/>
    <m/>
    <m/>
    <m/>
    <m/>
    <n v="70"/>
    <n v="257633"/>
    <n v="79"/>
    <n v="286635"/>
    <m/>
    <m/>
    <m/>
    <m/>
    <n v="70"/>
    <n v="8736"/>
    <n v="79"/>
    <n v="9859"/>
    <m/>
    <m/>
    <m/>
    <m/>
    <m/>
    <m/>
    <m/>
    <m/>
    <m/>
    <m/>
    <m/>
    <m/>
    <n v="70"/>
    <n v="873386"/>
    <n v="79"/>
    <n v="1077169"/>
    <m/>
    <m/>
    <m/>
    <m/>
    <m/>
    <m/>
    <m/>
    <m/>
    <m/>
    <m/>
    <m/>
    <m/>
    <m/>
    <m/>
    <m/>
    <m/>
    <m/>
    <m/>
    <m/>
    <m/>
    <m/>
    <m/>
    <m/>
    <m/>
    <m/>
    <m/>
    <m/>
    <m/>
    <m/>
    <m/>
    <m/>
    <m/>
    <m/>
    <m/>
    <m/>
    <m/>
    <n v="0"/>
    <n v="0"/>
    <n v="0"/>
    <n v="0"/>
  </r>
  <r>
    <x v="9"/>
    <s v="Isothermal Community College "/>
    <m/>
    <n v="198710"/>
    <x v="7"/>
    <n v="67"/>
    <n v="265611"/>
    <n v="68"/>
    <n v="370478"/>
    <n v="67"/>
    <n v="303285"/>
    <n v="68"/>
    <n v="335213"/>
    <m/>
    <m/>
    <m/>
    <m/>
    <n v="67"/>
    <n v="232220"/>
    <n v="68"/>
    <n v="269663"/>
    <m/>
    <m/>
    <m/>
    <m/>
    <m/>
    <m/>
    <m/>
    <m/>
    <m/>
    <m/>
    <m/>
    <m/>
    <m/>
    <m/>
    <m/>
    <m/>
    <m/>
    <m/>
    <m/>
    <m/>
    <n v="67"/>
    <n v="801116"/>
    <n v="68"/>
    <n v="975354"/>
    <m/>
    <m/>
    <m/>
    <m/>
    <m/>
    <m/>
    <m/>
    <m/>
    <m/>
    <m/>
    <m/>
    <m/>
    <m/>
    <m/>
    <m/>
    <m/>
    <m/>
    <m/>
    <m/>
    <m/>
    <m/>
    <m/>
    <m/>
    <m/>
    <m/>
    <m/>
    <m/>
    <m/>
    <m/>
    <m/>
    <m/>
    <m/>
    <m/>
    <m/>
    <m/>
    <m/>
    <n v="0"/>
    <n v="0"/>
    <n v="0"/>
    <n v="0"/>
  </r>
  <r>
    <x v="9"/>
    <s v="Johnston Community College"/>
    <m/>
    <n v="198774"/>
    <x v="7"/>
    <n v="137"/>
    <n v="671774"/>
    <n v="127"/>
    <n v="784053"/>
    <n v="137"/>
    <n v="620150"/>
    <n v="127"/>
    <n v="731688"/>
    <m/>
    <m/>
    <m/>
    <m/>
    <n v="137"/>
    <n v="608611"/>
    <n v="127"/>
    <n v="591519"/>
    <m/>
    <m/>
    <m/>
    <m/>
    <m/>
    <m/>
    <m/>
    <m/>
    <m/>
    <m/>
    <m/>
    <m/>
    <m/>
    <m/>
    <m/>
    <m/>
    <m/>
    <m/>
    <m/>
    <m/>
    <n v="137"/>
    <n v="1900535"/>
    <n v="127"/>
    <n v="2107260"/>
    <m/>
    <m/>
    <m/>
    <m/>
    <m/>
    <m/>
    <m/>
    <m/>
    <m/>
    <m/>
    <m/>
    <m/>
    <m/>
    <m/>
    <m/>
    <m/>
    <m/>
    <m/>
    <m/>
    <m/>
    <m/>
    <m/>
    <m/>
    <m/>
    <m/>
    <m/>
    <m/>
    <m/>
    <m/>
    <m/>
    <m/>
    <m/>
    <m/>
    <m/>
    <m/>
    <m/>
    <n v="0"/>
    <n v="0"/>
    <n v="0"/>
    <n v="0"/>
  </r>
  <r>
    <x v="9"/>
    <s v="Lenoir Community College "/>
    <m/>
    <n v="198817"/>
    <x v="7"/>
    <n v="61"/>
    <n v="406535"/>
    <n v="67"/>
    <n v="511595"/>
    <n v="106"/>
    <n v="479824"/>
    <n v="109"/>
    <n v="537326"/>
    <m/>
    <m/>
    <m/>
    <m/>
    <n v="106"/>
    <n v="355427"/>
    <n v="109"/>
    <n v="372379"/>
    <m/>
    <m/>
    <m/>
    <m/>
    <m/>
    <m/>
    <m/>
    <m/>
    <m/>
    <m/>
    <m/>
    <m/>
    <m/>
    <m/>
    <m/>
    <m/>
    <m/>
    <m/>
    <m/>
    <m/>
    <n v="106"/>
    <n v="1241786"/>
    <n v="109"/>
    <n v="1421300"/>
    <m/>
    <m/>
    <m/>
    <m/>
    <m/>
    <m/>
    <m/>
    <m/>
    <m/>
    <m/>
    <m/>
    <m/>
    <m/>
    <m/>
    <m/>
    <m/>
    <m/>
    <m/>
    <m/>
    <m/>
    <m/>
    <m/>
    <m/>
    <m/>
    <m/>
    <m/>
    <m/>
    <m/>
    <m/>
    <m/>
    <m/>
    <m/>
    <m/>
    <m/>
    <m/>
    <m/>
    <n v="0"/>
    <n v="0"/>
    <n v="0"/>
    <n v="0"/>
  </r>
  <r>
    <x v="9"/>
    <s v="Mayland Community College"/>
    <s v="Reclassified, meets the criteria for Two-Year 3."/>
    <n v="198914"/>
    <x v="8"/>
    <n v="56"/>
    <n v="201711"/>
    <n v="49"/>
    <n v="261758"/>
    <n v="56"/>
    <n v="190119"/>
    <n v="49"/>
    <n v="241550"/>
    <m/>
    <m/>
    <m/>
    <m/>
    <n v="56"/>
    <n v="176353"/>
    <n v="49"/>
    <n v="190527"/>
    <m/>
    <m/>
    <m/>
    <m/>
    <m/>
    <m/>
    <m/>
    <m/>
    <m/>
    <m/>
    <m/>
    <m/>
    <m/>
    <m/>
    <m/>
    <m/>
    <m/>
    <m/>
    <m/>
    <m/>
    <n v="56"/>
    <n v="568183"/>
    <n v="49"/>
    <n v="693835"/>
    <m/>
    <m/>
    <m/>
    <m/>
    <m/>
    <m/>
    <m/>
    <m/>
    <m/>
    <m/>
    <m/>
    <m/>
    <m/>
    <m/>
    <m/>
    <m/>
    <m/>
    <m/>
    <m/>
    <m/>
    <m/>
    <m/>
    <m/>
    <m/>
    <m/>
    <m/>
    <m/>
    <m/>
    <m/>
    <m/>
    <m/>
    <m/>
    <m/>
    <m/>
    <m/>
    <m/>
    <n v="0"/>
    <n v="0"/>
    <n v="0"/>
    <n v="0"/>
  </r>
  <r>
    <x v="9"/>
    <s v="Mitchell Community College "/>
    <m/>
    <n v="198987"/>
    <x v="7"/>
    <n v="76"/>
    <n v="313222"/>
    <n v="91"/>
    <n v="408750"/>
    <n v="73"/>
    <n v="330445"/>
    <n v="87"/>
    <n v="419016"/>
    <m/>
    <m/>
    <m/>
    <m/>
    <n v="76"/>
    <n v="280908"/>
    <n v="92"/>
    <n v="359669"/>
    <m/>
    <m/>
    <m/>
    <m/>
    <m/>
    <m/>
    <m/>
    <m/>
    <m/>
    <m/>
    <m/>
    <m/>
    <m/>
    <m/>
    <m/>
    <m/>
    <m/>
    <m/>
    <m/>
    <m/>
    <n v="76"/>
    <n v="924575"/>
    <n v="92"/>
    <n v="1187435"/>
    <m/>
    <m/>
    <m/>
    <m/>
    <m/>
    <m/>
    <m/>
    <m/>
    <m/>
    <m/>
    <m/>
    <m/>
    <m/>
    <m/>
    <m/>
    <m/>
    <m/>
    <m/>
    <m/>
    <m/>
    <m/>
    <m/>
    <m/>
    <m/>
    <m/>
    <m/>
    <m/>
    <m/>
    <m/>
    <m/>
    <m/>
    <m/>
    <m/>
    <m/>
    <m/>
    <m/>
    <n v="0"/>
    <n v="0"/>
    <n v="0"/>
    <n v="0"/>
  </r>
  <r>
    <x v="9"/>
    <s v="Nash Community College"/>
    <m/>
    <n v="199087"/>
    <x v="7"/>
    <n v="103"/>
    <n v="395053"/>
    <n v="103"/>
    <n v="479859"/>
    <n v="103"/>
    <n v="342636"/>
    <n v="103"/>
    <n v="380812"/>
    <m/>
    <m/>
    <m/>
    <m/>
    <n v="103"/>
    <n v="345389"/>
    <n v="103"/>
    <n v="349279"/>
    <m/>
    <m/>
    <m/>
    <m/>
    <m/>
    <m/>
    <m/>
    <m/>
    <m/>
    <m/>
    <m/>
    <m/>
    <m/>
    <m/>
    <m/>
    <m/>
    <m/>
    <m/>
    <m/>
    <m/>
    <n v="103"/>
    <n v="1083078"/>
    <n v="103"/>
    <n v="1209950"/>
    <m/>
    <m/>
    <m/>
    <m/>
    <m/>
    <m/>
    <m/>
    <m/>
    <m/>
    <m/>
    <m/>
    <m/>
    <m/>
    <m/>
    <m/>
    <m/>
    <m/>
    <m/>
    <m/>
    <m/>
    <m/>
    <m/>
    <m/>
    <m/>
    <m/>
    <m/>
    <m/>
    <m/>
    <m/>
    <m/>
    <m/>
    <m/>
    <m/>
    <m/>
    <m/>
    <m/>
    <n v="0"/>
    <n v="0"/>
    <n v="0"/>
    <n v="0"/>
  </r>
  <r>
    <x v="9"/>
    <s v="Piedmont Community College"/>
    <s v="Reclassified, meets the criteria for Two-Year 3."/>
    <n v="199324"/>
    <x v="8"/>
    <n v="94"/>
    <n v="364672"/>
    <n v="93"/>
    <n v="503586"/>
    <n v="94"/>
    <n v="425504"/>
    <n v="93"/>
    <n v="458453"/>
    <m/>
    <m/>
    <m/>
    <m/>
    <n v="94"/>
    <n v="318828"/>
    <n v="93"/>
    <n v="366549"/>
    <m/>
    <m/>
    <m/>
    <m/>
    <m/>
    <m/>
    <m/>
    <m/>
    <m/>
    <m/>
    <m/>
    <m/>
    <m/>
    <m/>
    <m/>
    <m/>
    <m/>
    <m/>
    <m/>
    <m/>
    <n v="94"/>
    <n v="1109004"/>
    <n v="93"/>
    <n v="1328588"/>
    <m/>
    <m/>
    <m/>
    <m/>
    <m/>
    <m/>
    <m/>
    <m/>
    <m/>
    <m/>
    <m/>
    <m/>
    <m/>
    <m/>
    <m/>
    <m/>
    <m/>
    <m/>
    <m/>
    <m/>
    <m/>
    <m/>
    <m/>
    <m/>
    <m/>
    <m/>
    <m/>
    <m/>
    <m/>
    <m/>
    <m/>
    <m/>
    <m/>
    <m/>
    <m/>
    <m/>
    <n v="0"/>
    <n v="0"/>
    <n v="0"/>
    <n v="0"/>
  </r>
  <r>
    <x v="9"/>
    <s v="Randolph Community College"/>
    <m/>
    <n v="199421"/>
    <x v="7"/>
    <n v="60"/>
    <n v="223676"/>
    <n v="89"/>
    <n v="395139"/>
    <n v="60"/>
    <n v="272907"/>
    <n v="89"/>
    <n v="448952"/>
    <m/>
    <m/>
    <m/>
    <m/>
    <n v="60"/>
    <n v="197653"/>
    <n v="89"/>
    <n v="287613"/>
    <m/>
    <m/>
    <m/>
    <m/>
    <m/>
    <m/>
    <m/>
    <m/>
    <m/>
    <m/>
    <m/>
    <m/>
    <m/>
    <m/>
    <m/>
    <m/>
    <m/>
    <m/>
    <m/>
    <m/>
    <n v="60"/>
    <n v="694236"/>
    <n v="89"/>
    <n v="1131704"/>
    <m/>
    <m/>
    <m/>
    <m/>
    <m/>
    <m/>
    <m/>
    <m/>
    <m/>
    <m/>
    <m/>
    <m/>
    <m/>
    <m/>
    <m/>
    <m/>
    <m/>
    <m/>
    <m/>
    <m/>
    <m/>
    <m/>
    <m/>
    <m/>
    <m/>
    <m/>
    <m/>
    <m/>
    <m/>
    <m/>
    <m/>
    <m/>
    <m/>
    <m/>
    <m/>
    <m/>
    <n v="0"/>
    <n v="0"/>
    <n v="0"/>
    <n v="0"/>
  </r>
  <r>
    <x v="9"/>
    <s v="Richmond Community College"/>
    <s v="Reclassified, meets the criteria for Two-Year 3."/>
    <n v="199449"/>
    <x v="8"/>
    <n v="52"/>
    <n v="249120"/>
    <n v="63"/>
    <n v="374562"/>
    <n v="52"/>
    <n v="235385"/>
    <n v="63"/>
    <n v="310565"/>
    <m/>
    <m/>
    <m/>
    <m/>
    <n v="52"/>
    <n v="217802"/>
    <n v="63"/>
    <n v="272636"/>
    <m/>
    <m/>
    <m/>
    <m/>
    <m/>
    <m/>
    <m/>
    <m/>
    <m/>
    <m/>
    <m/>
    <m/>
    <m/>
    <m/>
    <m/>
    <m/>
    <m/>
    <m/>
    <m/>
    <m/>
    <n v="52"/>
    <n v="702307"/>
    <n v="63"/>
    <n v="957763"/>
    <m/>
    <m/>
    <m/>
    <m/>
    <m/>
    <m/>
    <m/>
    <m/>
    <m/>
    <m/>
    <m/>
    <m/>
    <m/>
    <m/>
    <m/>
    <m/>
    <m/>
    <m/>
    <m/>
    <m/>
    <m/>
    <m/>
    <m/>
    <m/>
    <m/>
    <m/>
    <m/>
    <m/>
    <m/>
    <m/>
    <m/>
    <m/>
    <m/>
    <m/>
    <m/>
    <m/>
    <n v="0"/>
    <n v="0"/>
    <n v="0"/>
    <n v="0"/>
  </r>
  <r>
    <x v="9"/>
    <s v="Robeson Community College"/>
    <m/>
    <n v="199476"/>
    <x v="7"/>
    <n v="56"/>
    <n v="343982"/>
    <n v="67"/>
    <n v="455902"/>
    <n v="88"/>
    <n v="298758"/>
    <n v="95"/>
    <n v="351234"/>
    <m/>
    <m/>
    <m/>
    <m/>
    <n v="88"/>
    <n v="308134"/>
    <n v="95"/>
    <n v="331841"/>
    <m/>
    <m/>
    <m/>
    <m/>
    <m/>
    <m/>
    <m/>
    <m/>
    <m/>
    <m/>
    <m/>
    <m/>
    <m/>
    <m/>
    <m/>
    <m/>
    <m/>
    <m/>
    <m/>
    <m/>
    <n v="88"/>
    <n v="950874"/>
    <n v="95"/>
    <n v="1138977"/>
    <m/>
    <m/>
    <m/>
    <m/>
    <m/>
    <m/>
    <m/>
    <m/>
    <m/>
    <m/>
    <m/>
    <m/>
    <m/>
    <m/>
    <m/>
    <m/>
    <m/>
    <m/>
    <m/>
    <m/>
    <m/>
    <m/>
    <m/>
    <m/>
    <m/>
    <m/>
    <m/>
    <m/>
    <m/>
    <m/>
    <m/>
    <m/>
    <m/>
    <m/>
    <m/>
    <m/>
    <n v="0"/>
    <n v="0"/>
    <n v="0"/>
    <n v="0"/>
  </r>
  <r>
    <x v="9"/>
    <s v="Rockingham Community College "/>
    <s v="Reclassified, meets the criteria for Two-Year 3."/>
    <n v="199485"/>
    <x v="8"/>
    <n v="62"/>
    <n v="253088"/>
    <n v="62"/>
    <n v="299059"/>
    <n v="62"/>
    <n v="227954"/>
    <n v="62"/>
    <n v="246692"/>
    <m/>
    <m/>
    <m/>
    <m/>
    <n v="62"/>
    <n v="221272"/>
    <n v="62"/>
    <n v="217678"/>
    <m/>
    <m/>
    <m/>
    <m/>
    <n v="62"/>
    <n v="737"/>
    <n v="62"/>
    <n v="737"/>
    <n v="62"/>
    <n v="7520"/>
    <n v="62"/>
    <n v="7398"/>
    <m/>
    <m/>
    <m/>
    <m/>
    <m/>
    <m/>
    <m/>
    <m/>
    <n v="62"/>
    <n v="710571"/>
    <n v="62"/>
    <n v="771564"/>
    <m/>
    <m/>
    <m/>
    <m/>
    <m/>
    <m/>
    <m/>
    <m/>
    <m/>
    <m/>
    <m/>
    <m/>
    <m/>
    <m/>
    <m/>
    <m/>
    <m/>
    <m/>
    <m/>
    <m/>
    <m/>
    <m/>
    <m/>
    <m/>
    <m/>
    <m/>
    <m/>
    <m/>
    <m/>
    <m/>
    <m/>
    <m/>
    <m/>
    <m/>
    <m/>
    <m/>
    <n v="0"/>
    <n v="0"/>
    <n v="0"/>
    <n v="0"/>
  </r>
  <r>
    <x v="9"/>
    <s v="Sandhills Community College "/>
    <m/>
    <n v="199634"/>
    <x v="7"/>
    <n v="129"/>
    <n v="555128"/>
    <n v="145"/>
    <n v="741025"/>
    <n v="129"/>
    <n v="588510"/>
    <n v="145"/>
    <n v="714850"/>
    <m/>
    <m/>
    <m/>
    <m/>
    <n v="129"/>
    <n v="485340"/>
    <n v="145"/>
    <n v="539376"/>
    <m/>
    <m/>
    <m/>
    <m/>
    <m/>
    <m/>
    <m/>
    <m/>
    <m/>
    <m/>
    <m/>
    <m/>
    <m/>
    <m/>
    <m/>
    <m/>
    <m/>
    <m/>
    <m/>
    <m/>
    <n v="129"/>
    <n v="1628978"/>
    <n v="145"/>
    <n v="1995251"/>
    <m/>
    <m/>
    <m/>
    <m/>
    <m/>
    <m/>
    <m/>
    <m/>
    <m/>
    <m/>
    <m/>
    <m/>
    <m/>
    <m/>
    <m/>
    <m/>
    <m/>
    <m/>
    <m/>
    <m/>
    <m/>
    <m/>
    <m/>
    <m/>
    <m/>
    <m/>
    <m/>
    <m/>
    <m/>
    <m/>
    <m/>
    <m/>
    <m/>
    <m/>
    <m/>
    <m/>
    <n v="0"/>
    <n v="0"/>
    <n v="0"/>
    <n v="0"/>
  </r>
  <r>
    <x v="9"/>
    <s v="South Piedmont Community College"/>
    <s v="Reclassified, meets the criteria for Two-Year 3."/>
    <n v="197850"/>
    <x v="8"/>
    <n v="83"/>
    <n v="334789"/>
    <n v="86"/>
    <n v="412981"/>
    <n v="81"/>
    <n v="366687"/>
    <n v="84"/>
    <n v="414086"/>
    <m/>
    <m/>
    <m/>
    <m/>
    <n v="83"/>
    <n v="292701"/>
    <n v="86"/>
    <n v="300600"/>
    <m/>
    <m/>
    <m/>
    <m/>
    <m/>
    <m/>
    <m/>
    <m/>
    <m/>
    <m/>
    <m/>
    <m/>
    <m/>
    <m/>
    <m/>
    <m/>
    <m/>
    <m/>
    <m/>
    <m/>
    <n v="83"/>
    <n v="994177"/>
    <n v="86"/>
    <n v="1127667"/>
    <m/>
    <m/>
    <m/>
    <m/>
    <m/>
    <m/>
    <m/>
    <m/>
    <m/>
    <m/>
    <m/>
    <m/>
    <m/>
    <m/>
    <m/>
    <m/>
    <m/>
    <m/>
    <m/>
    <m/>
    <m/>
    <m/>
    <m/>
    <m/>
    <m/>
    <m/>
    <m/>
    <m/>
    <m/>
    <m/>
    <m/>
    <m/>
    <m/>
    <m/>
    <m/>
    <m/>
    <n v="0"/>
    <n v="0"/>
    <n v="0"/>
    <n v="0"/>
  </r>
  <r>
    <x v="9"/>
    <s v="Southeastern Community College "/>
    <s v="Reclassified, meets the criteria for Two-Year 3."/>
    <n v="199722"/>
    <x v="8"/>
    <n v="76"/>
    <n v="328902"/>
    <n v="80"/>
    <n v="387712"/>
    <n v="76"/>
    <n v="258018"/>
    <n v="80"/>
    <n v="295776"/>
    <m/>
    <m/>
    <m/>
    <m/>
    <n v="76"/>
    <n v="287555"/>
    <n v="80"/>
    <n v="282207"/>
    <m/>
    <m/>
    <m/>
    <m/>
    <m/>
    <m/>
    <m/>
    <m/>
    <m/>
    <m/>
    <m/>
    <m/>
    <m/>
    <m/>
    <m/>
    <m/>
    <m/>
    <m/>
    <m/>
    <m/>
    <n v="76"/>
    <n v="874475"/>
    <n v="80"/>
    <n v="965695"/>
    <m/>
    <m/>
    <m/>
    <m/>
    <m/>
    <m/>
    <m/>
    <m/>
    <m/>
    <m/>
    <m/>
    <m/>
    <m/>
    <m/>
    <m/>
    <m/>
    <m/>
    <m/>
    <m/>
    <m/>
    <m/>
    <m/>
    <m/>
    <m/>
    <m/>
    <m/>
    <m/>
    <m/>
    <m/>
    <m/>
    <m/>
    <m/>
    <m/>
    <m/>
    <m/>
    <m/>
    <n v="0"/>
    <n v="0"/>
    <n v="0"/>
    <n v="0"/>
  </r>
  <r>
    <x v="9"/>
    <s v="Southwestern Community College "/>
    <s v="Reclassified, meets the criteria for Two-Year 3."/>
    <n v="199731"/>
    <x v="8"/>
    <n v="83"/>
    <n v="329207"/>
    <n v="83"/>
    <n v="389670"/>
    <n v="82"/>
    <n v="371185"/>
    <n v="83"/>
    <n v="409356"/>
    <m/>
    <m/>
    <m/>
    <m/>
    <n v="83"/>
    <n v="287821"/>
    <n v="83"/>
    <n v="283632"/>
    <m/>
    <m/>
    <m/>
    <m/>
    <n v="83"/>
    <n v="14940"/>
    <n v="83"/>
    <n v="13944"/>
    <m/>
    <m/>
    <m/>
    <m/>
    <m/>
    <m/>
    <m/>
    <m/>
    <m/>
    <m/>
    <m/>
    <m/>
    <n v="83"/>
    <n v="1003153"/>
    <n v="83"/>
    <n v="1096602"/>
    <m/>
    <m/>
    <m/>
    <m/>
    <m/>
    <m/>
    <m/>
    <m/>
    <m/>
    <m/>
    <m/>
    <m/>
    <m/>
    <m/>
    <m/>
    <m/>
    <m/>
    <m/>
    <m/>
    <m/>
    <m/>
    <m/>
    <m/>
    <m/>
    <m/>
    <m/>
    <m/>
    <m/>
    <m/>
    <m/>
    <m/>
    <m/>
    <m/>
    <m/>
    <m/>
    <m/>
    <n v="0"/>
    <n v="0"/>
    <n v="0"/>
    <n v="0"/>
  </r>
  <r>
    <x v="9"/>
    <s v="Stanly Community College"/>
    <m/>
    <n v="199740"/>
    <x v="7"/>
    <n v="94"/>
    <n v="363064"/>
    <n v="102"/>
    <n v="466804"/>
    <n v="93"/>
    <n v="340358"/>
    <n v="101"/>
    <n v="400833"/>
    <m/>
    <m/>
    <m/>
    <m/>
    <n v="94"/>
    <n v="317422"/>
    <n v="102"/>
    <n v="339776"/>
    <m/>
    <m/>
    <m/>
    <m/>
    <m/>
    <m/>
    <m/>
    <m/>
    <m/>
    <m/>
    <m/>
    <m/>
    <m/>
    <m/>
    <m/>
    <m/>
    <m/>
    <m/>
    <m/>
    <m/>
    <n v="94"/>
    <n v="1020844"/>
    <n v="102"/>
    <n v="1207413"/>
    <m/>
    <m/>
    <m/>
    <m/>
    <m/>
    <m/>
    <m/>
    <m/>
    <m/>
    <m/>
    <m/>
    <m/>
    <m/>
    <m/>
    <m/>
    <m/>
    <m/>
    <m/>
    <m/>
    <m/>
    <m/>
    <m/>
    <m/>
    <m/>
    <m/>
    <m/>
    <m/>
    <m/>
    <m/>
    <m/>
    <m/>
    <m/>
    <m/>
    <m/>
    <m/>
    <m/>
    <n v="0"/>
    <n v="0"/>
    <n v="0"/>
    <n v="0"/>
  </r>
  <r>
    <x v="9"/>
    <s v="Surry Community College "/>
    <m/>
    <n v="199768"/>
    <x v="7"/>
    <n v="104"/>
    <n v="438685"/>
    <n v="104"/>
    <n v="515645"/>
    <n v="104"/>
    <n v="509705"/>
    <n v="103"/>
    <n v="551612"/>
    <m/>
    <m/>
    <m/>
    <m/>
    <n v="104"/>
    <n v="383536"/>
    <n v="104"/>
    <n v="375327"/>
    <m/>
    <m/>
    <m/>
    <m/>
    <n v="104"/>
    <n v="14040"/>
    <n v="104"/>
    <n v="9984"/>
    <m/>
    <m/>
    <m/>
    <m/>
    <m/>
    <m/>
    <m/>
    <m/>
    <m/>
    <m/>
    <m/>
    <m/>
    <n v="104"/>
    <n v="1345966"/>
    <n v="104"/>
    <n v="1452568"/>
    <m/>
    <m/>
    <m/>
    <m/>
    <m/>
    <m/>
    <m/>
    <m/>
    <m/>
    <m/>
    <m/>
    <m/>
    <m/>
    <m/>
    <m/>
    <m/>
    <m/>
    <m/>
    <m/>
    <m/>
    <m/>
    <m/>
    <m/>
    <m/>
    <m/>
    <m/>
    <m/>
    <m/>
    <m/>
    <m/>
    <m/>
    <m/>
    <m/>
    <m/>
    <m/>
    <m/>
    <n v="0"/>
    <n v="0"/>
    <n v="0"/>
    <n v="0"/>
  </r>
  <r>
    <x v="9"/>
    <s v="Vance-Granville Community College "/>
    <m/>
    <n v="199838"/>
    <x v="7"/>
    <n v="144"/>
    <n v="518703"/>
    <n v="137"/>
    <n v="631467"/>
    <n v="144"/>
    <n v="590400"/>
    <n v="137"/>
    <n v="675355"/>
    <m/>
    <m/>
    <m/>
    <m/>
    <n v="144"/>
    <n v="487478"/>
    <n v="137"/>
    <n v="459631"/>
    <m/>
    <m/>
    <m/>
    <m/>
    <m/>
    <m/>
    <m/>
    <m/>
    <m/>
    <m/>
    <m/>
    <m/>
    <m/>
    <m/>
    <m/>
    <m/>
    <m/>
    <m/>
    <m/>
    <m/>
    <n v="144"/>
    <n v="1596581"/>
    <n v="137"/>
    <n v="1766453"/>
    <m/>
    <m/>
    <m/>
    <m/>
    <m/>
    <m/>
    <m/>
    <m/>
    <m/>
    <m/>
    <m/>
    <m/>
    <m/>
    <m/>
    <m/>
    <m/>
    <m/>
    <m/>
    <m/>
    <m/>
    <m/>
    <m/>
    <m/>
    <m/>
    <m/>
    <m/>
    <m/>
    <m/>
    <m/>
    <m/>
    <m/>
    <m/>
    <m/>
    <m/>
    <m/>
    <m/>
    <n v="0"/>
    <n v="0"/>
    <n v="0"/>
    <n v="0"/>
  </r>
  <r>
    <x v="9"/>
    <s v="Wayne Community College"/>
    <m/>
    <n v="199892"/>
    <x v="7"/>
    <n v="124"/>
    <n v="476973"/>
    <n v="125"/>
    <n v="585142"/>
    <n v="124"/>
    <n v="561348"/>
    <n v="125"/>
    <n v="616250"/>
    <m/>
    <m/>
    <m/>
    <m/>
    <n v="124"/>
    <n v="417011"/>
    <n v="125"/>
    <n v="425912"/>
    <m/>
    <m/>
    <m/>
    <m/>
    <m/>
    <m/>
    <m/>
    <m/>
    <n v="124"/>
    <n v="38158"/>
    <n v="125"/>
    <n v="33405"/>
    <m/>
    <m/>
    <m/>
    <m/>
    <m/>
    <m/>
    <m/>
    <m/>
    <n v="124"/>
    <n v="1493490"/>
    <n v="125"/>
    <n v="1660709"/>
    <m/>
    <m/>
    <m/>
    <m/>
    <m/>
    <m/>
    <m/>
    <m/>
    <m/>
    <m/>
    <m/>
    <m/>
    <m/>
    <m/>
    <m/>
    <m/>
    <m/>
    <m/>
    <m/>
    <m/>
    <m/>
    <m/>
    <m/>
    <m/>
    <m/>
    <m/>
    <m/>
    <m/>
    <m/>
    <m/>
    <m/>
    <m/>
    <m/>
    <m/>
    <m/>
    <m/>
    <n v="0"/>
    <n v="0"/>
    <n v="0"/>
    <n v="0"/>
  </r>
  <r>
    <x v="9"/>
    <s v="Western Piedmont Community College "/>
    <m/>
    <n v="199908"/>
    <x v="7"/>
    <n v="75"/>
    <n v="326097"/>
    <n v="78"/>
    <n v="405316"/>
    <n v="74"/>
    <n v="334998"/>
    <n v="77"/>
    <n v="379582"/>
    <m/>
    <m/>
    <m/>
    <m/>
    <n v="75"/>
    <n v="285102"/>
    <n v="78"/>
    <n v="295021"/>
    <m/>
    <m/>
    <m/>
    <m/>
    <m/>
    <m/>
    <m/>
    <m/>
    <m/>
    <m/>
    <m/>
    <m/>
    <m/>
    <m/>
    <m/>
    <m/>
    <m/>
    <m/>
    <m/>
    <m/>
    <n v="75"/>
    <n v="946197"/>
    <n v="78"/>
    <n v="1079919"/>
    <m/>
    <m/>
    <m/>
    <m/>
    <m/>
    <m/>
    <m/>
    <m/>
    <m/>
    <m/>
    <m/>
    <m/>
    <m/>
    <m/>
    <m/>
    <m/>
    <m/>
    <m/>
    <m/>
    <m/>
    <m/>
    <m/>
    <m/>
    <m/>
    <m/>
    <m/>
    <m/>
    <m/>
    <m/>
    <m/>
    <m/>
    <m/>
    <m/>
    <m/>
    <m/>
    <m/>
    <n v="0"/>
    <n v="0"/>
    <n v="0"/>
    <n v="0"/>
  </r>
  <r>
    <x v="9"/>
    <s v="Wilkes Community College "/>
    <m/>
    <n v="199926"/>
    <x v="7"/>
    <n v="76"/>
    <n v="310103"/>
    <n v="84"/>
    <n v="416380"/>
    <n v="76"/>
    <n v="344025"/>
    <n v="84"/>
    <n v="414086"/>
    <m/>
    <m/>
    <m/>
    <m/>
    <n v="76"/>
    <n v="271118"/>
    <n v="84"/>
    <n v="303074"/>
    <m/>
    <m/>
    <m/>
    <m/>
    <m/>
    <m/>
    <m/>
    <m/>
    <m/>
    <m/>
    <m/>
    <m/>
    <m/>
    <m/>
    <m/>
    <m/>
    <m/>
    <m/>
    <m/>
    <m/>
    <n v="76"/>
    <n v="925246"/>
    <n v="84"/>
    <n v="1133540"/>
    <m/>
    <m/>
    <m/>
    <m/>
    <m/>
    <m/>
    <m/>
    <m/>
    <m/>
    <m/>
    <m/>
    <m/>
    <m/>
    <m/>
    <m/>
    <m/>
    <m/>
    <m/>
    <m/>
    <m/>
    <m/>
    <m/>
    <m/>
    <m/>
    <m/>
    <m/>
    <m/>
    <m/>
    <m/>
    <m/>
    <m/>
    <m/>
    <m/>
    <m/>
    <m/>
    <m/>
    <n v="0"/>
    <n v="0"/>
    <n v="0"/>
    <n v="0"/>
  </r>
  <r>
    <x v="9"/>
    <s v="Wilson Technical Community College"/>
    <s v="Reclassified, meets the criteria for Two-Year 3."/>
    <n v="199953"/>
    <x v="8"/>
    <n v="52"/>
    <n v="164313"/>
    <n v="54"/>
    <n v="198654"/>
    <n v="52"/>
    <n v="150696"/>
    <n v="54"/>
    <n v="199649"/>
    <m/>
    <m/>
    <m/>
    <m/>
    <n v="52"/>
    <n v="143657"/>
    <n v="54"/>
    <n v="192797"/>
    <m/>
    <m/>
    <m/>
    <m/>
    <m/>
    <m/>
    <m/>
    <m/>
    <m/>
    <m/>
    <m/>
    <m/>
    <m/>
    <m/>
    <m/>
    <m/>
    <m/>
    <m/>
    <m/>
    <m/>
    <n v="52"/>
    <n v="458666"/>
    <n v="54"/>
    <n v="591100"/>
    <m/>
    <m/>
    <m/>
    <m/>
    <m/>
    <m/>
    <m/>
    <m/>
    <m/>
    <m/>
    <m/>
    <m/>
    <m/>
    <m/>
    <m/>
    <m/>
    <m/>
    <m/>
    <m/>
    <m/>
    <m/>
    <m/>
    <m/>
    <m/>
    <m/>
    <m/>
    <m/>
    <m/>
    <m/>
    <m/>
    <m/>
    <m/>
    <m/>
    <m/>
    <m/>
    <m/>
    <n v="0"/>
    <n v="0"/>
    <n v="0"/>
    <n v="0"/>
  </r>
  <r>
    <x v="9"/>
    <s v="Beaufort County Community College "/>
    <m/>
    <n v="197966"/>
    <x v="8"/>
    <n v="59"/>
    <n v="263149"/>
    <n v="64"/>
    <n v="331543"/>
    <n v="59"/>
    <n v="267072"/>
    <n v="64"/>
    <n v="314880"/>
    <m/>
    <m/>
    <m/>
    <m/>
    <n v="59"/>
    <n v="206470"/>
    <n v="64"/>
    <n v="220356"/>
    <m/>
    <m/>
    <m/>
    <m/>
    <m/>
    <m/>
    <m/>
    <m/>
    <m/>
    <m/>
    <m/>
    <m/>
    <m/>
    <m/>
    <m/>
    <m/>
    <m/>
    <m/>
    <m/>
    <m/>
    <n v="59"/>
    <n v="736691"/>
    <n v="64"/>
    <n v="866779"/>
    <m/>
    <m/>
    <m/>
    <m/>
    <m/>
    <m/>
    <m/>
    <m/>
    <m/>
    <m/>
    <m/>
    <m/>
    <m/>
    <m/>
    <m/>
    <m/>
    <m/>
    <m/>
    <m/>
    <m/>
    <m/>
    <m/>
    <m/>
    <m/>
    <m/>
    <m/>
    <m/>
    <m/>
    <m/>
    <m/>
    <m/>
    <m/>
    <m/>
    <m/>
    <m/>
    <m/>
    <n v="0"/>
    <n v="0"/>
    <n v="0"/>
    <n v="0"/>
  </r>
  <r>
    <x v="9"/>
    <s v="Bladen Community College"/>
    <m/>
    <n v="198011"/>
    <x v="8"/>
    <n v="43"/>
    <n v="181574"/>
    <n v="46"/>
    <n v="291129"/>
    <n v="43"/>
    <n v="194661"/>
    <n v="46"/>
    <n v="226762"/>
    <m/>
    <m/>
    <m/>
    <m/>
    <n v="43"/>
    <n v="158747"/>
    <n v="46"/>
    <n v="211906"/>
    <m/>
    <m/>
    <m/>
    <m/>
    <m/>
    <m/>
    <m/>
    <m/>
    <m/>
    <m/>
    <m/>
    <m/>
    <m/>
    <m/>
    <m/>
    <m/>
    <m/>
    <m/>
    <m/>
    <m/>
    <n v="43"/>
    <n v="534982"/>
    <n v="46"/>
    <n v="729797"/>
    <m/>
    <m/>
    <m/>
    <m/>
    <m/>
    <m/>
    <m/>
    <m/>
    <m/>
    <m/>
    <m/>
    <m/>
    <m/>
    <m/>
    <m/>
    <m/>
    <m/>
    <m/>
    <m/>
    <m/>
    <m/>
    <m/>
    <m/>
    <m/>
    <m/>
    <m/>
    <m/>
    <m/>
    <m/>
    <m/>
    <m/>
    <m/>
    <m/>
    <m/>
    <m/>
    <m/>
    <n v="0"/>
    <n v="0"/>
    <n v="0"/>
    <n v="0"/>
  </r>
  <r>
    <x v="9"/>
    <s v="Brunswick Community College"/>
    <m/>
    <n v="198084"/>
    <x v="8"/>
    <n v="49"/>
    <n v="154278"/>
    <n v="53"/>
    <n v="196769"/>
    <n v="49"/>
    <n v="107734"/>
    <n v="53"/>
    <n v="261268"/>
    <m/>
    <m/>
    <m/>
    <m/>
    <n v="49"/>
    <n v="134882"/>
    <n v="53"/>
    <n v="143224"/>
    <m/>
    <m/>
    <m/>
    <m/>
    <m/>
    <m/>
    <m/>
    <m/>
    <m/>
    <m/>
    <m/>
    <m/>
    <m/>
    <m/>
    <m/>
    <m/>
    <m/>
    <m/>
    <m/>
    <m/>
    <n v="49"/>
    <n v="396894"/>
    <n v="53"/>
    <n v="601261"/>
    <m/>
    <m/>
    <m/>
    <m/>
    <m/>
    <m/>
    <m/>
    <m/>
    <m/>
    <m/>
    <m/>
    <m/>
    <m/>
    <m/>
    <m/>
    <m/>
    <m/>
    <m/>
    <m/>
    <m/>
    <m/>
    <m/>
    <m/>
    <m/>
    <m/>
    <m/>
    <m/>
    <m/>
    <m/>
    <m/>
    <m/>
    <m/>
    <m/>
    <m/>
    <m/>
    <m/>
    <n v="0"/>
    <n v="0"/>
    <n v="0"/>
    <n v="0"/>
  </r>
  <r>
    <x v="9"/>
    <s v="Carteret Community College"/>
    <m/>
    <n v="198206"/>
    <x v="8"/>
    <n v="66"/>
    <n v="259666"/>
    <n v="60"/>
    <n v="282341"/>
    <n v="66"/>
    <n v="224069"/>
    <n v="60"/>
    <n v="221832"/>
    <m/>
    <m/>
    <m/>
    <m/>
    <n v="66"/>
    <n v="221087"/>
    <n v="60"/>
    <n v="205510"/>
    <m/>
    <m/>
    <m/>
    <m/>
    <m/>
    <m/>
    <m/>
    <m/>
    <m/>
    <m/>
    <m/>
    <m/>
    <m/>
    <m/>
    <m/>
    <m/>
    <m/>
    <m/>
    <m/>
    <m/>
    <n v="66"/>
    <n v="704822"/>
    <n v="60"/>
    <n v="709683"/>
    <m/>
    <m/>
    <m/>
    <m/>
    <m/>
    <m/>
    <m/>
    <m/>
    <m/>
    <m/>
    <m/>
    <m/>
    <m/>
    <m/>
    <m/>
    <m/>
    <m/>
    <m/>
    <m/>
    <m/>
    <m/>
    <m/>
    <m/>
    <m/>
    <m/>
    <m/>
    <m/>
    <m/>
    <m/>
    <m/>
    <m/>
    <m/>
    <m/>
    <m/>
    <m/>
    <m/>
    <n v="0"/>
    <n v="0"/>
    <n v="0"/>
    <n v="0"/>
  </r>
  <r>
    <x v="9"/>
    <s v="Halifax Community College "/>
    <m/>
    <n v="198640"/>
    <x v="8"/>
    <n v="66"/>
    <n v="200883"/>
    <n v="64"/>
    <n v="181541"/>
    <n v="66"/>
    <n v="278231"/>
    <n v="64"/>
    <n v="26291"/>
    <m/>
    <m/>
    <m/>
    <m/>
    <n v="66"/>
    <n v="210008"/>
    <n v="64"/>
    <n v="223023"/>
    <m/>
    <m/>
    <m/>
    <m/>
    <m/>
    <m/>
    <m/>
    <m/>
    <m/>
    <m/>
    <m/>
    <m/>
    <m/>
    <m/>
    <m/>
    <m/>
    <m/>
    <m/>
    <m/>
    <m/>
    <n v="66"/>
    <n v="689122"/>
    <n v="64"/>
    <n v="430855"/>
    <m/>
    <m/>
    <m/>
    <m/>
    <m/>
    <m/>
    <m/>
    <m/>
    <m/>
    <m/>
    <m/>
    <m/>
    <m/>
    <m/>
    <m/>
    <m/>
    <m/>
    <m/>
    <m/>
    <m/>
    <m/>
    <m/>
    <m/>
    <m/>
    <m/>
    <m/>
    <m/>
    <m/>
    <m/>
    <m/>
    <m/>
    <m/>
    <m/>
    <m/>
    <m/>
    <m/>
    <n v="0"/>
    <n v="0"/>
    <n v="0"/>
    <n v="0"/>
  </r>
  <r>
    <x v="9"/>
    <s v="James Sprunt Community College"/>
    <m/>
    <n v="198729"/>
    <x v="8"/>
    <n v="58"/>
    <n v="217502"/>
    <n v="58"/>
    <n v="253859"/>
    <n v="58"/>
    <n v="262545"/>
    <n v="58"/>
    <n v="285917"/>
    <m/>
    <m/>
    <m/>
    <m/>
    <n v="58"/>
    <n v="190159"/>
    <n v="58"/>
    <n v="184778"/>
    <m/>
    <m/>
    <m/>
    <m/>
    <m/>
    <m/>
    <m/>
    <m/>
    <m/>
    <m/>
    <m/>
    <m/>
    <m/>
    <m/>
    <m/>
    <m/>
    <m/>
    <m/>
    <m/>
    <m/>
    <n v="58"/>
    <n v="670206"/>
    <n v="58"/>
    <n v="724554"/>
    <m/>
    <m/>
    <m/>
    <m/>
    <m/>
    <m/>
    <m/>
    <m/>
    <m/>
    <m/>
    <m/>
    <m/>
    <m/>
    <m/>
    <m/>
    <m/>
    <m/>
    <m/>
    <m/>
    <m/>
    <m/>
    <m/>
    <m/>
    <m/>
    <m/>
    <m/>
    <m/>
    <m/>
    <m/>
    <m/>
    <m/>
    <m/>
    <m/>
    <m/>
    <m/>
    <m/>
    <n v="0"/>
    <n v="0"/>
    <n v="0"/>
    <n v="0"/>
  </r>
  <r>
    <x v="9"/>
    <s v="Martin Community College "/>
    <m/>
    <n v="198905"/>
    <x v="8"/>
    <n v="27"/>
    <n v="98581"/>
    <n v="23"/>
    <n v="103617"/>
    <n v="27"/>
    <n v="122219"/>
    <n v="23"/>
    <n v="113381"/>
    <m/>
    <m/>
    <m/>
    <m/>
    <n v="27"/>
    <n v="86188"/>
    <n v="23"/>
    <n v="75420"/>
    <m/>
    <m/>
    <m/>
    <m/>
    <m/>
    <m/>
    <m/>
    <m/>
    <m/>
    <m/>
    <m/>
    <m/>
    <m/>
    <m/>
    <m/>
    <m/>
    <m/>
    <m/>
    <m/>
    <m/>
    <n v="27"/>
    <n v="306988"/>
    <n v="23"/>
    <n v="292418"/>
    <m/>
    <m/>
    <m/>
    <m/>
    <m/>
    <m/>
    <m/>
    <m/>
    <m/>
    <m/>
    <m/>
    <m/>
    <m/>
    <m/>
    <m/>
    <m/>
    <m/>
    <m/>
    <m/>
    <m/>
    <m/>
    <m/>
    <m/>
    <m/>
    <m/>
    <m/>
    <m/>
    <m/>
    <m/>
    <m/>
    <m/>
    <m/>
    <m/>
    <m/>
    <m/>
    <m/>
    <n v="0"/>
    <n v="0"/>
    <n v="0"/>
    <n v="0"/>
  </r>
  <r>
    <x v="9"/>
    <s v="McDowell Technical Community College"/>
    <m/>
    <n v="198923"/>
    <x v="8"/>
    <n v="49"/>
    <n v="195982"/>
    <n v="49"/>
    <n v="185262"/>
    <n v="49"/>
    <n v="221821"/>
    <n v="49"/>
    <n v="241550"/>
    <m/>
    <m/>
    <m/>
    <m/>
    <n v="49"/>
    <n v="171345"/>
    <n v="49"/>
    <n v="164301"/>
    <m/>
    <m/>
    <m/>
    <m/>
    <m/>
    <m/>
    <m/>
    <m/>
    <m/>
    <m/>
    <m/>
    <m/>
    <m/>
    <m/>
    <m/>
    <m/>
    <m/>
    <m/>
    <m/>
    <m/>
    <n v="49"/>
    <n v="589148"/>
    <n v="49"/>
    <n v="591113"/>
    <m/>
    <m/>
    <m/>
    <m/>
    <m/>
    <m/>
    <m/>
    <m/>
    <m/>
    <m/>
    <m/>
    <m/>
    <m/>
    <m/>
    <m/>
    <m/>
    <m/>
    <m/>
    <m/>
    <m/>
    <m/>
    <m/>
    <m/>
    <m/>
    <m/>
    <m/>
    <m/>
    <m/>
    <m/>
    <m/>
    <m/>
    <m/>
    <m/>
    <m/>
    <m/>
    <m/>
    <n v="0"/>
    <n v="0"/>
    <n v="0"/>
    <n v="0"/>
  </r>
  <r>
    <x v="9"/>
    <s v="Montgomery Community College"/>
    <m/>
    <n v="199023"/>
    <x v="8"/>
    <n v="40"/>
    <n v="147386"/>
    <n v="41"/>
    <n v="182588"/>
    <n v="40"/>
    <n v="135799"/>
    <n v="41"/>
    <n v="151585"/>
    <m/>
    <m/>
    <m/>
    <m/>
    <n v="40"/>
    <n v="128858"/>
    <n v="41"/>
    <n v="132902"/>
    <m/>
    <m/>
    <m/>
    <m/>
    <m/>
    <m/>
    <m/>
    <m/>
    <m/>
    <m/>
    <m/>
    <m/>
    <m/>
    <m/>
    <m/>
    <m/>
    <m/>
    <m/>
    <m/>
    <m/>
    <n v="40"/>
    <n v="412043"/>
    <n v="41"/>
    <n v="467075"/>
    <m/>
    <m/>
    <m/>
    <m/>
    <m/>
    <m/>
    <m/>
    <m/>
    <m/>
    <m/>
    <m/>
    <m/>
    <m/>
    <m/>
    <m/>
    <m/>
    <m/>
    <m/>
    <m/>
    <m/>
    <m/>
    <m/>
    <m/>
    <m/>
    <m/>
    <m/>
    <m/>
    <m/>
    <m/>
    <m/>
    <m/>
    <m/>
    <m/>
    <m/>
    <m/>
    <m/>
    <n v="0"/>
    <n v="0"/>
    <n v="0"/>
    <n v="0"/>
  </r>
  <r>
    <x v="9"/>
    <s v="Pamlico Community College"/>
    <m/>
    <n v="199263"/>
    <x v="8"/>
    <n v="28"/>
    <n v="92195"/>
    <n v="27"/>
    <n v="125090"/>
    <n v="28"/>
    <n v="107559"/>
    <n v="27"/>
    <n v="126016"/>
    <m/>
    <m/>
    <m/>
    <m/>
    <n v="28"/>
    <n v="93188"/>
    <n v="28"/>
    <n v="95703"/>
    <m/>
    <m/>
    <m/>
    <m/>
    <m/>
    <m/>
    <m/>
    <m/>
    <m/>
    <m/>
    <m/>
    <m/>
    <m/>
    <m/>
    <m/>
    <m/>
    <m/>
    <m/>
    <m/>
    <m/>
    <n v="28"/>
    <n v="292942"/>
    <n v="28"/>
    <n v="346809"/>
    <m/>
    <m/>
    <m/>
    <m/>
    <m/>
    <m/>
    <m/>
    <m/>
    <m/>
    <m/>
    <m/>
    <m/>
    <m/>
    <m/>
    <m/>
    <m/>
    <m/>
    <m/>
    <m/>
    <m/>
    <m/>
    <m/>
    <m/>
    <m/>
    <m/>
    <m/>
    <m/>
    <m/>
    <m/>
    <m/>
    <m/>
    <m/>
    <m/>
    <m/>
    <m/>
    <m/>
    <n v="0"/>
    <n v="0"/>
    <n v="0"/>
    <n v="0"/>
  </r>
  <r>
    <x v="9"/>
    <s v="Roanoke-Chowan Community College"/>
    <m/>
    <n v="199467"/>
    <x v="8"/>
    <n v="41"/>
    <n v="175310"/>
    <n v="36"/>
    <n v="189190"/>
    <n v="41"/>
    <n v="185592"/>
    <n v="35"/>
    <n v="172536"/>
    <m/>
    <m/>
    <m/>
    <m/>
    <n v="41"/>
    <n v="153271"/>
    <n v="36"/>
    <n v="137707"/>
    <m/>
    <m/>
    <m/>
    <m/>
    <m/>
    <m/>
    <m/>
    <m/>
    <m/>
    <m/>
    <m/>
    <m/>
    <m/>
    <m/>
    <m/>
    <m/>
    <m/>
    <m/>
    <m/>
    <m/>
    <n v="41"/>
    <n v="514173"/>
    <n v="36"/>
    <n v="499433"/>
    <m/>
    <m/>
    <m/>
    <m/>
    <m/>
    <m/>
    <m/>
    <m/>
    <m/>
    <m/>
    <m/>
    <m/>
    <m/>
    <m/>
    <m/>
    <m/>
    <m/>
    <m/>
    <m/>
    <m/>
    <m/>
    <m/>
    <m/>
    <m/>
    <m/>
    <m/>
    <m/>
    <m/>
    <m/>
    <m/>
    <m/>
    <m/>
    <m/>
    <m/>
    <m/>
    <m/>
    <n v="0"/>
    <n v="0"/>
    <n v="0"/>
    <n v="0"/>
  </r>
  <r>
    <x v="9"/>
    <s v="Sampson Community College"/>
    <m/>
    <n v="199625"/>
    <x v="8"/>
    <n v="59"/>
    <n v="228106"/>
    <n v="65"/>
    <n v="305516"/>
    <n v="58"/>
    <n v="196909"/>
    <n v="64"/>
    <n v="236621"/>
    <m/>
    <m/>
    <m/>
    <m/>
    <n v="59"/>
    <n v="199430"/>
    <n v="65"/>
    <n v="222378"/>
    <m/>
    <m/>
    <m/>
    <m/>
    <m/>
    <m/>
    <m/>
    <m/>
    <m/>
    <m/>
    <m/>
    <m/>
    <m/>
    <m/>
    <m/>
    <m/>
    <m/>
    <m/>
    <m/>
    <m/>
    <n v="59"/>
    <n v="624445"/>
    <n v="65"/>
    <n v="764515"/>
    <m/>
    <m/>
    <m/>
    <m/>
    <m/>
    <m/>
    <m/>
    <m/>
    <m/>
    <m/>
    <m/>
    <m/>
    <m/>
    <m/>
    <m/>
    <m/>
    <m/>
    <m/>
    <m/>
    <m/>
    <m/>
    <m/>
    <m/>
    <m/>
    <m/>
    <m/>
    <m/>
    <m/>
    <m/>
    <m/>
    <m/>
    <m/>
    <m/>
    <m/>
    <m/>
    <m/>
    <n v="0"/>
    <n v="0"/>
    <n v="0"/>
    <n v="0"/>
  </r>
  <r>
    <x v="9"/>
    <s v="Tri-County Community College "/>
    <m/>
    <n v="199795"/>
    <x v="8"/>
    <n v="29"/>
    <n v="137683"/>
    <n v="27"/>
    <n v="132402"/>
    <n v="35"/>
    <n v="158432"/>
    <n v="34"/>
    <n v="167586"/>
    <m/>
    <m/>
    <m/>
    <m/>
    <n v="35"/>
    <n v="120374"/>
    <n v="34"/>
    <n v="115757"/>
    <m/>
    <m/>
    <m/>
    <m/>
    <m/>
    <m/>
    <m/>
    <m/>
    <m/>
    <m/>
    <m/>
    <m/>
    <m/>
    <m/>
    <m/>
    <m/>
    <m/>
    <m/>
    <m/>
    <m/>
    <n v="35"/>
    <n v="416489"/>
    <n v="34"/>
    <n v="415745"/>
    <m/>
    <m/>
    <m/>
    <m/>
    <m/>
    <m/>
    <m/>
    <m/>
    <m/>
    <m/>
    <m/>
    <m/>
    <m/>
    <m/>
    <m/>
    <m/>
    <m/>
    <m/>
    <m/>
    <m/>
    <m/>
    <m/>
    <m/>
    <m/>
    <m/>
    <m/>
    <m/>
    <m/>
    <m/>
    <m/>
    <m/>
    <m/>
    <m/>
    <m/>
    <m/>
    <m/>
    <n v="0"/>
    <n v="0"/>
    <n v="0"/>
    <n v="0"/>
  </r>
  <r>
    <x v="10"/>
    <s v="Oklahoma State University Main Campus"/>
    <m/>
    <n v="207388"/>
    <x v="0"/>
    <n v="753"/>
    <n v="9678309"/>
    <n v="747"/>
    <n v="9772254"/>
    <n v="753"/>
    <n v="3124950"/>
    <n v="747"/>
    <n v="3255426"/>
    <m/>
    <m/>
    <m/>
    <m/>
    <n v="753"/>
    <n v="4169361"/>
    <n v="747"/>
    <n v="4138380"/>
    <n v="753"/>
    <n v="32379"/>
    <n v="747"/>
    <n v="33615"/>
    <n v="753"/>
    <n v="359934"/>
    <n v="747"/>
    <n v="357066"/>
    <n v="753"/>
    <n v="276351"/>
    <n v="747"/>
    <n v="354078"/>
    <m/>
    <m/>
    <m/>
    <m/>
    <n v="753"/>
    <n v="0"/>
    <n v="747"/>
    <n v="0"/>
    <n v="753"/>
    <n v="17641284"/>
    <n v="747"/>
    <n v="17910819"/>
    <n v="175"/>
    <n v="2476950"/>
    <n v="183"/>
    <n v="2394372"/>
    <n v="175"/>
    <n v="677425"/>
    <n v="183"/>
    <n v="746091"/>
    <m/>
    <m/>
    <m/>
    <m/>
    <n v="175"/>
    <n v="1025150"/>
    <n v="183"/>
    <n v="1026081"/>
    <n v="175"/>
    <n v="7525"/>
    <n v="183"/>
    <n v="8235"/>
    <n v="175"/>
    <n v="81900"/>
    <n v="183"/>
    <n v="46665"/>
    <n v="175"/>
    <n v="75425"/>
    <n v="183"/>
    <n v="99186"/>
    <m/>
    <m/>
    <m/>
    <m/>
    <n v="175"/>
    <n v="0"/>
    <n v="183"/>
    <n v="0"/>
    <n v="175"/>
    <n v="4344375"/>
    <n v="183"/>
    <n v="4320630"/>
  </r>
  <r>
    <x v="10"/>
    <s v="University of Oklahoma Norman Campus"/>
    <m/>
    <n v="207500"/>
    <x v="0"/>
    <n v="1000"/>
    <n v="17145000"/>
    <n v="982"/>
    <n v="19015448"/>
    <n v="1000"/>
    <n v="5707000"/>
    <n v="982"/>
    <n v="5627842"/>
    <m/>
    <m/>
    <m/>
    <m/>
    <n v="1000"/>
    <n v="5457000"/>
    <n v="982"/>
    <n v="5358774"/>
    <n v="1000"/>
    <n v="1000"/>
    <n v="982"/>
    <n v="982"/>
    <n v="1000"/>
    <n v="155000"/>
    <n v="982"/>
    <n v="152210"/>
    <n v="1000"/>
    <n v="525000"/>
    <n v="982"/>
    <n v="662850"/>
    <m/>
    <m/>
    <m/>
    <m/>
    <n v="1000"/>
    <n v="2000"/>
    <n v="982"/>
    <n v="1964"/>
    <n v="1000"/>
    <n v="28992000"/>
    <n v="982"/>
    <n v="30820070"/>
    <n v="124"/>
    <n v="3966884"/>
    <n v="136"/>
    <n v="4722056"/>
    <n v="124"/>
    <n v="766196"/>
    <n v="136"/>
    <n v="839800"/>
    <m/>
    <m/>
    <m/>
    <m/>
    <n v="124"/>
    <n v="987040"/>
    <n v="136"/>
    <n v="1061616"/>
    <n v="124"/>
    <n v="124"/>
    <n v="136"/>
    <n v="136"/>
    <n v="124"/>
    <n v="32240"/>
    <n v="136"/>
    <n v="62016"/>
    <n v="124"/>
    <n v="108996"/>
    <n v="136"/>
    <n v="151096"/>
    <m/>
    <m/>
    <m/>
    <m/>
    <n v="124"/>
    <n v="248"/>
    <n v="136"/>
    <n v="272"/>
    <n v="124"/>
    <n v="5861728"/>
    <n v="136"/>
    <n v="6836992"/>
  </r>
  <r>
    <x v="10"/>
    <s v="Northeastern State University"/>
    <m/>
    <n v="207263"/>
    <x v="2"/>
    <n v="288"/>
    <n v="2267136"/>
    <n v="296"/>
    <n v="2414472"/>
    <n v="288"/>
    <n v="1540800"/>
    <n v="296"/>
    <n v="1741960"/>
    <m/>
    <m/>
    <m/>
    <m/>
    <n v="288"/>
    <n v="1159488"/>
    <n v="296"/>
    <n v="1176600"/>
    <n v="288"/>
    <n v="40896"/>
    <n v="296"/>
    <n v="44104"/>
    <n v="288"/>
    <n v="93888"/>
    <n v="296"/>
    <n v="95312"/>
    <n v="288"/>
    <n v="230400"/>
    <n v="296"/>
    <n v="236800"/>
    <m/>
    <m/>
    <m/>
    <m/>
    <n v="288"/>
    <n v="56160"/>
    <n v="296"/>
    <n v="56832"/>
    <n v="288"/>
    <n v="5388768"/>
    <n v="296"/>
    <n v="5766080"/>
    <n v="34"/>
    <n v="415412"/>
    <n v="37"/>
    <n v="476264"/>
    <n v="34"/>
    <n v="181900"/>
    <n v="37"/>
    <n v="217745"/>
    <m/>
    <m/>
    <m/>
    <m/>
    <n v="34"/>
    <n v="200736"/>
    <n v="37"/>
    <n v="220557"/>
    <n v="34"/>
    <n v="4828"/>
    <n v="37"/>
    <n v="5513"/>
    <n v="34"/>
    <n v="16490"/>
    <n v="37"/>
    <n v="18093"/>
    <n v="34"/>
    <n v="27200"/>
    <n v="37"/>
    <n v="29600"/>
    <m/>
    <m/>
    <m/>
    <m/>
    <n v="34"/>
    <n v="9860"/>
    <n v="37"/>
    <n v="10804"/>
    <n v="34"/>
    <n v="856426"/>
    <n v="37"/>
    <n v="978576"/>
  </r>
  <r>
    <x v="10"/>
    <s v="University of Central Oklahoma"/>
    <m/>
    <n v="206941"/>
    <x v="2"/>
    <n v="445"/>
    <n v="1782225"/>
    <n v="448"/>
    <n v="1688064"/>
    <n v="445"/>
    <n v="1970460"/>
    <n v="448"/>
    <n v="2109632"/>
    <m/>
    <m/>
    <m/>
    <m/>
    <n v="445"/>
    <n v="2150240"/>
    <n v="448"/>
    <n v="2060800"/>
    <n v="445"/>
    <n v="0"/>
    <n v="448"/>
    <n v="0"/>
    <n v="445"/>
    <n v="178000"/>
    <n v="448"/>
    <n v="179200"/>
    <n v="445"/>
    <n v="0"/>
    <n v="448"/>
    <n v="0"/>
    <m/>
    <m/>
    <m/>
    <m/>
    <n v="445"/>
    <n v="0"/>
    <n v="448"/>
    <n v="99904"/>
    <n v="445"/>
    <n v="6080925"/>
    <n v="448"/>
    <n v="6137600"/>
    <n v="0"/>
    <m/>
    <n v="0"/>
    <m/>
    <n v="0"/>
    <m/>
    <n v="0"/>
    <m/>
    <m/>
    <m/>
    <m/>
    <m/>
    <n v="0"/>
    <m/>
    <n v="0"/>
    <m/>
    <n v="0"/>
    <m/>
    <n v="0"/>
    <m/>
    <n v="0"/>
    <m/>
    <n v="0"/>
    <m/>
    <n v="0"/>
    <m/>
    <n v="0"/>
    <m/>
    <m/>
    <m/>
    <m/>
    <m/>
    <n v="0"/>
    <m/>
    <n v="0"/>
    <n v="0"/>
    <n v="0"/>
    <n v="0"/>
    <n v="0"/>
    <n v="0"/>
  </r>
  <r>
    <x v="10"/>
    <s v="Cameron University "/>
    <m/>
    <n v="206914"/>
    <x v="4"/>
    <n v="168"/>
    <n v="1592808"/>
    <n v="173"/>
    <n v="1673602"/>
    <n v="168"/>
    <n v="866040"/>
    <n v="173"/>
    <n v="946137"/>
    <m/>
    <m/>
    <m/>
    <m/>
    <n v="168"/>
    <n v="661416"/>
    <n v="173"/>
    <n v="683004"/>
    <n v="168"/>
    <n v="18312"/>
    <n v="173"/>
    <n v="18857"/>
    <n v="168"/>
    <n v="108192"/>
    <n v="173"/>
    <n v="94631"/>
    <n v="168"/>
    <n v="68376"/>
    <n v="173"/>
    <n v="75947"/>
    <m/>
    <m/>
    <m/>
    <m/>
    <n v="168"/>
    <n v="40824"/>
    <n v="173"/>
    <n v="40482"/>
    <n v="168"/>
    <n v="3355968"/>
    <n v="173"/>
    <n v="3532660"/>
    <n v="0"/>
    <m/>
    <n v="6"/>
    <n v="51774"/>
    <n v="0"/>
    <m/>
    <n v="6"/>
    <n v="32814"/>
    <m/>
    <m/>
    <m/>
    <m/>
    <n v="0"/>
    <m/>
    <n v="6"/>
    <n v="20862"/>
    <n v="0"/>
    <m/>
    <n v="6"/>
    <n v="654"/>
    <n v="0"/>
    <m/>
    <n v="6"/>
    <n v="2898"/>
    <n v="0"/>
    <m/>
    <n v="6"/>
    <n v="2316"/>
    <m/>
    <m/>
    <m/>
    <m/>
    <n v="0"/>
    <m/>
    <n v="6"/>
    <n v="1254"/>
    <n v="0"/>
    <n v="0"/>
    <n v="6"/>
    <n v="112572"/>
  </r>
  <r>
    <x v="10"/>
    <s v="East Central University "/>
    <m/>
    <n v="207041"/>
    <x v="4"/>
    <n v="160"/>
    <n v="1502400"/>
    <n v="157"/>
    <n v="1480510"/>
    <n v="160"/>
    <n v="924800"/>
    <n v="157"/>
    <n v="952833"/>
    <m/>
    <m/>
    <m/>
    <m/>
    <n v="160"/>
    <n v="636480"/>
    <n v="157"/>
    <n v="624232"/>
    <n v="160"/>
    <n v="22720"/>
    <n v="157"/>
    <n v="23393"/>
    <n v="160"/>
    <n v="64640"/>
    <n v="157"/>
    <n v="63428"/>
    <n v="160"/>
    <n v="102560"/>
    <n v="157"/>
    <n v="105033"/>
    <m/>
    <m/>
    <m/>
    <m/>
    <n v="160"/>
    <n v="34240"/>
    <n v="157"/>
    <n v="33598"/>
    <n v="160"/>
    <n v="3287840"/>
    <n v="157"/>
    <n v="3283027"/>
    <n v="12"/>
    <n v="155076"/>
    <n v="10"/>
    <n v="115450"/>
    <n v="12"/>
    <n v="69360"/>
    <n v="10"/>
    <n v="60690"/>
    <m/>
    <m/>
    <m/>
    <m/>
    <n v="12"/>
    <n v="1704"/>
    <n v="10"/>
    <n v="49700"/>
    <n v="12"/>
    <n v="6876"/>
    <n v="10"/>
    <n v="1490"/>
    <n v="12"/>
    <m/>
    <n v="10"/>
    <n v="5050"/>
    <n v="12"/>
    <n v="4968"/>
    <n v="10"/>
    <n v="3640"/>
    <m/>
    <m/>
    <m/>
    <m/>
    <n v="12"/>
    <n v="3648"/>
    <n v="10"/>
    <n v="2680"/>
    <n v="12"/>
    <n v="241632"/>
    <n v="10"/>
    <n v="238700"/>
  </r>
  <r>
    <x v="10"/>
    <s v="Langston University"/>
    <m/>
    <n v="207209"/>
    <x v="4"/>
    <n v="96"/>
    <n v="712032"/>
    <n v="89"/>
    <n v="718675"/>
    <n v="96"/>
    <n v="408960"/>
    <n v="89"/>
    <n v="427378"/>
    <m/>
    <m/>
    <m/>
    <m/>
    <n v="96"/>
    <n v="278880"/>
    <n v="89"/>
    <n v="277057"/>
    <n v="96"/>
    <n v="14304"/>
    <n v="89"/>
    <n v="16554"/>
    <n v="96"/>
    <n v="32544"/>
    <n v="89"/>
    <n v="30616"/>
    <n v="96"/>
    <n v="37440"/>
    <n v="89"/>
    <n v="34888"/>
    <m/>
    <m/>
    <m/>
    <m/>
    <n v="96"/>
    <n v="65184"/>
    <n v="89"/>
    <n v="82859"/>
    <n v="96"/>
    <n v="1549344"/>
    <n v="89"/>
    <n v="1588027"/>
    <n v="50"/>
    <n v="476150"/>
    <n v="47"/>
    <n v="471316"/>
    <n v="50"/>
    <n v="213000"/>
    <n v="47"/>
    <n v="225694"/>
    <m/>
    <m/>
    <m/>
    <m/>
    <n v="50"/>
    <n v="192950"/>
    <n v="47"/>
    <n v="181749"/>
    <n v="50"/>
    <n v="7450"/>
    <n v="47"/>
    <n v="8742"/>
    <n v="50"/>
    <n v="21800"/>
    <n v="47"/>
    <n v="20539"/>
    <n v="50"/>
    <n v="20850"/>
    <n v="47"/>
    <n v="22795"/>
    <m/>
    <m/>
    <m/>
    <m/>
    <n v="50"/>
    <n v="42850"/>
    <n v="47"/>
    <n v="54332"/>
    <n v="50"/>
    <n v="975050"/>
    <n v="47"/>
    <n v="985167"/>
  </r>
  <r>
    <x v="10"/>
    <s v="Northwestern Oklahoma State University "/>
    <m/>
    <n v="207306"/>
    <x v="4"/>
    <n v="78"/>
    <n v="701688"/>
    <n v="82"/>
    <n v="756860"/>
    <n v="78"/>
    <n v="395382"/>
    <n v="82"/>
    <n v="448458"/>
    <m/>
    <m/>
    <m/>
    <m/>
    <n v="78"/>
    <n v="292422"/>
    <n v="82"/>
    <n v="308238"/>
    <n v="78"/>
    <n v="11076"/>
    <n v="82"/>
    <n v="15252"/>
    <n v="78"/>
    <n v="23868"/>
    <n v="82"/>
    <n v="25174"/>
    <n v="78"/>
    <n v="40560"/>
    <n v="82"/>
    <n v="43050"/>
    <m/>
    <m/>
    <m/>
    <m/>
    <n v="78"/>
    <n v="22932"/>
    <n v="82"/>
    <n v="23452"/>
    <n v="78"/>
    <n v="1487928"/>
    <n v="82"/>
    <n v="1620484"/>
    <n v="7"/>
    <n v="89103"/>
    <n v="7"/>
    <n v="91014"/>
    <n v="7"/>
    <n v="35483"/>
    <n v="7"/>
    <n v="38283"/>
    <m/>
    <m/>
    <m/>
    <m/>
    <n v="7"/>
    <n v="38276"/>
    <n v="7"/>
    <n v="38276"/>
    <n v="7"/>
    <n v="994"/>
    <n v="7"/>
    <n v="1302"/>
    <n v="7"/>
    <n v="3122"/>
    <n v="7"/>
    <n v="3122"/>
    <n v="7"/>
    <n v="5306"/>
    <n v="7"/>
    <n v="5341"/>
    <m/>
    <m/>
    <m/>
    <m/>
    <n v="7"/>
    <n v="2695"/>
    <n v="7"/>
    <n v="2632"/>
    <n v="7"/>
    <n v="174979"/>
    <n v="7"/>
    <n v="179970"/>
  </r>
  <r>
    <x v="10"/>
    <s v="Southeastern Oklahoma State University "/>
    <s v="Met the criteria for Four-Year 4 in 2010-11."/>
    <n v="207847"/>
    <x v="4"/>
    <n v="129"/>
    <n v="1110174"/>
    <n v="128"/>
    <n v="1115008"/>
    <n v="129"/>
    <n v="651708"/>
    <n v="128"/>
    <n v="712064"/>
    <m/>
    <m/>
    <m/>
    <m/>
    <n v="129"/>
    <n v="570567"/>
    <n v="128"/>
    <n v="566528"/>
    <n v="129"/>
    <n v="91332"/>
    <n v="128"/>
    <n v="90752"/>
    <n v="129"/>
    <n v="36378"/>
    <n v="128"/>
    <n v="36096"/>
    <n v="129"/>
    <n v="102813"/>
    <n v="128"/>
    <n v="102144"/>
    <m/>
    <m/>
    <m/>
    <m/>
    <n v="129"/>
    <n v="40377"/>
    <n v="128"/>
    <n v="39936"/>
    <n v="129"/>
    <n v="2603349"/>
    <n v="128"/>
    <n v="2662528"/>
    <n v="12"/>
    <n v="161112"/>
    <n v="12"/>
    <n v="161436"/>
    <n v="12"/>
    <n v="57012"/>
    <n v="12"/>
    <n v="68088"/>
    <m/>
    <m/>
    <m/>
    <m/>
    <n v="12"/>
    <n v="74136"/>
    <n v="12"/>
    <n v="73860"/>
    <n v="12"/>
    <n v="12840"/>
    <n v="12"/>
    <n v="12732"/>
    <n v="12"/>
    <n v="5124"/>
    <n v="12"/>
    <n v="5076"/>
    <n v="12"/>
    <n v="12312"/>
    <n v="12"/>
    <n v="12192"/>
    <m/>
    <m/>
    <m/>
    <m/>
    <n v="12"/>
    <n v="5160"/>
    <n v="12"/>
    <n v="5124"/>
    <n v="12"/>
    <n v="327696"/>
    <n v="12"/>
    <n v="338508"/>
  </r>
  <r>
    <x v="10"/>
    <s v="Southwestern Oklahoma State University"/>
    <m/>
    <n v="207865"/>
    <x v="4"/>
    <n v="191"/>
    <n v="1886889"/>
    <n v="193"/>
    <n v="1955862"/>
    <n v="191"/>
    <n v="980976"/>
    <n v="193"/>
    <n v="1086590"/>
    <m/>
    <m/>
    <m/>
    <m/>
    <n v="191"/>
    <n v="778898"/>
    <n v="193"/>
    <n v="800757"/>
    <n v="191"/>
    <n v="28650"/>
    <n v="193"/>
    <n v="28950"/>
    <n v="191"/>
    <n v="67232"/>
    <n v="193"/>
    <n v="69287"/>
    <n v="191"/>
    <n v="122240"/>
    <n v="193"/>
    <n v="125836"/>
    <m/>
    <m/>
    <m/>
    <m/>
    <n v="191"/>
    <n v="54053"/>
    <n v="193"/>
    <n v="55391"/>
    <n v="191"/>
    <n v="3918938"/>
    <n v="193"/>
    <n v="4122673"/>
    <n v="19"/>
    <n v="317737"/>
    <n v="21"/>
    <n v="343287"/>
    <n v="19"/>
    <n v="98477"/>
    <n v="21"/>
    <n v="117747"/>
    <m/>
    <m/>
    <m/>
    <m/>
    <n v="19"/>
    <n v="132487"/>
    <n v="21"/>
    <n v="143850"/>
    <n v="19"/>
    <n v="2850"/>
    <n v="21"/>
    <n v="3150"/>
    <n v="19"/>
    <n v="11761"/>
    <n v="21"/>
    <n v="12621"/>
    <n v="19"/>
    <n v="21375"/>
    <n v="21"/>
    <n v="22974"/>
    <m/>
    <m/>
    <m/>
    <m/>
    <n v="19"/>
    <n v="8227"/>
    <n v="21"/>
    <n v="8883"/>
    <n v="19"/>
    <n v="592914"/>
    <n v="21"/>
    <n v="652512"/>
  </r>
  <r>
    <x v="10"/>
    <s v="Oklahoma Panhandle State University "/>
    <m/>
    <n v="207351"/>
    <x v="5"/>
    <n v="45"/>
    <n v="326925"/>
    <n v="44"/>
    <n v="342760"/>
    <n v="45"/>
    <n v="191655"/>
    <n v="44"/>
    <n v="217008"/>
    <m/>
    <m/>
    <m/>
    <m/>
    <n v="45"/>
    <n v="135675"/>
    <n v="44"/>
    <n v="138512"/>
    <n v="45"/>
    <n v="6390"/>
    <n v="44"/>
    <n v="6424"/>
    <n v="45"/>
    <n v="13185"/>
    <n v="44"/>
    <n v="13464"/>
    <n v="45"/>
    <n v="11520"/>
    <n v="44"/>
    <n v="12188"/>
    <m/>
    <m/>
    <m/>
    <m/>
    <n v="45"/>
    <n v="8685"/>
    <n v="44"/>
    <n v="8888"/>
    <n v="45"/>
    <n v="694035"/>
    <n v="44"/>
    <n v="739244"/>
    <n v="9"/>
    <n v="57807"/>
    <n v="9"/>
    <n v="73314"/>
    <n v="9"/>
    <n v="38331"/>
    <n v="9"/>
    <n v="45306"/>
    <m/>
    <m/>
    <m/>
    <m/>
    <n v="9"/>
    <n v="23652"/>
    <n v="9"/>
    <n v="29709"/>
    <n v="9"/>
    <n v="1278"/>
    <n v="9"/>
    <n v="1341"/>
    <n v="9"/>
    <n v="2304"/>
    <n v="9"/>
    <n v="2889"/>
    <n v="9"/>
    <n v="2007"/>
    <n v="9"/>
    <n v="4086"/>
    <m/>
    <m/>
    <m/>
    <m/>
    <n v="9"/>
    <n v="1512"/>
    <n v="9"/>
    <n v="1755"/>
    <n v="9"/>
    <n v="126891"/>
    <n v="9"/>
    <n v="158400"/>
  </r>
  <r>
    <x v="10"/>
    <s v="Rogers State University"/>
    <m/>
    <n v="207661"/>
    <x v="5"/>
    <n v="83"/>
    <n v="1038496"/>
    <n v="92"/>
    <n v="1129392"/>
    <n v="83"/>
    <n v="418818"/>
    <n v="92"/>
    <n v="499376"/>
    <m/>
    <m/>
    <m/>
    <m/>
    <n v="83"/>
    <n v="316562"/>
    <n v="92"/>
    <n v="357696"/>
    <n v="83"/>
    <n v="11786"/>
    <n v="92"/>
    <n v="13708"/>
    <n v="83"/>
    <n v="26394"/>
    <n v="92"/>
    <n v="29256"/>
    <n v="83"/>
    <n v="16351"/>
    <n v="92"/>
    <n v="21804"/>
    <m/>
    <m/>
    <m/>
    <m/>
    <n v="83"/>
    <n v="14110"/>
    <n v="92"/>
    <n v="15364"/>
    <n v="83"/>
    <n v="1842517"/>
    <n v="92"/>
    <n v="2066596"/>
    <n v="13"/>
    <n v="220350"/>
    <n v="9"/>
    <n v="133560"/>
    <n v="13"/>
    <n v="65598"/>
    <n v="9"/>
    <n v="48852"/>
    <m/>
    <m/>
    <m/>
    <m/>
    <n v="13"/>
    <n v="67366"/>
    <n v="9"/>
    <n v="43263"/>
    <n v="13"/>
    <n v="1846"/>
    <n v="9"/>
    <n v="1341"/>
    <n v="13"/>
    <n v="5551"/>
    <n v="9"/>
    <n v="3600"/>
    <n v="13"/>
    <n v="3549"/>
    <n v="9"/>
    <n v="2673"/>
    <m/>
    <m/>
    <m/>
    <m/>
    <n v="13"/>
    <n v="3211"/>
    <n v="9"/>
    <n v="2043"/>
    <n v="13"/>
    <n v="367471"/>
    <n v="9"/>
    <n v="235332"/>
  </r>
  <r>
    <x v="10"/>
    <s v="University of Science and Arts of Oklahoma"/>
    <m/>
    <n v="207722"/>
    <x v="5"/>
    <n v="47"/>
    <n v="391134"/>
    <n v="47"/>
    <n v="268135"/>
    <n v="47"/>
    <n v="266819"/>
    <n v="47"/>
    <n v="270344"/>
    <m/>
    <m/>
    <m/>
    <m/>
    <n v="47"/>
    <n v="183629"/>
    <n v="47"/>
    <n v="180997"/>
    <n v="47"/>
    <n v="7003"/>
    <n v="47"/>
    <n v="8742"/>
    <n v="47"/>
    <n v="10340"/>
    <n v="47"/>
    <n v="13254"/>
    <n v="47"/>
    <n v="16074"/>
    <n v="47"/>
    <n v="18471"/>
    <m/>
    <m/>
    <m/>
    <m/>
    <n v="47"/>
    <n v="13959"/>
    <n v="47"/>
    <n v="13677"/>
    <n v="47"/>
    <n v="888958"/>
    <n v="47"/>
    <n v="773620"/>
    <n v="9"/>
    <n v="100062"/>
    <n v="9"/>
    <n v="61542"/>
    <n v="9"/>
    <n v="51093"/>
    <n v="9"/>
    <n v="51768"/>
    <m/>
    <m/>
    <m/>
    <m/>
    <n v="9"/>
    <n v="49383"/>
    <n v="9"/>
    <n v="43794"/>
    <n v="9"/>
    <n v="1341"/>
    <n v="9"/>
    <n v="1674"/>
    <n v="9"/>
    <n v="2772"/>
    <n v="9"/>
    <n v="3204"/>
    <n v="9"/>
    <n v="4320"/>
    <n v="9"/>
    <n v="4464"/>
    <m/>
    <m/>
    <m/>
    <m/>
    <n v="9"/>
    <n v="3357"/>
    <n v="9"/>
    <n v="3060"/>
    <n v="9"/>
    <n v="212328"/>
    <n v="9"/>
    <n v="169506"/>
  </r>
  <r>
    <x v="10"/>
    <s v="Oklahoma State University Technical Branch-Okmulgee "/>
    <m/>
    <n v="207564"/>
    <x v="11"/>
    <n v="111"/>
    <m/>
    <n v="113"/>
    <n v="1082540"/>
    <n v="111"/>
    <m/>
    <n v="113"/>
    <n v="493019"/>
    <m/>
    <m/>
    <m/>
    <m/>
    <n v="111"/>
    <m/>
    <n v="113"/>
    <n v="443299"/>
    <n v="111"/>
    <n v="4773"/>
    <n v="113"/>
    <n v="5085"/>
    <n v="111"/>
    <n v="39405"/>
    <n v="113"/>
    <n v="39098"/>
    <n v="111"/>
    <n v="28416"/>
    <n v="113"/>
    <n v="36499"/>
    <m/>
    <m/>
    <m/>
    <m/>
    <n v="111"/>
    <n v="0"/>
    <n v="113"/>
    <n v="0"/>
    <n v="111"/>
    <n v="72594"/>
    <n v="113"/>
    <n v="2099540"/>
    <n v="13"/>
    <n v="171288"/>
    <n v="9"/>
    <n v="115650"/>
    <n v="13"/>
    <n v="54028"/>
    <n v="9"/>
    <n v="39267"/>
    <m/>
    <m/>
    <m/>
    <m/>
    <n v="13"/>
    <n v="67028"/>
    <n v="9"/>
    <n v="44469"/>
    <n v="13"/>
    <n v="559"/>
    <n v="9"/>
    <n v="405"/>
    <n v="13"/>
    <n v="5915"/>
    <n v="9"/>
    <n v="3924"/>
    <n v="13"/>
    <n v="4290"/>
    <n v="9"/>
    <n v="3663"/>
    <m/>
    <m/>
    <m/>
    <m/>
    <n v="13"/>
    <n v="0"/>
    <n v="9"/>
    <n v="0"/>
    <n v="13"/>
    <n v="303108"/>
    <n v="9"/>
    <n v="207378"/>
  </r>
  <r>
    <x v="10"/>
    <s v="Oklahoma City Community College "/>
    <m/>
    <n v="207449"/>
    <x v="6"/>
    <n v="144"/>
    <n v="1799424"/>
    <n v="146"/>
    <n v="1793610"/>
    <n v="144"/>
    <n v="876528"/>
    <n v="146"/>
    <n v="894688"/>
    <m/>
    <m/>
    <m/>
    <m/>
    <n v="144"/>
    <n v="438624"/>
    <n v="146"/>
    <n v="437562"/>
    <n v="144"/>
    <n v="11376"/>
    <n v="146"/>
    <n v="11242"/>
    <n v="144"/>
    <n v="50976"/>
    <n v="146"/>
    <n v="27156"/>
    <n v="144"/>
    <n v="47520"/>
    <n v="146"/>
    <n v="55042"/>
    <m/>
    <m/>
    <m/>
    <m/>
    <n v="144"/>
    <n v="28944"/>
    <n v="146"/>
    <n v="23214"/>
    <n v="144"/>
    <n v="3253392"/>
    <n v="146"/>
    <n v="3242514"/>
    <n v="1"/>
    <n v="21956"/>
    <n v="0"/>
    <m/>
    <n v="1"/>
    <n v="6087"/>
    <n v="0"/>
    <m/>
    <m/>
    <m/>
    <m/>
    <m/>
    <n v="1"/>
    <n v="5569"/>
    <n v="0"/>
    <m/>
    <n v="1"/>
    <n v="144"/>
    <n v="0"/>
    <m/>
    <n v="1"/>
    <n v="648"/>
    <n v="0"/>
    <m/>
    <n v="1"/>
    <n v="602"/>
    <n v="0"/>
    <m/>
    <m/>
    <m/>
    <m/>
    <m/>
    <n v="1"/>
    <n v="368"/>
    <n v="0"/>
    <n v="0"/>
    <n v="1"/>
    <n v="35374"/>
    <n v="0"/>
    <n v="0"/>
  </r>
  <r>
    <x v="10"/>
    <s v="Tulsa Community College "/>
    <m/>
    <n v="207935"/>
    <x v="6"/>
    <n v="260"/>
    <n v="3293420"/>
    <n v="256"/>
    <n v="3309312"/>
    <n v="260"/>
    <n v="1476800"/>
    <n v="256"/>
    <n v="1474048"/>
    <m/>
    <m/>
    <m/>
    <m/>
    <n v="260"/>
    <n v="1074320"/>
    <n v="256"/>
    <n v="1084160"/>
    <n v="260"/>
    <n v="0"/>
    <n v="256"/>
    <n v="0"/>
    <n v="260"/>
    <n v="87880"/>
    <n v="256"/>
    <n v="85248"/>
    <n v="260"/>
    <n v="33800"/>
    <n v="256"/>
    <n v="34560"/>
    <m/>
    <m/>
    <m/>
    <m/>
    <n v="260"/>
    <n v="120120"/>
    <n v="256"/>
    <n v="114944"/>
    <n v="260"/>
    <n v="6086340"/>
    <n v="256"/>
    <n v="6102272"/>
    <n v="41"/>
    <n v="575968"/>
    <n v="42"/>
    <n v="605136"/>
    <n v="41"/>
    <n v="240875"/>
    <n v="42"/>
    <n v="250530"/>
    <m/>
    <m/>
    <m/>
    <m/>
    <n v="41"/>
    <n v="189379"/>
    <n v="42"/>
    <n v="195678"/>
    <n v="41"/>
    <n v="0"/>
    <n v="42"/>
    <n v="0"/>
    <n v="41"/>
    <n v="15785"/>
    <n v="42"/>
    <n v="16254"/>
    <n v="41"/>
    <n v="5330"/>
    <n v="42"/>
    <n v="5670"/>
    <m/>
    <m/>
    <m/>
    <m/>
    <n v="41"/>
    <n v="20254"/>
    <n v="42"/>
    <n v="21546"/>
    <n v="41"/>
    <n v="1047591"/>
    <n v="42"/>
    <n v="1094814"/>
  </r>
  <r>
    <x v="10"/>
    <s v="Northern Oklahoma College "/>
    <m/>
    <n v="207281"/>
    <x v="7"/>
    <n v="95"/>
    <n v="899745"/>
    <n v="92"/>
    <n v="905832"/>
    <n v="95"/>
    <n v="530005"/>
    <n v="92"/>
    <n v="535256"/>
    <m/>
    <m/>
    <m/>
    <m/>
    <n v="95"/>
    <n v="335730"/>
    <n v="92"/>
    <n v="325404"/>
    <n v="95"/>
    <n v="13395"/>
    <n v="92"/>
    <n v="17112"/>
    <n v="95"/>
    <n v="20045"/>
    <n v="92"/>
    <n v="19412"/>
    <n v="95"/>
    <n v="23370"/>
    <n v="92"/>
    <n v="22632"/>
    <m/>
    <m/>
    <m/>
    <m/>
    <n v="95"/>
    <n v="31635"/>
    <n v="92"/>
    <n v="30636"/>
    <n v="95"/>
    <n v="1853925"/>
    <n v="92"/>
    <n v="1856284"/>
    <n v="3"/>
    <n v="32169"/>
    <n v="3"/>
    <n v="33093"/>
    <n v="3"/>
    <n v="16737"/>
    <n v="3"/>
    <n v="17454"/>
    <m/>
    <m/>
    <m/>
    <m/>
    <n v="3"/>
    <n v="12366"/>
    <n v="3"/>
    <n v="12366"/>
    <n v="3"/>
    <n v="447"/>
    <n v="3"/>
    <n v="558"/>
    <n v="3"/>
    <n v="738"/>
    <n v="3"/>
    <n v="738"/>
    <n v="3"/>
    <n v="1638"/>
    <n v="3"/>
    <n v="1638"/>
    <m/>
    <m/>
    <m/>
    <m/>
    <n v="3"/>
    <n v="1164"/>
    <n v="3"/>
    <n v="1164"/>
    <n v="3"/>
    <n v="65259"/>
    <n v="3"/>
    <n v="67011"/>
  </r>
  <r>
    <x v="10"/>
    <s v="Oklahoma State University-Oklahoma City "/>
    <s v="Met criteria for Two-Year with Bachelor's in 2009-10 and 2010-11."/>
    <n v="207397"/>
    <x v="7"/>
    <n v="53"/>
    <m/>
    <n v="53"/>
    <n v="486487"/>
    <n v="53"/>
    <m/>
    <n v="53"/>
    <n v="231239"/>
    <m/>
    <m/>
    <m/>
    <m/>
    <n v="53"/>
    <m/>
    <n v="53"/>
    <n v="193927"/>
    <n v="53"/>
    <n v="2279"/>
    <n v="53"/>
    <n v="2385"/>
    <n v="53"/>
    <n v="17119"/>
    <n v="53"/>
    <n v="17119"/>
    <n v="53"/>
    <n v="12402"/>
    <n v="53"/>
    <n v="15953"/>
    <m/>
    <m/>
    <m/>
    <m/>
    <n v="53"/>
    <n v="0"/>
    <n v="53"/>
    <n v="0"/>
    <n v="53"/>
    <n v="31800"/>
    <n v="53"/>
    <n v="947110"/>
    <n v="28"/>
    <n v="330568"/>
    <n v="29"/>
    <n v="336545"/>
    <n v="28"/>
    <m/>
    <n v="29"/>
    <n v="126527"/>
    <m/>
    <m/>
    <m/>
    <m/>
    <n v="28"/>
    <m/>
    <n v="29"/>
    <n v="137663"/>
    <n v="28"/>
    <m/>
    <n v="29"/>
    <n v="1305"/>
    <n v="28"/>
    <m/>
    <n v="29"/>
    <n v="12151"/>
    <n v="28"/>
    <m/>
    <n v="29"/>
    <n v="11223"/>
    <m/>
    <m/>
    <m/>
    <m/>
    <n v="28"/>
    <m/>
    <n v="29"/>
    <n v="0"/>
    <n v="28"/>
    <n v="330568"/>
    <n v="29"/>
    <n v="625414"/>
  </r>
  <r>
    <x v="10"/>
    <s v="Rose State College "/>
    <s v="Met the criteria for Two-Year 1 institution in 2009-10 and 2010-11."/>
    <n v="207670"/>
    <x v="7"/>
    <n v="104"/>
    <n v="1127568"/>
    <n v="100"/>
    <n v="1076900"/>
    <n v="104"/>
    <n v="592072"/>
    <n v="100"/>
    <n v="609200"/>
    <m/>
    <m/>
    <m/>
    <m/>
    <n v="104"/>
    <n v="373152"/>
    <n v="100"/>
    <n v="353800"/>
    <n v="104"/>
    <n v="15496"/>
    <n v="100"/>
    <n v="14900"/>
    <n v="104"/>
    <n v="18720"/>
    <n v="100"/>
    <n v="17800"/>
    <n v="104"/>
    <n v="31720"/>
    <n v="100"/>
    <n v="30100"/>
    <m/>
    <m/>
    <m/>
    <m/>
    <n v="104"/>
    <n v="45760"/>
    <n v="100"/>
    <n v="41300"/>
    <n v="104"/>
    <n v="2204488"/>
    <n v="100"/>
    <n v="2144000"/>
    <n v="17"/>
    <n v="232713"/>
    <n v="17"/>
    <n v="234192"/>
    <n v="17"/>
    <n v="96798"/>
    <n v="17"/>
    <n v="103564"/>
    <m/>
    <m/>
    <m/>
    <m/>
    <n v="17"/>
    <n v="78727"/>
    <n v="17"/>
    <n v="78880"/>
    <n v="17"/>
    <n v="2533"/>
    <n v="17"/>
    <n v="2533"/>
    <n v="17"/>
    <n v="3944"/>
    <n v="17"/>
    <n v="3961"/>
    <n v="17"/>
    <n v="6698"/>
    <n v="17"/>
    <n v="6698"/>
    <m/>
    <m/>
    <m/>
    <m/>
    <n v="17"/>
    <n v="9112"/>
    <n v="17"/>
    <n v="8755"/>
    <n v="17"/>
    <n v="430525"/>
    <n v="17"/>
    <n v="438583"/>
  </r>
  <r>
    <x v="10"/>
    <s v="Carl Albert State College"/>
    <s v="Met the criteria for Two-Year 2 institution in 2010-11."/>
    <n v="206923"/>
    <x v="8"/>
    <n v="39"/>
    <n v="320112"/>
    <n v="47"/>
    <n v="448662"/>
    <n v="39"/>
    <n v="205452"/>
    <n v="47"/>
    <n v="271096"/>
    <m/>
    <m/>
    <m/>
    <m/>
    <n v="39"/>
    <n v="126594"/>
    <n v="47"/>
    <n v="170328"/>
    <n v="39"/>
    <n v="5811"/>
    <n v="47"/>
    <n v="8742"/>
    <n v="39"/>
    <n v="9360"/>
    <n v="47"/>
    <n v="13536"/>
    <n v="39"/>
    <n v="10764"/>
    <n v="47"/>
    <n v="9588"/>
    <m/>
    <m/>
    <m/>
    <m/>
    <n v="39"/>
    <n v="936"/>
    <n v="47"/>
    <n v="1128"/>
    <n v="39"/>
    <n v="679029"/>
    <n v="47"/>
    <n v="923080"/>
    <n v="6"/>
    <n v="58284"/>
    <n v="6"/>
    <n v="59292"/>
    <n v="6"/>
    <n v="31608"/>
    <n v="6"/>
    <n v="34608"/>
    <m/>
    <m/>
    <m/>
    <m/>
    <n v="6"/>
    <n v="18582"/>
    <n v="6"/>
    <n v="22500"/>
    <n v="6"/>
    <n v="894"/>
    <n v="6"/>
    <n v="1116"/>
    <n v="6"/>
    <n v="1098"/>
    <n v="6"/>
    <n v="1440"/>
    <n v="6"/>
    <n v="1578"/>
    <n v="6"/>
    <n v="1188"/>
    <m/>
    <m/>
    <m/>
    <m/>
    <n v="6"/>
    <n v="144"/>
    <n v="6"/>
    <n v="144"/>
    <n v="6"/>
    <n v="112188"/>
    <n v="6"/>
    <n v="120288"/>
  </r>
  <r>
    <x v="10"/>
    <s v="Connors State College "/>
    <m/>
    <n v="206996"/>
    <x v="8"/>
    <n v="46"/>
    <n v="379500"/>
    <n v="46"/>
    <n v="403742"/>
    <n v="46"/>
    <n v="200698"/>
    <n v="46"/>
    <n v="241086"/>
    <m/>
    <m/>
    <m/>
    <m/>
    <n v="46"/>
    <n v="151800"/>
    <n v="46"/>
    <n v="134136"/>
    <n v="46"/>
    <n v="2070"/>
    <n v="46"/>
    <n v="2070"/>
    <n v="46"/>
    <n v="12880"/>
    <n v="46"/>
    <n v="12512"/>
    <n v="46"/>
    <n v="18676"/>
    <n v="46"/>
    <n v="9890"/>
    <m/>
    <m/>
    <m/>
    <m/>
    <n v="46"/>
    <n v="9706"/>
    <n v="46"/>
    <n v="13570"/>
    <n v="46"/>
    <n v="775330"/>
    <n v="46"/>
    <n v="817006"/>
    <n v="3"/>
    <n v="29715"/>
    <n v="3"/>
    <n v="30900"/>
    <n v="3"/>
    <n v="13089"/>
    <n v="3"/>
    <n v="15720"/>
    <m/>
    <m/>
    <m/>
    <m/>
    <n v="3"/>
    <n v="10359"/>
    <n v="3"/>
    <n v="10266"/>
    <n v="3"/>
    <n v="405"/>
    <n v="3"/>
    <n v="135"/>
    <n v="3"/>
    <n v="1017"/>
    <n v="3"/>
    <n v="1038"/>
    <n v="3"/>
    <n v="1446"/>
    <n v="3"/>
    <n v="960"/>
    <m/>
    <m/>
    <m/>
    <m/>
    <n v="3"/>
    <n v="747"/>
    <n v="3"/>
    <n v="756"/>
    <n v="3"/>
    <n v="56778"/>
    <n v="3"/>
    <n v="59775"/>
  </r>
  <r>
    <x v="10"/>
    <s v="Eastern Oklahoma State College "/>
    <m/>
    <n v="207050"/>
    <x v="8"/>
    <n v="47"/>
    <n v="394048"/>
    <n v="46"/>
    <n v="419336"/>
    <n v="47"/>
    <n v="256620"/>
    <n v="46"/>
    <n v="264592"/>
    <m/>
    <m/>
    <m/>
    <m/>
    <n v="47"/>
    <n v="153220"/>
    <n v="46"/>
    <n v="159620"/>
    <n v="47"/>
    <n v="6627"/>
    <n v="46"/>
    <n v="6808"/>
    <n v="47"/>
    <n v="11938"/>
    <n v="46"/>
    <n v="12558"/>
    <n v="47"/>
    <n v="54332"/>
    <n v="46"/>
    <n v="56580"/>
    <m/>
    <m/>
    <m/>
    <m/>
    <n v="47"/>
    <n v="19223"/>
    <n v="46"/>
    <n v="0"/>
    <n v="47"/>
    <n v="896008"/>
    <n v="46"/>
    <n v="919494"/>
    <n v="0"/>
    <m/>
    <n v="0"/>
    <m/>
    <n v="0"/>
    <m/>
    <n v="0"/>
    <m/>
    <m/>
    <m/>
    <m/>
    <m/>
    <n v="0"/>
    <m/>
    <n v="0"/>
    <m/>
    <n v="0"/>
    <m/>
    <n v="0"/>
    <m/>
    <n v="0"/>
    <m/>
    <n v="0"/>
    <m/>
    <n v="0"/>
    <m/>
    <n v="0"/>
    <m/>
    <m/>
    <m/>
    <m/>
    <m/>
    <n v="0"/>
    <m/>
    <n v="0"/>
    <n v="0"/>
    <n v="0"/>
    <n v="0"/>
    <n v="0"/>
    <n v="0"/>
  </r>
  <r>
    <x v="10"/>
    <s v="Murray State College "/>
    <s v="Met the criteria for Two-Year 2 institution in 2010-11."/>
    <n v="207236"/>
    <x v="8"/>
    <n v="40"/>
    <n v="227240"/>
    <n v="36"/>
    <n v="245484"/>
    <n v="40"/>
    <n v="161920"/>
    <n v="36"/>
    <n v="195228"/>
    <m/>
    <m/>
    <m/>
    <m/>
    <n v="40"/>
    <n v="124520"/>
    <n v="36"/>
    <n v="111816"/>
    <n v="40"/>
    <n v="9000"/>
    <n v="36"/>
    <n v="8100"/>
    <n v="40"/>
    <n v="11520"/>
    <n v="36"/>
    <n v="10512"/>
    <n v="40"/>
    <n v="12200"/>
    <n v="36"/>
    <n v="10980"/>
    <m/>
    <m/>
    <m/>
    <m/>
    <n v="40"/>
    <n v="0"/>
    <n v="36"/>
    <n v="0"/>
    <n v="40"/>
    <n v="546400"/>
    <n v="36"/>
    <n v="582120"/>
    <n v="9"/>
    <n v="69156"/>
    <n v="9"/>
    <n v="87705"/>
    <n v="9"/>
    <n v="36432"/>
    <n v="9"/>
    <n v="48807"/>
    <m/>
    <m/>
    <m/>
    <m/>
    <n v="9"/>
    <n v="38475"/>
    <n v="9"/>
    <n v="38565"/>
    <n v="9"/>
    <n v="2025"/>
    <n v="9"/>
    <n v="2025"/>
    <n v="9"/>
    <n v="3618"/>
    <n v="9"/>
    <n v="3627"/>
    <n v="9"/>
    <n v="3771"/>
    <n v="9"/>
    <n v="3627"/>
    <m/>
    <m/>
    <m/>
    <m/>
    <n v="9"/>
    <n v="0"/>
    <n v="9"/>
    <n v="0"/>
    <n v="9"/>
    <n v="153477"/>
    <n v="9"/>
    <n v="184356"/>
  </r>
  <r>
    <x v="10"/>
    <s v="Northeastern Oklahoma A &amp; M College "/>
    <m/>
    <n v="207290"/>
    <x v="8"/>
    <n v="65"/>
    <n v="211380"/>
    <n v="56"/>
    <n v="197008"/>
    <n v="65"/>
    <n v="306865"/>
    <n v="56"/>
    <n v="294504"/>
    <m/>
    <m/>
    <m/>
    <m/>
    <n v="65"/>
    <n v="205530"/>
    <n v="56"/>
    <n v="175504"/>
    <n v="65"/>
    <n v="22750"/>
    <n v="56"/>
    <n v="19600"/>
    <n v="65"/>
    <n v="20020"/>
    <n v="56"/>
    <n v="17080"/>
    <n v="65"/>
    <n v="39520"/>
    <n v="56"/>
    <n v="33768"/>
    <m/>
    <m/>
    <m/>
    <m/>
    <n v="65"/>
    <n v="13195"/>
    <n v="56"/>
    <n v="11256"/>
    <n v="65"/>
    <n v="819260"/>
    <n v="56"/>
    <n v="748720"/>
    <n v="5"/>
    <n v="22205"/>
    <n v="10"/>
    <n v="46450"/>
    <n v="5"/>
    <n v="23605"/>
    <n v="10"/>
    <n v="52590"/>
    <m/>
    <m/>
    <m/>
    <m/>
    <n v="5"/>
    <n v="20510"/>
    <n v="10"/>
    <n v="41220"/>
    <n v="5"/>
    <n v="1750"/>
    <n v="10"/>
    <n v="3500"/>
    <n v="5"/>
    <n v="1990"/>
    <n v="10"/>
    <n v="4180"/>
    <n v="5"/>
    <n v="3945"/>
    <n v="10"/>
    <n v="8210"/>
    <m/>
    <m/>
    <m/>
    <m/>
    <n v="5"/>
    <n v="1315"/>
    <n v="10"/>
    <n v="2830"/>
    <n v="5"/>
    <n v="75320"/>
    <n v="10"/>
    <n v="158980"/>
  </r>
  <r>
    <x v="10"/>
    <s v="Redlands Community College"/>
    <m/>
    <n v="207069"/>
    <x v="8"/>
    <n v="24"/>
    <n v="181416"/>
    <n v="23"/>
    <n v="172776"/>
    <n v="24"/>
    <n v="153168"/>
    <n v="23"/>
    <n v="146096"/>
    <m/>
    <m/>
    <m/>
    <m/>
    <n v="24"/>
    <n v="74064"/>
    <n v="23"/>
    <n v="69460"/>
    <n v="24"/>
    <n v="3504"/>
    <n v="23"/>
    <n v="3864"/>
    <n v="24"/>
    <n v="2712"/>
    <n v="23"/>
    <n v="2530"/>
    <n v="24"/>
    <n v="9192"/>
    <n v="23"/>
    <n v="8832"/>
    <m/>
    <m/>
    <m/>
    <m/>
    <n v="24"/>
    <n v="7440"/>
    <n v="23"/>
    <n v="7015"/>
    <n v="24"/>
    <n v="431496"/>
    <n v="23"/>
    <n v="410573"/>
    <n v="6"/>
    <n v="53334"/>
    <n v="6"/>
    <n v="52818"/>
    <n v="6"/>
    <n v="38292"/>
    <n v="6"/>
    <n v="38112"/>
    <m/>
    <m/>
    <m/>
    <m/>
    <n v="6"/>
    <n v="21924"/>
    <n v="6"/>
    <n v="21708"/>
    <n v="6"/>
    <n v="876"/>
    <n v="6"/>
    <n v="1008"/>
    <n v="6"/>
    <n v="798"/>
    <n v="6"/>
    <n v="792"/>
    <n v="6"/>
    <n v="2724"/>
    <n v="6"/>
    <n v="2760"/>
    <m/>
    <m/>
    <m/>
    <m/>
    <n v="6"/>
    <n v="2118"/>
    <n v="6"/>
    <n v="2100"/>
    <n v="6"/>
    <n v="120066"/>
    <n v="6"/>
    <n v="119298"/>
  </r>
  <r>
    <x v="10"/>
    <s v="Seminole State College "/>
    <m/>
    <n v="207740"/>
    <x v="8"/>
    <n v="38"/>
    <n v="382926"/>
    <n v="40"/>
    <n v="416920"/>
    <n v="38"/>
    <n v="210710"/>
    <n v="40"/>
    <n v="243680"/>
    <m/>
    <m/>
    <m/>
    <m/>
    <n v="38"/>
    <n v="126160"/>
    <n v="40"/>
    <n v="130080"/>
    <n v="38"/>
    <n v="6270"/>
    <n v="40"/>
    <n v="6600"/>
    <n v="38"/>
    <n v="2964"/>
    <n v="40"/>
    <n v="3080"/>
    <n v="38"/>
    <n v="7030"/>
    <n v="40"/>
    <n v="12240"/>
    <m/>
    <m/>
    <m/>
    <m/>
    <n v="38"/>
    <n v="13186"/>
    <n v="40"/>
    <n v="12240"/>
    <n v="38"/>
    <n v="749246"/>
    <n v="40"/>
    <n v="824840"/>
    <n v="9"/>
    <n v="86463"/>
    <n v="7"/>
    <n v="78197"/>
    <n v="9"/>
    <n v="49905"/>
    <n v="7"/>
    <n v="42644"/>
    <m/>
    <m/>
    <m/>
    <m/>
    <n v="9"/>
    <n v="27819"/>
    <n v="7"/>
    <n v="24591"/>
    <n v="9"/>
    <n v="1485"/>
    <n v="7"/>
    <n v="1155"/>
    <n v="9"/>
    <n v="1746"/>
    <n v="7"/>
    <n v="581"/>
    <n v="9"/>
    <n v="1548"/>
    <n v="7"/>
    <n v="1988"/>
    <m/>
    <m/>
    <m/>
    <m/>
    <n v="9"/>
    <n v="2907"/>
    <n v="7"/>
    <n v="2142"/>
    <n v="9"/>
    <n v="171873"/>
    <n v="7"/>
    <n v="151298"/>
  </r>
  <r>
    <x v="10"/>
    <s v="Western Oklahoma State College "/>
    <m/>
    <n v="208035"/>
    <x v="8"/>
    <n v="37"/>
    <n v="331483"/>
    <n v="37"/>
    <n v="336071"/>
    <n v="37"/>
    <n v="205165"/>
    <n v="37"/>
    <n v="225441"/>
    <m/>
    <m/>
    <m/>
    <m/>
    <n v="37"/>
    <n v="101898"/>
    <n v="37"/>
    <n v="102231"/>
    <n v="37"/>
    <n v="3737"/>
    <n v="37"/>
    <n v="3737"/>
    <n v="37"/>
    <n v="7918"/>
    <n v="37"/>
    <n v="7992"/>
    <n v="37"/>
    <n v="18500"/>
    <n v="37"/>
    <n v="29600"/>
    <m/>
    <m/>
    <m/>
    <m/>
    <n v="37"/>
    <n v="11840"/>
    <n v="37"/>
    <n v="11877"/>
    <n v="37"/>
    <n v="680541"/>
    <n v="37"/>
    <n v="716949"/>
    <n v="4"/>
    <n v="41060"/>
    <n v="4"/>
    <n v="42976"/>
    <n v="4"/>
    <n v="22180"/>
    <n v="4"/>
    <n v="24372"/>
    <m/>
    <m/>
    <m/>
    <m/>
    <n v="4"/>
    <n v="12820"/>
    <n v="4"/>
    <n v="13344"/>
    <n v="4"/>
    <n v="404"/>
    <n v="4"/>
    <n v="404"/>
    <n v="4"/>
    <n v="988"/>
    <n v="4"/>
    <n v="1036"/>
    <n v="4"/>
    <n v="2000"/>
    <n v="4"/>
    <n v="1036"/>
    <m/>
    <m/>
    <m/>
    <m/>
    <n v="4"/>
    <n v="1488"/>
    <n v="4"/>
    <n v="1552"/>
    <n v="4"/>
    <n v="80940"/>
    <n v="4"/>
    <n v="84720"/>
  </r>
  <r>
    <x v="10"/>
    <s v="Canadian Valley Technology Center                 "/>
    <m/>
    <n v="365374"/>
    <x v="9"/>
    <n v="39"/>
    <n v="152548"/>
    <n v="39"/>
    <n v="156435"/>
    <n v="38"/>
    <n v="194458"/>
    <m/>
    <m/>
    <m/>
    <m/>
    <m/>
    <m/>
    <m/>
    <m/>
    <m/>
    <m/>
    <m/>
    <m/>
    <m/>
    <m/>
    <m/>
    <m/>
    <m/>
    <m/>
    <m/>
    <m/>
    <m/>
    <m/>
    <m/>
    <m/>
    <m/>
    <m/>
    <n v="39"/>
    <n v="24112"/>
    <n v="39"/>
    <n v="75086"/>
    <n v="39"/>
    <n v="371118"/>
    <n v="39"/>
    <n v="231521"/>
    <n v="14"/>
    <n v="65273"/>
    <n v="15"/>
    <n v="73395"/>
    <n v="14"/>
    <n v="71568"/>
    <n v="15"/>
    <n v="65565"/>
    <m/>
    <m/>
    <m/>
    <m/>
    <m/>
    <m/>
    <m/>
    <m/>
    <m/>
    <m/>
    <m/>
    <m/>
    <m/>
    <m/>
    <m/>
    <m/>
    <m/>
    <m/>
    <m/>
    <m/>
    <m/>
    <m/>
    <m/>
    <m/>
    <n v="14"/>
    <n v="8716"/>
    <n v="15"/>
    <n v="29674"/>
    <n v="14"/>
    <n v="145557"/>
    <n v="15"/>
    <n v="168634"/>
  </r>
  <r>
    <x v="10"/>
    <s v="Francis Tuttle Technology Center                  "/>
    <m/>
    <n v="245999"/>
    <x v="9"/>
    <n v="75"/>
    <n v="375258"/>
    <n v="76"/>
    <n v="381855"/>
    <n v="71"/>
    <n v="371980"/>
    <m/>
    <m/>
    <m/>
    <m/>
    <m/>
    <m/>
    <m/>
    <m/>
    <m/>
    <m/>
    <m/>
    <m/>
    <m/>
    <m/>
    <m/>
    <m/>
    <m/>
    <m/>
    <m/>
    <m/>
    <m/>
    <m/>
    <m/>
    <m/>
    <m/>
    <m/>
    <n v="75"/>
    <n v="249278"/>
    <n v="76"/>
    <n v="254212"/>
    <n v="75"/>
    <n v="996516"/>
    <n v="76"/>
    <n v="636067"/>
    <n v="21"/>
    <n v="117608"/>
    <n v="22"/>
    <n v="122608"/>
    <n v="20"/>
    <n v="106800"/>
    <n v="21"/>
    <n v="109200"/>
    <m/>
    <m/>
    <m/>
    <m/>
    <m/>
    <m/>
    <m/>
    <m/>
    <m/>
    <m/>
    <m/>
    <m/>
    <m/>
    <m/>
    <m/>
    <m/>
    <m/>
    <m/>
    <m/>
    <m/>
    <m/>
    <m/>
    <m/>
    <m/>
    <n v="21"/>
    <n v="71860"/>
    <n v="22"/>
    <n v="74860"/>
    <n v="21"/>
    <n v="296268"/>
    <n v="22"/>
    <n v="306668"/>
  </r>
  <r>
    <x v="10"/>
    <s v="Great Plains Technology Center                    "/>
    <s v="Met criteria for Technical Institute or College 2 in 2009-10 and 2010-11."/>
    <n v="364548"/>
    <x v="9"/>
    <n v="32"/>
    <n v="112589"/>
    <n v="30"/>
    <n v="109196"/>
    <n v="32"/>
    <n v="165067"/>
    <m/>
    <m/>
    <m/>
    <m/>
    <m/>
    <m/>
    <m/>
    <m/>
    <m/>
    <m/>
    <m/>
    <m/>
    <m/>
    <m/>
    <m/>
    <m/>
    <m/>
    <m/>
    <m/>
    <m/>
    <m/>
    <m/>
    <m/>
    <m/>
    <m/>
    <m/>
    <n v="32"/>
    <n v="34585"/>
    <n v="31"/>
    <n v="30046"/>
    <n v="32"/>
    <n v="312241"/>
    <n v="31"/>
    <n v="139242"/>
    <n v="21"/>
    <n v="79018"/>
    <n v="22"/>
    <n v="84750"/>
    <n v="19"/>
    <n v="97792"/>
    <n v="19"/>
    <n v="100053"/>
    <m/>
    <m/>
    <m/>
    <m/>
    <m/>
    <m/>
    <m/>
    <m/>
    <m/>
    <m/>
    <m/>
    <m/>
    <m/>
    <m/>
    <m/>
    <m/>
    <m/>
    <m/>
    <m/>
    <m/>
    <m/>
    <m/>
    <m/>
    <m/>
    <n v="21"/>
    <n v="17888"/>
    <n v="22"/>
    <n v="19362"/>
    <n v="21"/>
    <n v="194698"/>
    <n v="22"/>
    <n v="204165"/>
  </r>
  <r>
    <x v="10"/>
    <s v="Metro Technology Centers                          "/>
    <m/>
    <n v="363165"/>
    <x v="9"/>
    <n v="34"/>
    <n v="135564"/>
    <n v="32"/>
    <n v="123345"/>
    <n v="34"/>
    <n v="222210"/>
    <m/>
    <m/>
    <m/>
    <m/>
    <m/>
    <m/>
    <m/>
    <m/>
    <m/>
    <m/>
    <m/>
    <m/>
    <m/>
    <m/>
    <m/>
    <m/>
    <m/>
    <m/>
    <m/>
    <m/>
    <m/>
    <m/>
    <m/>
    <m/>
    <m/>
    <m/>
    <n v="34"/>
    <n v="10281"/>
    <n v="32"/>
    <n v="7973"/>
    <n v="34"/>
    <n v="368055"/>
    <n v="32"/>
    <n v="131318"/>
    <n v="30"/>
    <n v="130941"/>
    <n v="34"/>
    <n v="144894"/>
    <n v="30"/>
    <n v="196954"/>
    <n v="34"/>
    <n v="248880"/>
    <m/>
    <m/>
    <m/>
    <m/>
    <m/>
    <m/>
    <m/>
    <m/>
    <m/>
    <m/>
    <m/>
    <m/>
    <m/>
    <m/>
    <m/>
    <m/>
    <m/>
    <m/>
    <m/>
    <m/>
    <m/>
    <m/>
    <m/>
    <m/>
    <n v="30"/>
    <n v="8697"/>
    <n v="34"/>
    <n v="10016"/>
    <n v="30"/>
    <n v="336592"/>
    <n v="34"/>
    <n v="403790"/>
  </r>
  <r>
    <x v="10"/>
    <s v="Tulsa Technology Center-Broken Arrow Campus       "/>
    <s v="Met criteria for Technical Institute or College 2 in 2009-10 and 2010-11."/>
    <n v="261393"/>
    <x v="9"/>
    <m/>
    <m/>
    <m/>
    <m/>
    <m/>
    <m/>
    <m/>
    <m/>
    <m/>
    <m/>
    <m/>
    <m/>
    <m/>
    <m/>
    <m/>
    <m/>
    <m/>
    <m/>
    <m/>
    <m/>
    <m/>
    <m/>
    <m/>
    <m/>
    <m/>
    <m/>
    <m/>
    <m/>
    <m/>
    <m/>
    <m/>
    <m/>
    <m/>
    <m/>
    <m/>
    <m/>
    <n v="0"/>
    <n v="0"/>
    <n v="0"/>
    <n v="0"/>
    <n v="36"/>
    <n v="187509"/>
    <n v="36"/>
    <n v="187509"/>
    <m/>
    <m/>
    <n v="36"/>
    <n v="283597"/>
    <m/>
    <m/>
    <m/>
    <m/>
    <m/>
    <m/>
    <m/>
    <m/>
    <m/>
    <m/>
    <m/>
    <m/>
    <m/>
    <m/>
    <m/>
    <m/>
    <m/>
    <m/>
    <m/>
    <m/>
    <m/>
    <m/>
    <m/>
    <m/>
    <n v="36"/>
    <n v="224177"/>
    <n v="20"/>
    <n v="130708"/>
    <n v="36"/>
    <n v="411686"/>
    <n v="36"/>
    <n v="601814"/>
  </r>
  <r>
    <x v="10"/>
    <s v="Autry Technology Center                           "/>
    <m/>
    <n v="365213"/>
    <x v="10"/>
    <n v="15"/>
    <n v="47872"/>
    <n v="18"/>
    <n v="55129"/>
    <n v="15"/>
    <n v="77178"/>
    <n v="18"/>
    <n v="93114"/>
    <m/>
    <m/>
    <m/>
    <m/>
    <m/>
    <m/>
    <m/>
    <m/>
    <m/>
    <m/>
    <m/>
    <m/>
    <m/>
    <m/>
    <m/>
    <m/>
    <m/>
    <m/>
    <m/>
    <m/>
    <m/>
    <m/>
    <m/>
    <m/>
    <n v="15"/>
    <n v="19407"/>
    <n v="18"/>
    <n v="21912"/>
    <n v="15"/>
    <n v="144457"/>
    <n v="18"/>
    <n v="170155"/>
    <n v="14"/>
    <n v="57206"/>
    <n v="13"/>
    <n v="52948"/>
    <n v="14"/>
    <n v="72032"/>
    <n v="13"/>
    <n v="66887"/>
    <m/>
    <m/>
    <m/>
    <m/>
    <m/>
    <m/>
    <m/>
    <m/>
    <m/>
    <m/>
    <m/>
    <m/>
    <m/>
    <m/>
    <m/>
    <m/>
    <m/>
    <m/>
    <m/>
    <m/>
    <m/>
    <m/>
    <m/>
    <m/>
    <n v="14"/>
    <n v="18106"/>
    <n v="13"/>
    <n v="16770"/>
    <n v="14"/>
    <n v="147344"/>
    <n v="13"/>
    <n v="136605"/>
  </r>
  <r>
    <x v="10"/>
    <s v="Caddo Kiowa Technology Center                     "/>
    <m/>
    <n v="364946"/>
    <x v="10"/>
    <n v="21"/>
    <n v="74100"/>
    <n v="22"/>
    <n v="78761"/>
    <n v="21"/>
    <n v="103089"/>
    <n v="22"/>
    <n v="116503"/>
    <m/>
    <m/>
    <m/>
    <m/>
    <m/>
    <m/>
    <m/>
    <m/>
    <m/>
    <m/>
    <m/>
    <m/>
    <m/>
    <m/>
    <m/>
    <m/>
    <m/>
    <m/>
    <m/>
    <m/>
    <m/>
    <m/>
    <m/>
    <m/>
    <n v="21"/>
    <n v="21603"/>
    <n v="22"/>
    <n v="22604"/>
    <n v="21"/>
    <n v="198792"/>
    <n v="22"/>
    <n v="217868"/>
    <n v="13"/>
    <n v="51519"/>
    <n v="12"/>
    <n v="48048"/>
    <n v="11"/>
    <n v="53999"/>
    <n v="11"/>
    <n v="58454"/>
    <m/>
    <m/>
    <m/>
    <m/>
    <m/>
    <m/>
    <m/>
    <m/>
    <m/>
    <m/>
    <m/>
    <m/>
    <m/>
    <m/>
    <m/>
    <m/>
    <m/>
    <m/>
    <m/>
    <m/>
    <m/>
    <m/>
    <m/>
    <m/>
    <n v="13"/>
    <n v="12402"/>
    <n v="12"/>
    <n v="11972"/>
    <n v="13"/>
    <n v="117920"/>
    <n v="12"/>
    <n v="118474"/>
  </r>
  <r>
    <x v="10"/>
    <s v="Central Technology Center                         "/>
    <m/>
    <n v="246017"/>
    <x v="10"/>
    <n v="30"/>
    <n v="116215"/>
    <n v="30"/>
    <n v="105026"/>
    <n v="24"/>
    <n v="123480"/>
    <n v="24"/>
    <n v="128640"/>
    <m/>
    <m/>
    <m/>
    <m/>
    <m/>
    <m/>
    <m/>
    <m/>
    <m/>
    <m/>
    <m/>
    <m/>
    <m/>
    <m/>
    <m/>
    <m/>
    <m/>
    <m/>
    <m/>
    <m/>
    <m/>
    <m/>
    <m/>
    <m/>
    <n v="30"/>
    <n v="41115"/>
    <n v="5"/>
    <n v="16782"/>
    <n v="30"/>
    <n v="280810"/>
    <n v="30"/>
    <n v="250448"/>
    <n v="20"/>
    <n v="93319"/>
    <n v="17"/>
    <n v="70174"/>
    <n v="14"/>
    <n v="72030"/>
    <n v="13"/>
    <n v="69680"/>
    <m/>
    <m/>
    <m/>
    <m/>
    <m/>
    <m/>
    <m/>
    <m/>
    <m/>
    <m/>
    <m/>
    <m/>
    <m/>
    <m/>
    <m/>
    <m/>
    <m/>
    <m/>
    <m/>
    <m/>
    <m/>
    <m/>
    <m/>
    <m/>
    <n v="20"/>
    <n v="37569"/>
    <n v="17"/>
    <n v="30796"/>
    <n v="20"/>
    <n v="202918"/>
    <n v="17"/>
    <n v="170650"/>
  </r>
  <r>
    <x v="10"/>
    <s v="Chisholm Trail Technology Center                  "/>
    <m/>
    <n v="375656"/>
    <x v="10"/>
    <n v="4"/>
    <n v="13292"/>
    <n v="5"/>
    <n v="16758"/>
    <n v="3"/>
    <n v="13091"/>
    <n v="4"/>
    <n v="19636"/>
    <m/>
    <m/>
    <m/>
    <m/>
    <m/>
    <m/>
    <m/>
    <m/>
    <m/>
    <m/>
    <m/>
    <m/>
    <m/>
    <m/>
    <m/>
    <m/>
    <m/>
    <m/>
    <m/>
    <m/>
    <m/>
    <m/>
    <m/>
    <m/>
    <n v="4"/>
    <n v="17841"/>
    <n v="5"/>
    <n v="16782"/>
    <n v="4"/>
    <n v="44224"/>
    <n v="5"/>
    <n v="53176"/>
    <n v="2"/>
    <n v="9415"/>
    <n v="2"/>
    <n v="8216"/>
    <n v="1"/>
    <n v="4909"/>
    <n v="1"/>
    <n v="4909"/>
    <m/>
    <m/>
    <m/>
    <m/>
    <m/>
    <m/>
    <m/>
    <m/>
    <m/>
    <m/>
    <m/>
    <m/>
    <m/>
    <m/>
    <m/>
    <m/>
    <m/>
    <m/>
    <m/>
    <m/>
    <m/>
    <m/>
    <m/>
    <m/>
    <n v="2"/>
    <n v="13532"/>
    <n v="2"/>
    <n v="8052"/>
    <n v="2"/>
    <n v="27856"/>
    <n v="2"/>
    <n v="21177"/>
  </r>
  <r>
    <x v="10"/>
    <s v="Eastern Oklahoma County Technology Center         "/>
    <m/>
    <n v="418348"/>
    <x v="10"/>
    <n v="16"/>
    <n v="49283"/>
    <n v="16"/>
    <n v="49283"/>
    <n v="17"/>
    <n v="74307"/>
    <n v="17"/>
    <n v="74307"/>
    <m/>
    <m/>
    <m/>
    <m/>
    <m/>
    <m/>
    <m/>
    <m/>
    <m/>
    <m/>
    <m/>
    <m/>
    <m/>
    <m/>
    <m/>
    <m/>
    <m/>
    <m/>
    <m/>
    <m/>
    <m/>
    <m/>
    <m/>
    <m/>
    <n v="16"/>
    <n v="16105"/>
    <n v="16"/>
    <n v="16105"/>
    <n v="17"/>
    <n v="139695"/>
    <n v="17"/>
    <n v="139695"/>
    <n v="2"/>
    <n v="6491"/>
    <n v="2"/>
    <n v="6491"/>
    <n v="2"/>
    <n v="8742"/>
    <n v="2"/>
    <n v="8742"/>
    <m/>
    <m/>
    <m/>
    <m/>
    <m/>
    <m/>
    <m/>
    <m/>
    <m/>
    <m/>
    <m/>
    <m/>
    <m/>
    <m/>
    <m/>
    <m/>
    <m/>
    <m/>
    <m/>
    <m/>
    <m/>
    <m/>
    <m/>
    <m/>
    <n v="2"/>
    <n v="4156"/>
    <n v="2"/>
    <n v="4156"/>
    <n v="2"/>
    <n v="19389"/>
    <n v="2"/>
    <n v="19389"/>
  </r>
  <r>
    <x v="10"/>
    <s v="Gordon Cooper Technology Center                   "/>
    <m/>
    <n v="375683"/>
    <x v="10"/>
    <n v="31"/>
    <n v="103854"/>
    <n v="31"/>
    <n v="109632"/>
    <n v="22"/>
    <n v="104721"/>
    <n v="24"/>
    <n v="126953"/>
    <m/>
    <m/>
    <m/>
    <m/>
    <m/>
    <m/>
    <m/>
    <m/>
    <m/>
    <m/>
    <m/>
    <m/>
    <m/>
    <m/>
    <m/>
    <m/>
    <m/>
    <m/>
    <m/>
    <m/>
    <m/>
    <m/>
    <m/>
    <m/>
    <n v="32"/>
    <n v="136286"/>
    <n v="32"/>
    <n v="164152"/>
    <n v="32"/>
    <n v="344861"/>
    <n v="32"/>
    <n v="400737"/>
    <n v="7"/>
    <n v="26428"/>
    <n v="7"/>
    <n v="26286"/>
    <n v="7"/>
    <n v="39779"/>
    <n v="7"/>
    <n v="43480"/>
    <m/>
    <m/>
    <m/>
    <m/>
    <m/>
    <m/>
    <m/>
    <m/>
    <m/>
    <m/>
    <m/>
    <m/>
    <m/>
    <m/>
    <m/>
    <m/>
    <m/>
    <m/>
    <m/>
    <m/>
    <m/>
    <m/>
    <m/>
    <m/>
    <n v="7"/>
    <n v="12215"/>
    <n v="7"/>
    <n v="18654"/>
    <n v="7"/>
    <n v="78422"/>
    <n v="7"/>
    <n v="88420"/>
  </r>
  <r>
    <x v="10"/>
    <s v="Green Country Technology Center                   "/>
    <m/>
    <n v="428019"/>
    <x v="10"/>
    <n v="5"/>
    <n v="28834"/>
    <n v="6"/>
    <n v="49045"/>
    <n v="4"/>
    <n v="14189"/>
    <n v="4"/>
    <n v="21256"/>
    <m/>
    <m/>
    <m/>
    <m/>
    <m/>
    <m/>
    <m/>
    <m/>
    <m/>
    <m/>
    <m/>
    <m/>
    <m/>
    <m/>
    <m/>
    <m/>
    <m/>
    <m/>
    <m/>
    <m/>
    <m/>
    <m/>
    <m/>
    <m/>
    <n v="5"/>
    <n v="14253"/>
    <n v="6"/>
    <n v="6782"/>
    <n v="5"/>
    <n v="57276"/>
    <n v="6"/>
    <n v="77083"/>
    <n v="6"/>
    <n v="42114"/>
    <n v="6"/>
    <n v="59636"/>
    <n v="6"/>
    <n v="28378"/>
    <n v="6"/>
    <n v="31883"/>
    <m/>
    <m/>
    <m/>
    <m/>
    <m/>
    <m/>
    <m/>
    <m/>
    <m/>
    <m/>
    <m/>
    <m/>
    <m/>
    <m/>
    <m/>
    <m/>
    <m/>
    <m/>
    <m/>
    <m/>
    <m/>
    <m/>
    <m/>
    <m/>
    <n v="6"/>
    <n v="14224"/>
    <n v="6"/>
    <n v="5944"/>
    <n v="6"/>
    <n v="84716"/>
    <n v="6"/>
    <n v="97463"/>
  </r>
  <r>
    <x v="10"/>
    <s v="High Plains Technology Center                     "/>
    <m/>
    <n v="208053"/>
    <x v="10"/>
    <n v="9"/>
    <n v="25054"/>
    <n v="9"/>
    <n v="25247"/>
    <n v="9"/>
    <n v="44181"/>
    <n v="9"/>
    <n v="48240"/>
    <m/>
    <m/>
    <m/>
    <m/>
    <m/>
    <m/>
    <m/>
    <m/>
    <m/>
    <m/>
    <m/>
    <m/>
    <m/>
    <m/>
    <m/>
    <m/>
    <m/>
    <m/>
    <m/>
    <m/>
    <m/>
    <m/>
    <m/>
    <m/>
    <n v="9"/>
    <n v="13343"/>
    <n v="9"/>
    <n v="13835"/>
    <n v="9"/>
    <n v="82578"/>
    <n v="9"/>
    <n v="87322"/>
    <n v="5"/>
    <n v="16997"/>
    <n v="5"/>
    <n v="17307"/>
    <n v="5"/>
    <n v="24545"/>
    <n v="5"/>
    <n v="26800"/>
    <m/>
    <m/>
    <m/>
    <m/>
    <m/>
    <m/>
    <m/>
    <m/>
    <m/>
    <m/>
    <m/>
    <m/>
    <m/>
    <m/>
    <m/>
    <m/>
    <m/>
    <m/>
    <m/>
    <m/>
    <m/>
    <m/>
    <m/>
    <m/>
    <n v="5"/>
    <n v="5444"/>
    <n v="5"/>
    <n v="5722"/>
    <n v="5"/>
    <n v="46986"/>
    <n v="5"/>
    <n v="49829"/>
  </r>
  <r>
    <x v="10"/>
    <s v="Indian Capital Technology Center-Muskogee         "/>
    <m/>
    <n v="418296"/>
    <x v="10"/>
    <n v="20"/>
    <n v="67904"/>
    <n v="19"/>
    <n v="64451"/>
    <n v="15"/>
    <n v="79740"/>
    <n v="14"/>
    <n v="79104"/>
    <m/>
    <m/>
    <m/>
    <m/>
    <m/>
    <m/>
    <m/>
    <m/>
    <m/>
    <m/>
    <m/>
    <m/>
    <m/>
    <m/>
    <m/>
    <m/>
    <m/>
    <m/>
    <m/>
    <m/>
    <m/>
    <m/>
    <m/>
    <m/>
    <n v="20"/>
    <n v="24900"/>
    <n v="19"/>
    <n v="24065"/>
    <n v="20"/>
    <n v="172544"/>
    <n v="19"/>
    <n v="167620"/>
    <n v="6"/>
    <n v="24514"/>
    <n v="6"/>
    <n v="24514"/>
    <n v="6"/>
    <n v="26580"/>
    <n v="5"/>
    <n v="28380"/>
    <m/>
    <m/>
    <m/>
    <m/>
    <m/>
    <m/>
    <m/>
    <m/>
    <m/>
    <m/>
    <m/>
    <m/>
    <m/>
    <m/>
    <m/>
    <m/>
    <m/>
    <m/>
    <m/>
    <m/>
    <m/>
    <m/>
    <m/>
    <m/>
    <n v="5"/>
    <n v="8633"/>
    <n v="6"/>
    <n v="26993"/>
    <n v="6"/>
    <n v="59727"/>
    <n v="6"/>
    <n v="79887"/>
  </r>
  <r>
    <x v="10"/>
    <s v="Indian Capital Technology Center-Sallisaw         "/>
    <m/>
    <n v="421540"/>
    <x v="10"/>
    <n v="9"/>
    <n v="29796"/>
    <n v="9"/>
    <n v="35448"/>
    <n v="8"/>
    <n v="42528"/>
    <n v="8"/>
    <n v="45408"/>
    <m/>
    <m/>
    <m/>
    <m/>
    <m/>
    <m/>
    <m/>
    <m/>
    <m/>
    <m/>
    <m/>
    <m/>
    <m/>
    <m/>
    <m/>
    <m/>
    <m/>
    <m/>
    <m/>
    <m/>
    <m/>
    <m/>
    <m/>
    <m/>
    <n v="9"/>
    <n v="9336"/>
    <n v="9"/>
    <n v="9336"/>
    <n v="9"/>
    <n v="81660"/>
    <n v="9"/>
    <n v="90192"/>
    <n v="2"/>
    <n v="4221"/>
    <n v="2"/>
    <n v="8756"/>
    <n v="2"/>
    <n v="10632"/>
    <n v="2"/>
    <n v="11352"/>
    <m/>
    <m/>
    <m/>
    <m/>
    <m/>
    <m/>
    <m/>
    <m/>
    <m/>
    <m/>
    <m/>
    <m/>
    <m/>
    <m/>
    <m/>
    <m/>
    <m/>
    <m/>
    <m/>
    <m/>
    <m/>
    <m/>
    <m/>
    <m/>
    <n v="2"/>
    <n v="1670"/>
    <n v="2"/>
    <n v="1670"/>
    <n v="2"/>
    <n v="16523"/>
    <n v="2"/>
    <n v="21778"/>
  </r>
  <r>
    <x v="10"/>
    <s v="Indian Capital Technology Center-Stilwell         "/>
    <m/>
    <n v="421559"/>
    <x v="10"/>
    <n v="6"/>
    <n v="20904"/>
    <n v="6"/>
    <n v="22821"/>
    <n v="5"/>
    <n v="26580"/>
    <n v="5"/>
    <n v="28380"/>
    <m/>
    <m/>
    <m/>
    <m/>
    <m/>
    <m/>
    <m/>
    <m/>
    <m/>
    <m/>
    <m/>
    <m/>
    <m/>
    <m/>
    <m/>
    <m/>
    <m/>
    <m/>
    <m/>
    <m/>
    <m/>
    <m/>
    <m/>
    <m/>
    <m/>
    <m/>
    <n v="6"/>
    <n v="29816"/>
    <n v="6"/>
    <n v="47484"/>
    <n v="6"/>
    <n v="81017"/>
    <n v="2"/>
    <n v="8103"/>
    <n v="2"/>
    <n v="8619"/>
    <n v="2"/>
    <n v="10632"/>
    <n v="2"/>
    <n v="11352"/>
    <m/>
    <m/>
    <m/>
    <m/>
    <m/>
    <m/>
    <m/>
    <m/>
    <m/>
    <m/>
    <m/>
    <m/>
    <m/>
    <m/>
    <m/>
    <m/>
    <m/>
    <m/>
    <m/>
    <m/>
    <m/>
    <m/>
    <m/>
    <m/>
    <n v="2"/>
    <n v="1670"/>
    <n v="2"/>
    <n v="1670"/>
    <n v="2"/>
    <n v="20405"/>
    <n v="2"/>
    <n v="21641"/>
  </r>
  <r>
    <x v="10"/>
    <s v="Indian Capital Technology Center-Tahlequah        "/>
    <m/>
    <n v="208026"/>
    <x v="10"/>
    <n v="12"/>
    <n v="39764"/>
    <n v="12"/>
    <n v="49177"/>
    <n v="12"/>
    <n v="58476"/>
    <n v="11"/>
    <n v="62436"/>
    <m/>
    <m/>
    <m/>
    <m/>
    <m/>
    <m/>
    <m/>
    <m/>
    <m/>
    <m/>
    <m/>
    <m/>
    <m/>
    <m/>
    <m/>
    <m/>
    <m/>
    <m/>
    <m/>
    <m/>
    <m/>
    <m/>
    <m/>
    <m/>
    <n v="12"/>
    <n v="17470"/>
    <n v="11"/>
    <n v="15315"/>
    <n v="12"/>
    <n v="115710"/>
    <n v="12"/>
    <n v="126928"/>
    <n v="3"/>
    <n v="11705"/>
    <n v="3"/>
    <n v="13694"/>
    <n v="3"/>
    <n v="15948"/>
    <n v="3"/>
    <n v="17028"/>
    <m/>
    <m/>
    <m/>
    <m/>
    <m/>
    <m/>
    <m/>
    <m/>
    <m/>
    <m/>
    <m/>
    <m/>
    <m/>
    <m/>
    <m/>
    <m/>
    <m/>
    <m/>
    <m/>
    <m/>
    <m/>
    <m/>
    <m/>
    <m/>
    <n v="3"/>
    <n v="2094"/>
    <n v="3"/>
    <n v="2094"/>
    <n v="3"/>
    <n v="29747"/>
    <n v="3"/>
    <n v="32816"/>
  </r>
  <r>
    <x v="10"/>
    <s v="Kiamichi Technology Center-Atoka                  "/>
    <m/>
    <n v="375692"/>
    <x v="10"/>
    <n v="7"/>
    <n v="22317"/>
    <n v="6"/>
    <n v="18924"/>
    <n v="7"/>
    <n v="31673"/>
    <n v="6"/>
    <n v="26764"/>
    <m/>
    <m/>
    <m/>
    <m/>
    <m/>
    <m/>
    <m/>
    <m/>
    <m/>
    <m/>
    <m/>
    <m/>
    <m/>
    <m/>
    <m/>
    <m/>
    <m/>
    <m/>
    <m/>
    <m/>
    <m/>
    <m/>
    <m/>
    <m/>
    <n v="7"/>
    <n v="1530"/>
    <n v="6"/>
    <n v="1315"/>
    <n v="7"/>
    <n v="55520"/>
    <n v="6"/>
    <n v="47003"/>
    <n v="1"/>
    <n v="3368"/>
    <n v="1"/>
    <n v="3368"/>
    <n v="1"/>
    <n v="4371"/>
    <n v="1"/>
    <n v="4371"/>
    <m/>
    <m/>
    <m/>
    <m/>
    <m/>
    <m/>
    <m/>
    <m/>
    <m/>
    <m/>
    <m/>
    <m/>
    <m/>
    <m/>
    <m/>
    <m/>
    <m/>
    <m/>
    <m/>
    <m/>
    <m/>
    <m/>
    <m/>
    <m/>
    <n v="1"/>
    <n v="220"/>
    <n v="1"/>
    <n v="220"/>
    <n v="1"/>
    <n v="7959"/>
    <n v="1"/>
    <n v="7959"/>
  </r>
  <r>
    <x v="10"/>
    <s v="Kiamichi Technology Center-Durant                 "/>
    <m/>
    <n v="375708"/>
    <x v="10"/>
    <n v="7"/>
    <n v="22434"/>
    <n v="7"/>
    <n v="22337"/>
    <n v="7"/>
    <n v="34363"/>
    <n v="7"/>
    <n v="37198"/>
    <m/>
    <m/>
    <m/>
    <m/>
    <m/>
    <m/>
    <m/>
    <m/>
    <m/>
    <m/>
    <m/>
    <m/>
    <m/>
    <m/>
    <m/>
    <m/>
    <m/>
    <m/>
    <m/>
    <m/>
    <m/>
    <m/>
    <m/>
    <m/>
    <n v="7"/>
    <n v="1505"/>
    <n v="7"/>
    <n v="1596"/>
    <n v="7"/>
    <n v="58302"/>
    <n v="7"/>
    <n v="61131"/>
    <n v="2"/>
    <n v="7922"/>
    <n v="2"/>
    <n v="7921"/>
    <n v="2"/>
    <n v="9818"/>
    <n v="2"/>
    <n v="10628"/>
    <m/>
    <m/>
    <m/>
    <m/>
    <m/>
    <m/>
    <m/>
    <m/>
    <m/>
    <m/>
    <m/>
    <m/>
    <m/>
    <m/>
    <m/>
    <m/>
    <m/>
    <m/>
    <m/>
    <m/>
    <m/>
    <m/>
    <m/>
    <m/>
    <n v="2"/>
    <n v="430"/>
    <n v="2"/>
    <n v="456"/>
    <n v="2"/>
    <n v="18170"/>
    <n v="2"/>
    <n v="19005"/>
  </r>
  <r>
    <x v="10"/>
    <s v="Kiamichi Technology Center-Hugo                   "/>
    <m/>
    <n v="375717"/>
    <x v="10"/>
    <n v="9"/>
    <n v="25783"/>
    <n v="9"/>
    <n v="29078"/>
    <n v="8"/>
    <n v="34363"/>
    <n v="8"/>
    <n v="42512"/>
    <m/>
    <m/>
    <m/>
    <m/>
    <m/>
    <m/>
    <m/>
    <m/>
    <m/>
    <m/>
    <m/>
    <m/>
    <m/>
    <m/>
    <m/>
    <m/>
    <m/>
    <m/>
    <m/>
    <m/>
    <m/>
    <m/>
    <m/>
    <m/>
    <n v="9"/>
    <n v="2557"/>
    <n v="9"/>
    <n v="2889"/>
    <n v="9"/>
    <n v="62703"/>
    <n v="9"/>
    <n v="74479"/>
    <n v="2"/>
    <n v="8055"/>
    <n v="3"/>
    <n v="11057"/>
    <n v="2"/>
    <n v="9818"/>
    <n v="2"/>
    <n v="10628"/>
    <m/>
    <m/>
    <m/>
    <m/>
    <m/>
    <m/>
    <m/>
    <m/>
    <m/>
    <m/>
    <m/>
    <m/>
    <m/>
    <m/>
    <m/>
    <m/>
    <m/>
    <m/>
    <m/>
    <m/>
    <m/>
    <m/>
    <m/>
    <m/>
    <n v="2"/>
    <n v="430"/>
    <n v="3"/>
    <n v="1521"/>
    <n v="2"/>
    <n v="18303"/>
    <n v="3"/>
    <n v="23206"/>
  </r>
  <r>
    <x v="10"/>
    <s v="Kiamichi Technology Center-Idabel                 "/>
    <m/>
    <n v="375735"/>
    <x v="10"/>
    <n v="9"/>
    <n v="29187"/>
    <n v="9"/>
    <n v="29270"/>
    <n v="9"/>
    <n v="44181"/>
    <n v="9"/>
    <n v="47826"/>
    <m/>
    <m/>
    <m/>
    <m/>
    <m/>
    <m/>
    <m/>
    <m/>
    <m/>
    <m/>
    <m/>
    <m/>
    <m/>
    <m/>
    <m/>
    <m/>
    <m/>
    <m/>
    <m/>
    <m/>
    <m/>
    <m/>
    <m/>
    <m/>
    <n v="9"/>
    <n v="1935"/>
    <n v="9"/>
    <n v="2052"/>
    <n v="9"/>
    <n v="75303"/>
    <n v="9"/>
    <n v="79148"/>
    <n v="3"/>
    <n v="12637"/>
    <n v="3"/>
    <n v="12603"/>
    <n v="3"/>
    <n v="14727"/>
    <n v="3"/>
    <n v="15942"/>
    <m/>
    <m/>
    <m/>
    <m/>
    <m/>
    <m/>
    <m/>
    <m/>
    <m/>
    <m/>
    <m/>
    <m/>
    <m/>
    <m/>
    <m/>
    <m/>
    <m/>
    <m/>
    <m/>
    <m/>
    <m/>
    <m/>
    <m/>
    <m/>
    <n v="3"/>
    <n v="645"/>
    <n v="3"/>
    <n v="684"/>
    <n v="3"/>
    <n v="28009"/>
    <n v="3"/>
    <n v="29229"/>
  </r>
  <r>
    <x v="10"/>
    <s v="Kiamichi Technology Center-McAlester              "/>
    <m/>
    <n v="375726"/>
    <x v="10"/>
    <n v="16"/>
    <n v="50338"/>
    <n v="15"/>
    <n v="47937"/>
    <n v="15"/>
    <n v="73635"/>
    <n v="15"/>
    <n v="79710"/>
    <m/>
    <m/>
    <m/>
    <m/>
    <m/>
    <m/>
    <m/>
    <m/>
    <m/>
    <m/>
    <m/>
    <m/>
    <m/>
    <m/>
    <m/>
    <m/>
    <m/>
    <m/>
    <m/>
    <m/>
    <m/>
    <m/>
    <m/>
    <m/>
    <n v="16"/>
    <n v="4277"/>
    <n v="16"/>
    <n v="4485"/>
    <n v="16"/>
    <n v="128250"/>
    <n v="16"/>
    <n v="132132"/>
    <n v="4"/>
    <n v="11845"/>
    <n v="4"/>
    <n v="15388"/>
    <n v="4"/>
    <n v="14727"/>
    <n v="4"/>
    <n v="21256"/>
    <m/>
    <m/>
    <m/>
    <m/>
    <m/>
    <m/>
    <m/>
    <m/>
    <m/>
    <m/>
    <m/>
    <m/>
    <m/>
    <m/>
    <m/>
    <m/>
    <m/>
    <m/>
    <m/>
    <m/>
    <m/>
    <m/>
    <m/>
    <m/>
    <n v="4"/>
    <n v="1245"/>
    <n v="4"/>
    <n v="1512"/>
    <n v="4"/>
    <n v="27817"/>
    <n v="4"/>
    <n v="38156"/>
  </r>
  <r>
    <x v="10"/>
    <s v="Kiamichi Technology Center-Poteau                 "/>
    <m/>
    <n v="375744"/>
    <x v="10"/>
    <n v="9"/>
    <n v="29383"/>
    <n v="9"/>
    <n v="29446"/>
    <n v="9"/>
    <n v="44181"/>
    <n v="9"/>
    <n v="47826"/>
    <m/>
    <m/>
    <m/>
    <m/>
    <m/>
    <m/>
    <m/>
    <m/>
    <m/>
    <m/>
    <m/>
    <m/>
    <m/>
    <m/>
    <m/>
    <m/>
    <m/>
    <m/>
    <m/>
    <m/>
    <m/>
    <m/>
    <m/>
    <m/>
    <n v="9"/>
    <n v="1935"/>
    <n v="9"/>
    <n v="2052"/>
    <n v="9"/>
    <n v="75499"/>
    <n v="9"/>
    <n v="79324"/>
    <n v="3"/>
    <n v="11485"/>
    <n v="3"/>
    <n v="11520"/>
    <n v="3"/>
    <n v="14727"/>
    <n v="3"/>
    <n v="15942"/>
    <m/>
    <m/>
    <m/>
    <m/>
    <m/>
    <m/>
    <m/>
    <m/>
    <m/>
    <m/>
    <m/>
    <m/>
    <m/>
    <m/>
    <m/>
    <m/>
    <m/>
    <m/>
    <m/>
    <m/>
    <m/>
    <m/>
    <m/>
    <m/>
    <n v="3"/>
    <n v="645"/>
    <n v="3"/>
    <n v="684"/>
    <n v="3"/>
    <n v="26857"/>
    <n v="3"/>
    <n v="28146"/>
  </r>
  <r>
    <x v="10"/>
    <s v="Kiamichi Technology Center-Spiro                  "/>
    <m/>
    <n v="375753"/>
    <x v="10"/>
    <n v="2"/>
    <n v="6695"/>
    <n v="2"/>
    <n v="6681"/>
    <n v="2"/>
    <n v="4909"/>
    <n v="1"/>
    <n v="5314"/>
    <m/>
    <m/>
    <m/>
    <m/>
    <m/>
    <m/>
    <m/>
    <m/>
    <m/>
    <m/>
    <m/>
    <m/>
    <m/>
    <m/>
    <m/>
    <m/>
    <m/>
    <m/>
    <m/>
    <m/>
    <m/>
    <m/>
    <m/>
    <m/>
    <n v="2"/>
    <n v="1267"/>
    <n v="2"/>
    <n v="1293"/>
    <n v="2"/>
    <n v="12871"/>
    <n v="2"/>
    <n v="13288"/>
    <m/>
    <m/>
    <m/>
    <m/>
    <m/>
    <m/>
    <m/>
    <m/>
    <m/>
    <m/>
    <m/>
    <m/>
    <m/>
    <m/>
    <m/>
    <m/>
    <m/>
    <m/>
    <m/>
    <m/>
    <m/>
    <m/>
    <m/>
    <m/>
    <m/>
    <m/>
    <m/>
    <m/>
    <m/>
    <m/>
    <m/>
    <m/>
    <m/>
    <m/>
    <m/>
    <m/>
    <n v="0"/>
    <n v="0"/>
    <n v="0"/>
    <n v="0"/>
  </r>
  <r>
    <x v="10"/>
    <s v="Kiamichi Technology Center-Stigler                "/>
    <m/>
    <n v="405748"/>
    <x v="10"/>
    <n v="5"/>
    <n v="16225"/>
    <n v="6"/>
    <n v="19654"/>
    <n v="5"/>
    <n v="24545"/>
    <n v="5"/>
    <n v="26570"/>
    <m/>
    <m/>
    <m/>
    <m/>
    <m/>
    <m/>
    <m/>
    <m/>
    <m/>
    <m/>
    <m/>
    <m/>
    <m/>
    <m/>
    <m/>
    <m/>
    <m/>
    <m/>
    <m/>
    <m/>
    <m/>
    <m/>
    <m/>
    <m/>
    <n v="5"/>
    <n v="1075"/>
    <n v="6"/>
    <n v="2205"/>
    <n v="5"/>
    <n v="41845"/>
    <n v="6"/>
    <n v="48429"/>
    <m/>
    <m/>
    <m/>
    <m/>
    <m/>
    <m/>
    <m/>
    <m/>
    <m/>
    <m/>
    <m/>
    <m/>
    <m/>
    <m/>
    <m/>
    <m/>
    <m/>
    <m/>
    <m/>
    <m/>
    <m/>
    <m/>
    <m/>
    <m/>
    <m/>
    <m/>
    <m/>
    <m/>
    <m/>
    <m/>
    <m/>
    <m/>
    <m/>
    <m/>
    <m/>
    <m/>
    <n v="0"/>
    <n v="0"/>
    <n v="0"/>
    <n v="0"/>
  </r>
  <r>
    <x v="10"/>
    <s v="Kiamichi Technology Center-Talihina               "/>
    <m/>
    <n v="375762"/>
    <x v="10"/>
    <n v="4"/>
    <n v="13418"/>
    <n v="4"/>
    <n v="13377"/>
    <n v="4"/>
    <n v="19636"/>
    <n v="3"/>
    <n v="15942"/>
    <m/>
    <m/>
    <m/>
    <m/>
    <m/>
    <m/>
    <m/>
    <m/>
    <m/>
    <m/>
    <m/>
    <m/>
    <m/>
    <m/>
    <m/>
    <m/>
    <m/>
    <m/>
    <m/>
    <m/>
    <m/>
    <m/>
    <m/>
    <m/>
    <n v="5"/>
    <n v="1912"/>
    <n v="4"/>
    <n v="1749"/>
    <n v="5"/>
    <n v="34966"/>
    <n v="4"/>
    <n v="31068"/>
    <m/>
    <m/>
    <m/>
    <m/>
    <m/>
    <m/>
    <m/>
    <m/>
    <m/>
    <m/>
    <m/>
    <m/>
    <m/>
    <m/>
    <m/>
    <m/>
    <m/>
    <m/>
    <m/>
    <m/>
    <m/>
    <m/>
    <m/>
    <m/>
    <m/>
    <m/>
    <m/>
    <m/>
    <m/>
    <m/>
    <m/>
    <m/>
    <m/>
    <m/>
    <m/>
    <m/>
    <n v="0"/>
    <n v="0"/>
    <n v="0"/>
    <n v="0"/>
  </r>
  <r>
    <x v="10"/>
    <s v="Meridian Technology Center                        "/>
    <m/>
    <n v="365480"/>
    <x v="10"/>
    <m/>
    <m/>
    <n v="24"/>
    <n v="76057"/>
    <n v="24"/>
    <n v="116859"/>
    <n v="24"/>
    <n v="126223"/>
    <m/>
    <m/>
    <m/>
    <m/>
    <m/>
    <m/>
    <m/>
    <m/>
    <m/>
    <m/>
    <m/>
    <m/>
    <m/>
    <m/>
    <m/>
    <m/>
    <m/>
    <m/>
    <m/>
    <m/>
    <m/>
    <m/>
    <m/>
    <m/>
    <n v="24"/>
    <n v="26323"/>
    <n v="24"/>
    <n v="21292"/>
    <n v="24"/>
    <n v="143182"/>
    <n v="24"/>
    <n v="223572"/>
    <m/>
    <m/>
    <n v="11"/>
    <n v="43505"/>
    <n v="10"/>
    <n v="48821"/>
    <n v="11"/>
    <n v="58454"/>
    <m/>
    <m/>
    <m/>
    <m/>
    <m/>
    <m/>
    <m/>
    <m/>
    <m/>
    <m/>
    <m/>
    <m/>
    <m/>
    <m/>
    <m/>
    <m/>
    <m/>
    <m/>
    <m/>
    <m/>
    <m/>
    <m/>
    <m/>
    <m/>
    <n v="10"/>
    <n v="7918"/>
    <n v="11"/>
    <n v="9173"/>
    <n v="10"/>
    <n v="56739"/>
    <n v="11"/>
    <n v="111132"/>
  </r>
  <r>
    <x v="10"/>
    <s v="Mid-America Technology Center                     "/>
    <m/>
    <n v="418320"/>
    <x v="10"/>
    <n v="21"/>
    <n v="68094"/>
    <n v="20"/>
    <n v="66293"/>
    <n v="13"/>
    <n v="62664"/>
    <n v="12"/>
    <n v="61897"/>
    <m/>
    <m/>
    <m/>
    <m/>
    <m/>
    <m/>
    <m/>
    <m/>
    <m/>
    <m/>
    <m/>
    <m/>
    <m/>
    <m/>
    <m/>
    <m/>
    <m/>
    <m/>
    <m/>
    <m/>
    <m/>
    <m/>
    <m/>
    <m/>
    <n v="21"/>
    <n v="62161"/>
    <n v="20"/>
    <n v="59588"/>
    <n v="21"/>
    <n v="192919"/>
    <n v="20"/>
    <n v="187778"/>
    <n v="7"/>
    <n v="27357"/>
    <n v="7"/>
    <n v="27318"/>
    <n v="7"/>
    <n v="34366"/>
    <n v="7"/>
    <n v="36491"/>
    <m/>
    <m/>
    <m/>
    <m/>
    <m/>
    <m/>
    <m/>
    <m/>
    <m/>
    <m/>
    <m/>
    <m/>
    <m/>
    <m/>
    <m/>
    <m/>
    <m/>
    <m/>
    <m/>
    <m/>
    <m/>
    <m/>
    <m/>
    <m/>
    <n v="7"/>
    <n v="10426"/>
    <n v="7"/>
    <n v="10011"/>
    <n v="7"/>
    <n v="72149"/>
    <n v="7"/>
    <n v="73820"/>
  </r>
  <r>
    <x v="10"/>
    <s v="Mid-Del Technology Center                         "/>
    <m/>
    <n v="431017"/>
    <x v="10"/>
    <n v="21"/>
    <n v="80910"/>
    <n v="19"/>
    <n v="73760"/>
    <n v="21"/>
    <n v="68726"/>
    <n v="12"/>
    <n v="58908"/>
    <m/>
    <m/>
    <m/>
    <m/>
    <m/>
    <m/>
    <m/>
    <m/>
    <m/>
    <m/>
    <m/>
    <m/>
    <m/>
    <m/>
    <m/>
    <m/>
    <m/>
    <m/>
    <m/>
    <m/>
    <m/>
    <m/>
    <m/>
    <m/>
    <n v="21"/>
    <n v="18622"/>
    <n v="19"/>
    <n v="17540"/>
    <n v="21"/>
    <n v="168258"/>
    <n v="19"/>
    <n v="150208"/>
    <n v="6"/>
    <n v="22002"/>
    <n v="5"/>
    <n v="22002"/>
    <n v="6"/>
    <n v="22408"/>
    <n v="5"/>
    <n v="22408"/>
    <m/>
    <m/>
    <m/>
    <m/>
    <m/>
    <m/>
    <m/>
    <m/>
    <m/>
    <m/>
    <m/>
    <m/>
    <m/>
    <m/>
    <m/>
    <m/>
    <m/>
    <m/>
    <m/>
    <m/>
    <m/>
    <m/>
    <m/>
    <m/>
    <n v="6"/>
    <n v="11008"/>
    <n v="4"/>
    <n v="11008"/>
    <n v="6"/>
    <n v="55418"/>
    <n v="5"/>
    <n v="55418"/>
  </r>
  <r>
    <x v="10"/>
    <s v="Moore Norman Technology Center                    "/>
    <m/>
    <n v="248606"/>
    <x v="10"/>
    <n v="45"/>
    <n v="171649"/>
    <n v="44"/>
    <n v="167835"/>
    <n v="32"/>
    <n v="177290"/>
    <n v="31"/>
    <n v="172381"/>
    <m/>
    <m/>
    <m/>
    <m/>
    <m/>
    <m/>
    <m/>
    <m/>
    <m/>
    <m/>
    <m/>
    <m/>
    <m/>
    <m/>
    <m/>
    <m/>
    <m/>
    <m/>
    <m/>
    <m/>
    <m/>
    <m/>
    <m/>
    <m/>
    <n v="46"/>
    <n v="288404"/>
    <n v="45"/>
    <n v="284902"/>
    <n v="46"/>
    <n v="637343"/>
    <n v="45"/>
    <n v="625118"/>
    <n v="1"/>
    <n v="4211"/>
    <n v="1"/>
    <n v="4211"/>
    <n v="1"/>
    <n v="5359"/>
    <n v="1"/>
    <n v="5359"/>
    <m/>
    <m/>
    <m/>
    <m/>
    <m/>
    <m/>
    <m/>
    <m/>
    <m/>
    <m/>
    <m/>
    <m/>
    <m/>
    <m/>
    <m/>
    <m/>
    <m/>
    <m/>
    <m/>
    <m/>
    <m/>
    <m/>
    <m/>
    <m/>
    <n v="1"/>
    <n v="4099"/>
    <n v="1"/>
    <n v="4099"/>
    <n v="1"/>
    <n v="13669"/>
    <n v="1"/>
    <n v="13669"/>
  </r>
  <r>
    <x v="10"/>
    <s v="Northeast Technology Center-Afton                 "/>
    <m/>
    <n v="420459"/>
    <x v="10"/>
    <n v="16"/>
    <n v="60633"/>
    <n v="15"/>
    <n v="57316"/>
    <n v="16"/>
    <n v="82320"/>
    <n v="15"/>
    <n v="79710"/>
    <m/>
    <m/>
    <m/>
    <m/>
    <m/>
    <m/>
    <m/>
    <m/>
    <m/>
    <m/>
    <m/>
    <m/>
    <m/>
    <m/>
    <m/>
    <m/>
    <m/>
    <m/>
    <m/>
    <m/>
    <m/>
    <m/>
    <m/>
    <m/>
    <n v="16"/>
    <n v="124955"/>
    <n v="15"/>
    <n v="115773"/>
    <n v="16"/>
    <n v="267908"/>
    <n v="15"/>
    <n v="252799"/>
    <n v="4"/>
    <n v="19009"/>
    <n v="4"/>
    <n v="19656"/>
    <n v="4"/>
    <n v="20448"/>
    <n v="4"/>
    <n v="21256"/>
    <m/>
    <m/>
    <m/>
    <m/>
    <m/>
    <m/>
    <m/>
    <m/>
    <m/>
    <m/>
    <m/>
    <m/>
    <m/>
    <m/>
    <m/>
    <m/>
    <m/>
    <m/>
    <m/>
    <m/>
    <m/>
    <m/>
    <m/>
    <m/>
    <n v="4"/>
    <n v="30284"/>
    <n v="4"/>
    <n v="29501"/>
    <n v="4"/>
    <n v="69741"/>
    <n v="4"/>
    <n v="70413"/>
  </r>
  <r>
    <x v="10"/>
    <s v="Northeast Technology Center-Kansas                "/>
    <m/>
    <n v="432074"/>
    <x v="10"/>
    <n v="6"/>
    <n v="23450"/>
    <n v="6"/>
    <n v="22898"/>
    <n v="5"/>
    <n v="25725"/>
    <n v="6"/>
    <n v="31884"/>
    <m/>
    <m/>
    <m/>
    <m/>
    <m/>
    <m/>
    <m/>
    <m/>
    <m/>
    <m/>
    <m/>
    <m/>
    <m/>
    <m/>
    <m/>
    <m/>
    <m/>
    <m/>
    <m/>
    <m/>
    <m/>
    <m/>
    <m/>
    <m/>
    <n v="6"/>
    <n v="45069"/>
    <n v="6"/>
    <n v="43662"/>
    <n v="6"/>
    <n v="94244"/>
    <n v="6"/>
    <n v="98444"/>
    <n v="3"/>
    <n v="14372"/>
    <n v="3"/>
    <n v="14460"/>
    <n v="3"/>
    <n v="15369"/>
    <n v="3"/>
    <n v="15942"/>
    <m/>
    <m/>
    <m/>
    <m/>
    <m/>
    <m/>
    <m/>
    <m/>
    <m/>
    <m/>
    <m/>
    <m/>
    <m/>
    <m/>
    <m/>
    <m/>
    <m/>
    <m/>
    <m/>
    <m/>
    <m/>
    <m/>
    <m/>
    <m/>
    <n v="3"/>
    <n v="22925"/>
    <n v="3"/>
    <n v="22473"/>
    <n v="3"/>
    <n v="52666"/>
    <n v="3"/>
    <n v="52875"/>
  </r>
  <r>
    <x v="10"/>
    <s v="Northeast Technology Center-Pryor                 "/>
    <m/>
    <n v="418339"/>
    <x v="10"/>
    <n v="15"/>
    <n v="57882"/>
    <n v="14"/>
    <n v="54853"/>
    <n v="15"/>
    <n v="77175"/>
    <n v="14"/>
    <n v="74396"/>
    <m/>
    <m/>
    <m/>
    <m/>
    <m/>
    <m/>
    <m/>
    <m/>
    <m/>
    <m/>
    <m/>
    <m/>
    <m/>
    <m/>
    <m/>
    <m/>
    <m/>
    <m/>
    <m/>
    <m/>
    <m/>
    <m/>
    <m/>
    <m/>
    <n v="15"/>
    <n v="116615"/>
    <n v="14"/>
    <n v="106976"/>
    <n v="15"/>
    <n v="251672"/>
    <n v="14"/>
    <n v="236225"/>
    <n v="4"/>
    <n v="18803"/>
    <n v="3"/>
    <n v="14313"/>
    <n v="4"/>
    <n v="19976"/>
    <n v="3"/>
    <n v="15942"/>
    <m/>
    <m/>
    <m/>
    <m/>
    <m/>
    <m/>
    <m/>
    <m/>
    <m/>
    <m/>
    <m/>
    <m/>
    <m/>
    <m/>
    <m/>
    <m/>
    <m/>
    <m/>
    <m/>
    <m/>
    <m/>
    <m/>
    <m/>
    <m/>
    <n v="4"/>
    <n v="29600"/>
    <n v="3"/>
    <n v="22090"/>
    <n v="4"/>
    <n v="68379"/>
    <n v="3"/>
    <n v="52345"/>
  </r>
  <r>
    <x v="10"/>
    <s v="Northwest Technology Center-Alva                  "/>
    <m/>
    <n v="366623"/>
    <x v="10"/>
    <n v="5"/>
    <n v="15761"/>
    <n v="5"/>
    <n v="15526"/>
    <n v="5"/>
    <n v="25895"/>
    <n v="5"/>
    <n v="26828"/>
    <m/>
    <m/>
    <m/>
    <m/>
    <m/>
    <m/>
    <m/>
    <m/>
    <m/>
    <m/>
    <m/>
    <m/>
    <m/>
    <m/>
    <m/>
    <m/>
    <m/>
    <m/>
    <m/>
    <m/>
    <m/>
    <m/>
    <m/>
    <m/>
    <n v="5"/>
    <n v="6631"/>
    <n v="5"/>
    <n v="6922"/>
    <n v="5"/>
    <n v="48287"/>
    <n v="5"/>
    <n v="49276"/>
    <n v="1"/>
    <n v="3973"/>
    <n v="1"/>
    <n v="3929"/>
    <n v="1"/>
    <n v="5145"/>
    <n v="1"/>
    <n v="5360"/>
    <m/>
    <m/>
    <m/>
    <m/>
    <m/>
    <m/>
    <m/>
    <m/>
    <m/>
    <m/>
    <m/>
    <m/>
    <m/>
    <m/>
    <m/>
    <m/>
    <m/>
    <m/>
    <m/>
    <m/>
    <m/>
    <m/>
    <m/>
    <m/>
    <n v="1"/>
    <n v="1304"/>
    <n v="1"/>
    <n v="1364"/>
    <n v="1"/>
    <n v="10422"/>
    <n v="1"/>
    <n v="10653"/>
  </r>
  <r>
    <x v="10"/>
    <s v="Northwest Technology Center-Fairview              "/>
    <m/>
    <n v="407601"/>
    <x v="10"/>
    <n v="5"/>
    <n v="16301"/>
    <n v="6"/>
    <n v="19562"/>
    <n v="5"/>
    <n v="25895"/>
    <n v="6"/>
    <n v="32202"/>
    <m/>
    <m/>
    <m/>
    <m/>
    <m/>
    <m/>
    <m/>
    <m/>
    <m/>
    <m/>
    <m/>
    <m/>
    <m/>
    <m/>
    <m/>
    <m/>
    <m/>
    <m/>
    <m/>
    <m/>
    <m/>
    <m/>
    <m/>
    <m/>
    <n v="5"/>
    <n v="6027"/>
    <n v="6"/>
    <n v="7213"/>
    <n v="5"/>
    <n v="48223"/>
    <n v="6"/>
    <n v="58977"/>
    <m/>
    <m/>
    <m/>
    <m/>
    <m/>
    <m/>
    <m/>
    <m/>
    <m/>
    <m/>
    <m/>
    <m/>
    <m/>
    <m/>
    <m/>
    <m/>
    <m/>
    <m/>
    <m/>
    <m/>
    <m/>
    <m/>
    <m/>
    <m/>
    <m/>
    <m/>
    <m/>
    <m/>
    <m/>
    <m/>
    <m/>
    <m/>
    <m/>
    <m/>
    <m/>
    <m/>
    <n v="0"/>
    <n v="0"/>
    <n v="0"/>
    <n v="0"/>
  </r>
  <r>
    <x v="10"/>
    <s v="Pioneer Technology Center                         "/>
    <m/>
    <n v="364627"/>
    <x v="10"/>
    <n v="15"/>
    <n v="49312"/>
    <n v="12"/>
    <n v="37935"/>
    <n v="15"/>
    <n v="70749"/>
    <n v="11"/>
    <n v="58008"/>
    <m/>
    <m/>
    <m/>
    <m/>
    <m/>
    <m/>
    <m/>
    <m/>
    <m/>
    <m/>
    <m/>
    <m/>
    <m/>
    <m/>
    <m/>
    <m/>
    <m/>
    <m/>
    <m/>
    <m/>
    <m/>
    <m/>
    <m/>
    <m/>
    <n v="15"/>
    <n v="18278"/>
    <n v="12"/>
    <n v="17707"/>
    <n v="15"/>
    <n v="138339"/>
    <n v="12"/>
    <n v="113650"/>
    <n v="10"/>
    <n v="35177"/>
    <n v="13"/>
    <n v="48255"/>
    <n v="10"/>
    <n v="44780"/>
    <n v="12"/>
    <n v="64248"/>
    <m/>
    <m/>
    <m/>
    <m/>
    <m/>
    <m/>
    <m/>
    <m/>
    <m/>
    <m/>
    <m/>
    <m/>
    <m/>
    <m/>
    <m/>
    <m/>
    <m/>
    <m/>
    <m/>
    <m/>
    <m/>
    <m/>
    <m/>
    <m/>
    <n v="10"/>
    <n v="17277"/>
    <n v="13"/>
    <n v="18328"/>
    <n v="10"/>
    <n v="97234"/>
    <n v="13"/>
    <n v="130831"/>
  </r>
  <r>
    <x v="10"/>
    <s v="Pontotoc Technology Center                        "/>
    <m/>
    <n v="206905"/>
    <x v="10"/>
    <n v="6"/>
    <n v="23149"/>
    <n v="6"/>
    <n v="21581"/>
    <n v="6"/>
    <n v="30870"/>
    <n v="6"/>
    <n v="30595"/>
    <m/>
    <m/>
    <m/>
    <m/>
    <m/>
    <m/>
    <m/>
    <m/>
    <m/>
    <m/>
    <m/>
    <m/>
    <m/>
    <m/>
    <m/>
    <m/>
    <m/>
    <m/>
    <m/>
    <m/>
    <m/>
    <m/>
    <m/>
    <m/>
    <n v="6"/>
    <n v="2424"/>
    <n v="6"/>
    <n v="2403"/>
    <n v="6"/>
    <n v="56443"/>
    <n v="6"/>
    <n v="54579"/>
    <n v="8"/>
    <n v="33574"/>
    <n v="7"/>
    <n v="29807"/>
    <n v="8"/>
    <n v="41160"/>
    <n v="7"/>
    <n v="36015"/>
    <m/>
    <m/>
    <m/>
    <m/>
    <m/>
    <m/>
    <m/>
    <m/>
    <m/>
    <m/>
    <m/>
    <m/>
    <m/>
    <m/>
    <m/>
    <m/>
    <m/>
    <m/>
    <m/>
    <m/>
    <m/>
    <m/>
    <m/>
    <m/>
    <n v="8"/>
    <n v="3232"/>
    <n v="7"/>
    <n v="2828"/>
    <n v="8"/>
    <n v="77966"/>
    <n v="7"/>
    <n v="68650"/>
  </r>
  <r>
    <x v="10"/>
    <s v="Red River Technology Center                       "/>
    <m/>
    <n v="250993"/>
    <x v="10"/>
    <n v="15"/>
    <n v="45756"/>
    <n v="16"/>
    <n v="49580"/>
    <n v="15"/>
    <n v="77142"/>
    <n v="15"/>
    <n v="79710"/>
    <m/>
    <m/>
    <m/>
    <m/>
    <m/>
    <m/>
    <m/>
    <m/>
    <m/>
    <m/>
    <m/>
    <m/>
    <m/>
    <m/>
    <m/>
    <m/>
    <m/>
    <m/>
    <m/>
    <m/>
    <m/>
    <m/>
    <m/>
    <m/>
    <n v="15"/>
    <n v="16530"/>
    <n v="16"/>
    <n v="17474"/>
    <n v="15"/>
    <n v="139428"/>
    <n v="16"/>
    <n v="146764"/>
    <n v="6"/>
    <n v="21187"/>
    <n v="6"/>
    <n v="21436"/>
    <n v="5"/>
    <n v="23004"/>
    <n v="5"/>
    <n v="23913"/>
    <m/>
    <m/>
    <m/>
    <m/>
    <m/>
    <m/>
    <m/>
    <m/>
    <m/>
    <m/>
    <m/>
    <m/>
    <m/>
    <m/>
    <m/>
    <m/>
    <m/>
    <m/>
    <m/>
    <m/>
    <m/>
    <m/>
    <m/>
    <m/>
    <n v="6"/>
    <n v="4912"/>
    <n v="6"/>
    <n v="5182"/>
    <n v="6"/>
    <n v="49103"/>
    <n v="6"/>
    <n v="50531"/>
  </r>
  <r>
    <x v="10"/>
    <s v="Southern Oklahoma Technology Center               "/>
    <m/>
    <n v="365198"/>
    <x v="10"/>
    <m/>
    <m/>
    <n v="1"/>
    <n v="3475"/>
    <m/>
    <m/>
    <n v="1"/>
    <n v="5360"/>
    <m/>
    <m/>
    <m/>
    <m/>
    <m/>
    <m/>
    <m/>
    <m/>
    <m/>
    <m/>
    <m/>
    <m/>
    <m/>
    <m/>
    <m/>
    <m/>
    <m/>
    <m/>
    <m/>
    <m/>
    <m/>
    <m/>
    <m/>
    <m/>
    <m/>
    <m/>
    <n v="1"/>
    <n v="1624"/>
    <n v="0"/>
    <n v="0"/>
    <n v="1"/>
    <n v="10459"/>
    <n v="25"/>
    <n v="87722"/>
    <n v="23"/>
    <n v="81802"/>
    <n v="20"/>
    <n v="102491"/>
    <n v="18"/>
    <n v="96480"/>
    <m/>
    <m/>
    <m/>
    <m/>
    <m/>
    <m/>
    <m/>
    <m/>
    <m/>
    <m/>
    <m/>
    <m/>
    <m/>
    <m/>
    <m/>
    <m/>
    <m/>
    <m/>
    <m/>
    <m/>
    <m/>
    <m/>
    <m/>
    <m/>
    <n v="25"/>
    <n v="91024"/>
    <n v="23"/>
    <n v="82578"/>
    <n v="25"/>
    <n v="281237"/>
    <n v="23"/>
    <n v="260860"/>
  </r>
  <r>
    <x v="10"/>
    <s v="Southwest Technology Center                       "/>
    <m/>
    <n v="368364"/>
    <x v="10"/>
    <n v="8"/>
    <n v="32195"/>
    <n v="8"/>
    <n v="32663"/>
    <n v="8"/>
    <n v="31839"/>
    <n v="7"/>
    <n v="32715"/>
    <m/>
    <m/>
    <m/>
    <m/>
    <m/>
    <m/>
    <m/>
    <m/>
    <m/>
    <m/>
    <m/>
    <m/>
    <m/>
    <m/>
    <m/>
    <m/>
    <m/>
    <m/>
    <m/>
    <m/>
    <m/>
    <m/>
    <m/>
    <m/>
    <n v="8"/>
    <n v="31425"/>
    <n v="8"/>
    <n v="30701"/>
    <n v="8"/>
    <n v="95459"/>
    <n v="8"/>
    <n v="96079"/>
    <n v="8"/>
    <n v="38594"/>
    <n v="8"/>
    <n v="39514"/>
    <n v="8"/>
    <n v="19636"/>
    <n v="4"/>
    <n v="20511"/>
    <m/>
    <m/>
    <m/>
    <m/>
    <m/>
    <m/>
    <m/>
    <m/>
    <m/>
    <m/>
    <m/>
    <m/>
    <m/>
    <m/>
    <m/>
    <m/>
    <m/>
    <m/>
    <m/>
    <m/>
    <m/>
    <m/>
    <m/>
    <m/>
    <n v="8"/>
    <n v="43043"/>
    <n v="8"/>
    <n v="43536"/>
    <n v="8"/>
    <n v="101273"/>
    <n v="8"/>
    <n v="103561"/>
  </r>
  <r>
    <x v="10"/>
    <s v="Tri County Technology Center                      "/>
    <m/>
    <n v="418287"/>
    <x v="10"/>
    <n v="14"/>
    <n v="45070"/>
    <n v="13"/>
    <n v="42280"/>
    <n v="7"/>
    <n v="34363"/>
    <n v="8"/>
    <n v="39677"/>
    <m/>
    <m/>
    <m/>
    <m/>
    <m/>
    <m/>
    <m/>
    <m/>
    <m/>
    <m/>
    <m/>
    <m/>
    <m/>
    <m/>
    <m/>
    <m/>
    <m/>
    <m/>
    <m/>
    <m/>
    <m/>
    <m/>
    <m/>
    <m/>
    <n v="14"/>
    <n v="51954"/>
    <n v="12"/>
    <n v="39520"/>
    <n v="14"/>
    <n v="131387"/>
    <n v="13"/>
    <n v="121477"/>
    <n v="15"/>
    <n v="55269"/>
    <n v="15"/>
    <n v="55185"/>
    <n v="9"/>
    <n v="44181"/>
    <n v="10"/>
    <n v="49495"/>
    <m/>
    <m/>
    <m/>
    <m/>
    <m/>
    <m/>
    <m/>
    <m/>
    <m/>
    <m/>
    <m/>
    <m/>
    <m/>
    <m/>
    <m/>
    <m/>
    <m/>
    <m/>
    <m/>
    <m/>
    <m/>
    <m/>
    <m/>
    <m/>
    <n v="15"/>
    <n v="48085"/>
    <n v="14"/>
    <n v="40875"/>
    <n v="15"/>
    <n v="147535"/>
    <n v="15"/>
    <n v="145555"/>
  </r>
  <r>
    <x v="10"/>
    <s v="Tulsa County Area Voc Tech School Dist 18-Peoria  "/>
    <m/>
    <n v="207607"/>
    <x v="10"/>
    <m/>
    <m/>
    <m/>
    <m/>
    <m/>
    <m/>
    <m/>
    <m/>
    <m/>
    <m/>
    <m/>
    <m/>
    <m/>
    <m/>
    <m/>
    <m/>
    <m/>
    <m/>
    <m/>
    <m/>
    <m/>
    <m/>
    <m/>
    <m/>
    <m/>
    <m/>
    <m/>
    <m/>
    <m/>
    <m/>
    <m/>
    <m/>
    <m/>
    <m/>
    <m/>
    <m/>
    <n v="0"/>
    <n v="0"/>
    <n v="0"/>
    <n v="0"/>
    <n v="25"/>
    <n v="108678"/>
    <n v="26"/>
    <n v="114156"/>
    <n v="25"/>
    <n v="173617"/>
    <n v="26"/>
    <n v="174256"/>
    <m/>
    <m/>
    <m/>
    <m/>
    <m/>
    <m/>
    <m/>
    <m/>
    <m/>
    <m/>
    <m/>
    <m/>
    <m/>
    <m/>
    <m/>
    <m/>
    <m/>
    <m/>
    <m/>
    <m/>
    <m/>
    <m/>
    <m/>
    <m/>
    <n v="25"/>
    <n v="159243"/>
    <n v="26"/>
    <n v="165303"/>
    <n v="25"/>
    <n v="441538"/>
    <n v="26"/>
    <n v="453715"/>
  </r>
  <r>
    <x v="10"/>
    <s v="Tulsa Technology Center-Lemley Campus             "/>
    <m/>
    <n v="261375"/>
    <x v="10"/>
    <n v="1"/>
    <n v="5130"/>
    <n v="1"/>
    <n v="5130"/>
    <n v="1"/>
    <n v="11042"/>
    <n v="1"/>
    <n v="110422"/>
    <m/>
    <m/>
    <m/>
    <m/>
    <m/>
    <m/>
    <m/>
    <m/>
    <m/>
    <m/>
    <m/>
    <m/>
    <m/>
    <m/>
    <m/>
    <m/>
    <m/>
    <m/>
    <m/>
    <m/>
    <m/>
    <m/>
    <m/>
    <m/>
    <n v="1"/>
    <n v="2400"/>
    <n v="1"/>
    <n v="2400"/>
    <n v="1"/>
    <n v="18572"/>
    <n v="1"/>
    <n v="117952"/>
    <n v="55"/>
    <n v="264428"/>
    <n v="57"/>
    <n v="273558"/>
    <m/>
    <m/>
    <n v="57"/>
    <n v="409814"/>
    <m/>
    <m/>
    <m/>
    <m/>
    <m/>
    <m/>
    <m/>
    <m/>
    <m/>
    <m/>
    <m/>
    <m/>
    <m/>
    <m/>
    <m/>
    <m/>
    <m/>
    <m/>
    <m/>
    <m/>
    <m/>
    <m/>
    <m/>
    <m/>
    <n v="55"/>
    <n v="357200"/>
    <n v="57"/>
    <n v="369440"/>
    <n v="55"/>
    <n v="621628"/>
    <n v="57"/>
    <n v="1052812"/>
  </r>
  <r>
    <x v="10"/>
    <s v="Tulsa Technology Center-Riverside Campus          "/>
    <m/>
    <n v="261384"/>
    <x v="10"/>
    <m/>
    <m/>
    <m/>
    <m/>
    <m/>
    <m/>
    <m/>
    <m/>
    <m/>
    <m/>
    <m/>
    <m/>
    <m/>
    <m/>
    <m/>
    <m/>
    <m/>
    <m/>
    <m/>
    <m/>
    <m/>
    <m/>
    <m/>
    <m/>
    <m/>
    <m/>
    <m/>
    <m/>
    <m/>
    <m/>
    <m/>
    <m/>
    <m/>
    <m/>
    <m/>
    <m/>
    <n v="0"/>
    <n v="0"/>
    <n v="0"/>
    <n v="0"/>
    <n v="24"/>
    <n v="106615"/>
    <n v="23"/>
    <n v="101947"/>
    <n v="24"/>
    <n v="179069"/>
    <n v="23"/>
    <n v="173716"/>
    <m/>
    <m/>
    <m/>
    <m/>
    <m/>
    <m/>
    <m/>
    <m/>
    <m/>
    <m/>
    <m/>
    <m/>
    <m/>
    <m/>
    <m/>
    <m/>
    <m/>
    <m/>
    <m/>
    <m/>
    <m/>
    <m/>
    <m/>
    <m/>
    <n v="24"/>
    <n v="140573"/>
    <n v="23"/>
    <n v="134088"/>
    <n v="24"/>
    <n v="426257"/>
    <n v="23"/>
    <n v="409751"/>
  </r>
  <r>
    <x v="10"/>
    <s v="Wes Watkins Technology Center                     "/>
    <m/>
    <n v="418357"/>
    <x v="10"/>
    <n v="9"/>
    <n v="25332"/>
    <n v="10"/>
    <n v="27844"/>
    <n v="9"/>
    <n v="39272"/>
    <n v="9"/>
    <n v="47826"/>
    <m/>
    <m/>
    <m/>
    <m/>
    <m/>
    <m/>
    <m/>
    <m/>
    <m/>
    <m/>
    <m/>
    <m/>
    <m/>
    <m/>
    <m/>
    <m/>
    <m/>
    <m/>
    <m/>
    <m/>
    <m/>
    <m/>
    <m/>
    <m/>
    <n v="9"/>
    <n v="7380"/>
    <n v="10"/>
    <n v="8883"/>
    <n v="9"/>
    <n v="71984"/>
    <n v="10"/>
    <n v="84553"/>
    <n v="5"/>
    <n v="16097"/>
    <n v="4"/>
    <n v="13781"/>
    <n v="5"/>
    <n v="23277"/>
    <n v="4"/>
    <n v="19292"/>
    <m/>
    <m/>
    <m/>
    <m/>
    <m/>
    <m/>
    <m/>
    <m/>
    <m/>
    <m/>
    <m/>
    <m/>
    <m/>
    <m/>
    <m/>
    <m/>
    <m/>
    <m/>
    <m/>
    <m/>
    <m/>
    <m/>
    <m/>
    <m/>
    <n v="5"/>
    <n v="3572"/>
    <n v="4"/>
    <n v="3299"/>
    <n v="5"/>
    <n v="42946"/>
    <n v="4"/>
    <n v="36372"/>
  </r>
  <r>
    <x v="10"/>
    <s v="Western Technology Center                         "/>
    <m/>
    <n v="418302"/>
    <x v="10"/>
    <n v="20"/>
    <n v="57278"/>
    <n v="19"/>
    <n v="54302"/>
    <n v="20"/>
    <n v="93069"/>
    <n v="20"/>
    <n v="106280"/>
    <m/>
    <m/>
    <m/>
    <m/>
    <m/>
    <m/>
    <m/>
    <m/>
    <m/>
    <m/>
    <m/>
    <m/>
    <m/>
    <m/>
    <m/>
    <m/>
    <m/>
    <m/>
    <m/>
    <m/>
    <m/>
    <m/>
    <m/>
    <m/>
    <n v="20"/>
    <n v="17282"/>
    <n v="20"/>
    <n v="20917"/>
    <n v="20"/>
    <n v="167629"/>
    <n v="20"/>
    <n v="181499"/>
    <n v="5"/>
    <n v="16660"/>
    <n v="5"/>
    <n v="16660"/>
    <n v="5"/>
    <n v="23200"/>
    <n v="5"/>
    <n v="26570"/>
    <m/>
    <m/>
    <m/>
    <m/>
    <m/>
    <m/>
    <m/>
    <m/>
    <m/>
    <m/>
    <m/>
    <m/>
    <m/>
    <m/>
    <m/>
    <m/>
    <m/>
    <m/>
    <m/>
    <m/>
    <m/>
    <m/>
    <m/>
    <m/>
    <n v="5"/>
    <n v="4591"/>
    <n v="5"/>
    <n v="5095"/>
    <n v="5"/>
    <n v="44451"/>
    <n v="5"/>
    <n v="48325"/>
  </r>
  <r>
    <x v="10"/>
    <s v="Northeast Technology Center-Claremore"/>
    <s v="New institution in start up phase. (Met the criteria for Technical Institute 2 but they'd like it in &quot;start up&quot; for one more year.)"/>
    <n v="456560"/>
    <x v="12"/>
    <n v="4"/>
    <n v="15893"/>
    <n v="4"/>
    <n v="15300"/>
    <n v="3"/>
    <n v="15435"/>
    <n v="2"/>
    <n v="10628"/>
    <m/>
    <m/>
    <m/>
    <m/>
    <m/>
    <m/>
    <m/>
    <m/>
    <m/>
    <m/>
    <m/>
    <m/>
    <m/>
    <m/>
    <m/>
    <m/>
    <m/>
    <m/>
    <m/>
    <m/>
    <m/>
    <m/>
    <m/>
    <m/>
    <n v="4"/>
    <n v="29097"/>
    <n v="4"/>
    <n v="30277"/>
    <n v="4"/>
    <n v="60425"/>
    <n v="4"/>
    <n v="56205"/>
    <n v="2"/>
    <n v="9564"/>
    <n v="2"/>
    <n v="9379"/>
    <n v="1"/>
    <n v="5112"/>
    <n v="1"/>
    <n v="5314"/>
    <m/>
    <m/>
    <m/>
    <m/>
    <m/>
    <m/>
    <m/>
    <m/>
    <m/>
    <m/>
    <m/>
    <m/>
    <m/>
    <m/>
    <m/>
    <m/>
    <m/>
    <m/>
    <m/>
    <m/>
    <m/>
    <m/>
    <m/>
    <m/>
    <n v="2"/>
    <n v="14326"/>
    <n v="2"/>
    <n v="14844"/>
    <n v="2"/>
    <n v="29002"/>
    <n v="2"/>
    <n v="29537"/>
  </r>
  <r>
    <x v="11"/>
    <s v="Clemson University"/>
    <m/>
    <n v="217882"/>
    <x v="0"/>
    <n v="961"/>
    <n v="9697322"/>
    <n v="955"/>
    <n v="9965010"/>
    <n v="961"/>
    <n v="5172506"/>
    <n v="955"/>
    <n v="5140211"/>
    <n v="961"/>
    <n v="37248"/>
    <n v="955"/>
    <n v="37016"/>
    <n v="961"/>
    <n v="5515645"/>
    <n v="955"/>
    <n v="5481037"/>
    <n v="961"/>
    <n v="76811"/>
    <n v="955"/>
    <n v="142464"/>
    <n v="961"/>
    <n v="3806"/>
    <n v="955"/>
    <n v="3782"/>
    <n v="961"/>
    <n v="677082"/>
    <n v="955"/>
    <n v="674831"/>
    <m/>
    <m/>
    <m/>
    <m/>
    <m/>
    <m/>
    <m/>
    <m/>
    <n v="961"/>
    <n v="21180420"/>
    <n v="955"/>
    <n v="21444351"/>
    <n v="91"/>
    <n v="1081527"/>
    <n v="88"/>
    <n v="1078692"/>
    <n v="91"/>
    <n v="489800"/>
    <n v="88"/>
    <n v="473653"/>
    <n v="91"/>
    <n v="3527"/>
    <n v="88"/>
    <n v="3411"/>
    <n v="91"/>
    <n v="613868"/>
    <n v="88"/>
    <n v="593337"/>
    <n v="91"/>
    <n v="8567"/>
    <n v="88"/>
    <n v="15421"/>
    <n v="91"/>
    <n v="360"/>
    <n v="88"/>
    <n v="348"/>
    <n v="91"/>
    <n v="75514"/>
    <n v="88"/>
    <n v="73049"/>
    <m/>
    <m/>
    <m/>
    <m/>
    <m/>
    <m/>
    <m/>
    <m/>
    <n v="91"/>
    <n v="2273163"/>
    <n v="88"/>
    <n v="2237911"/>
  </r>
  <r>
    <x v="11"/>
    <s v="University of South Carolina-Columbia"/>
    <m/>
    <n v="218663"/>
    <x v="0"/>
    <n v="1011"/>
    <n v="10178547"/>
    <n v="1022"/>
    <n v="10826371"/>
    <n v="1011"/>
    <n v="5484655"/>
    <n v="1022"/>
    <n v="5544330"/>
    <m/>
    <m/>
    <m/>
    <m/>
    <n v="1011"/>
    <n v="4704657"/>
    <n v="1022"/>
    <n v="4829840"/>
    <n v="1011"/>
    <n v="119842"/>
    <n v="1022"/>
    <n v="123589"/>
    <n v="1011"/>
    <n v="119842"/>
    <n v="1022"/>
    <n v="123589"/>
    <n v="1011"/>
    <n v="838891"/>
    <n v="1022"/>
    <n v="906317"/>
    <m/>
    <m/>
    <m/>
    <m/>
    <m/>
    <m/>
    <m/>
    <m/>
    <n v="1011"/>
    <n v="21446434"/>
    <n v="1022"/>
    <n v="22354036"/>
    <n v="141"/>
    <n v="1841021"/>
    <n v="156"/>
    <n v="2112289"/>
    <n v="141"/>
    <n v="764922"/>
    <n v="156"/>
    <n v="846297"/>
    <m/>
    <m/>
    <m/>
    <m/>
    <n v="141"/>
    <n v="786597"/>
    <n v="156"/>
    <n v="863022"/>
    <n v="141"/>
    <n v="21676"/>
    <n v="156"/>
    <n v="24113"/>
    <n v="141"/>
    <n v="21676"/>
    <n v="156"/>
    <n v="24113"/>
    <n v="141"/>
    <n v="151732"/>
    <n v="156"/>
    <n v="176828"/>
    <m/>
    <m/>
    <m/>
    <m/>
    <m/>
    <m/>
    <m/>
    <m/>
    <n v="141"/>
    <n v="3587624"/>
    <n v="156"/>
    <n v="4046662"/>
  </r>
  <r>
    <x v="11"/>
    <s v="College of Charleston"/>
    <m/>
    <n v="217819"/>
    <x v="2"/>
    <n v="503"/>
    <n v="4150094"/>
    <n v="510"/>
    <n v="4334406"/>
    <n v="503"/>
    <n v="3707794"/>
    <n v="510"/>
    <n v="4325738"/>
    <n v="503"/>
    <n v="19557"/>
    <n v="510"/>
    <n v="19706"/>
    <n v="503"/>
    <n v="2475619"/>
    <n v="510"/>
    <n v="2507235"/>
    <n v="503"/>
    <n v="58636"/>
    <n v="510"/>
    <n v="59375"/>
    <n v="503"/>
    <n v="48863"/>
    <n v="510"/>
    <n v="49480"/>
    <n v="503"/>
    <n v="387646"/>
    <n v="510"/>
    <n v="392538"/>
    <m/>
    <m/>
    <m/>
    <m/>
    <m/>
    <m/>
    <m/>
    <m/>
    <n v="503"/>
    <n v="10848209"/>
    <n v="510"/>
    <n v="11688478"/>
    <n v="1"/>
    <n v="5759"/>
    <m/>
    <m/>
    <n v="1"/>
    <n v="7371"/>
    <m/>
    <m/>
    <n v="1"/>
    <n v="39"/>
    <m/>
    <m/>
    <n v="1"/>
    <n v="3458"/>
    <m/>
    <m/>
    <n v="1"/>
    <n v="81"/>
    <m/>
    <m/>
    <n v="1"/>
    <n v="68"/>
    <m/>
    <m/>
    <n v="1"/>
    <n v="538"/>
    <m/>
    <m/>
    <m/>
    <m/>
    <m/>
    <m/>
    <m/>
    <m/>
    <m/>
    <m/>
    <n v="1"/>
    <n v="17314"/>
    <n v="0"/>
    <n v="0"/>
  </r>
  <r>
    <x v="11"/>
    <s v="Winthrop University "/>
    <m/>
    <n v="218964"/>
    <x v="2"/>
    <n v="275"/>
    <n v="2203058"/>
    <n v="281"/>
    <n v="2370785"/>
    <n v="275"/>
    <n v="1238061"/>
    <n v="281"/>
    <n v="1271302"/>
    <n v="275"/>
    <n v="10659"/>
    <n v="281"/>
    <n v="10892"/>
    <n v="275"/>
    <n v="1334394"/>
    <n v="281"/>
    <n v="1360370"/>
    <n v="275"/>
    <n v="17443"/>
    <n v="281"/>
    <n v="17839"/>
    <n v="275"/>
    <n v="1155"/>
    <n v="281"/>
    <n v="1113"/>
    <n v="275"/>
    <n v="205828"/>
    <n v="281"/>
    <n v="210499"/>
    <m/>
    <m/>
    <m/>
    <m/>
    <m/>
    <m/>
    <m/>
    <m/>
    <n v="275"/>
    <n v="5010598"/>
    <n v="281"/>
    <n v="5242800"/>
    <n v="4"/>
    <n v="30692"/>
    <n v="5"/>
    <n v="46056"/>
    <n v="4"/>
    <n v="18008"/>
    <n v="5"/>
    <n v="22621"/>
    <n v="4"/>
    <n v="155"/>
    <n v="5"/>
    <n v="194"/>
    <n v="4"/>
    <n v="18590"/>
    <n v="5"/>
    <n v="26511"/>
    <n v="4"/>
    <n v="243"/>
    <n v="5"/>
    <n v="347"/>
    <n v="4"/>
    <n v="17"/>
    <n v="5"/>
    <n v="20"/>
    <n v="4"/>
    <n v="2867"/>
    <n v="5"/>
    <n v="4089"/>
    <m/>
    <m/>
    <m/>
    <m/>
    <m/>
    <m/>
    <m/>
    <m/>
    <n v="4"/>
    <n v="70572"/>
    <n v="5"/>
    <n v="99838"/>
  </r>
  <r>
    <x v="11"/>
    <s v="The Citadel, the Military College of South Carolina "/>
    <m/>
    <n v="217864"/>
    <x v="3"/>
    <n v="171"/>
    <n v="1495864"/>
    <n v="169"/>
    <n v="1519230"/>
    <n v="171"/>
    <n v="920384"/>
    <n v="169"/>
    <n v="962793"/>
    <n v="171"/>
    <n v="6628"/>
    <n v="169"/>
    <n v="6540"/>
    <n v="171"/>
    <n v="898223"/>
    <n v="169"/>
    <n v="884483"/>
    <n v="171"/>
    <n v="15264"/>
    <n v="169"/>
    <n v="15030"/>
    <n v="171"/>
    <n v="17612"/>
    <n v="169"/>
    <n v="17343"/>
    <n v="171"/>
    <n v="159684"/>
    <n v="169"/>
    <n v="157242"/>
    <m/>
    <m/>
    <m/>
    <m/>
    <m/>
    <m/>
    <m/>
    <m/>
    <n v="171"/>
    <n v="3513659"/>
    <n v="169"/>
    <n v="3562661"/>
    <n v="1"/>
    <n v="8536"/>
    <n v="1"/>
    <n v="8804"/>
    <n v="1"/>
    <n v="5382"/>
    <n v="1"/>
    <n v="5697"/>
    <n v="1"/>
    <n v="39"/>
    <n v="1"/>
    <n v="39"/>
    <n v="1"/>
    <n v="5126"/>
    <n v="1"/>
    <n v="5126"/>
    <n v="1"/>
    <n v="87"/>
    <n v="1"/>
    <n v="87"/>
    <n v="1"/>
    <n v="101"/>
    <n v="1"/>
    <n v="101"/>
    <n v="1"/>
    <n v="911"/>
    <n v="1"/>
    <n v="911"/>
    <m/>
    <m/>
    <m/>
    <m/>
    <m/>
    <m/>
    <m/>
    <m/>
    <n v="1"/>
    <n v="20182"/>
    <n v="1"/>
    <n v="20765"/>
  </r>
  <r>
    <x v="11"/>
    <s v="Coastal Carolina University"/>
    <m/>
    <n v="218724"/>
    <x v="4"/>
    <n v="273"/>
    <n v="2046041"/>
    <n v="301"/>
    <n v="2313366"/>
    <n v="273"/>
    <n v="1417886"/>
    <n v="301"/>
    <n v="1633057"/>
    <m/>
    <m/>
    <m/>
    <m/>
    <n v="273"/>
    <n v="1228588"/>
    <n v="301"/>
    <n v="1346823"/>
    <n v="273"/>
    <n v="32120"/>
    <n v="301"/>
    <n v="35211"/>
    <m/>
    <m/>
    <m/>
    <m/>
    <n v="273"/>
    <n v="160600"/>
    <n v="301"/>
    <n v="176055"/>
    <m/>
    <m/>
    <m/>
    <m/>
    <m/>
    <m/>
    <m/>
    <m/>
    <n v="273"/>
    <n v="4885235"/>
    <n v="301"/>
    <n v="5504512"/>
    <n v="42"/>
    <n v="480793"/>
    <n v="45"/>
    <n v="499566"/>
    <n v="42"/>
    <n v="218136"/>
    <n v="45"/>
    <n v="244145"/>
    <m/>
    <m/>
    <m/>
    <m/>
    <n v="42"/>
    <n v="288702"/>
    <n v="45"/>
    <n v="290843"/>
    <n v="42"/>
    <n v="7548"/>
    <n v="45"/>
    <n v="7604"/>
    <m/>
    <m/>
    <m/>
    <m/>
    <n v="42"/>
    <n v="37739"/>
    <n v="45"/>
    <n v="38019"/>
    <m/>
    <m/>
    <m/>
    <m/>
    <m/>
    <m/>
    <m/>
    <m/>
    <n v="42"/>
    <n v="1032918"/>
    <n v="45"/>
    <n v="1080177"/>
  </r>
  <r>
    <x v="11"/>
    <s v="Francis Marion University "/>
    <m/>
    <n v="218061"/>
    <x v="4"/>
    <n v="192"/>
    <n v="1471225"/>
    <n v="195"/>
    <n v="1560250"/>
    <n v="190"/>
    <n v="867172"/>
    <n v="194"/>
    <n v="913988"/>
    <n v="185"/>
    <n v="7131"/>
    <n v="191"/>
    <n v="9303"/>
    <n v="192"/>
    <n v="882674"/>
    <n v="195"/>
    <n v="907051"/>
    <n v="192"/>
    <n v="11812"/>
    <n v="195"/>
    <n v="10876"/>
    <n v="190"/>
    <n v="20655"/>
    <n v="195"/>
    <n v="21236"/>
    <n v="192"/>
    <n v="127918"/>
    <n v="195"/>
    <n v="129061"/>
    <n v="2"/>
    <n v="200"/>
    <n v="1"/>
    <n v="100"/>
    <m/>
    <m/>
    <m/>
    <m/>
    <n v="192"/>
    <n v="3388787"/>
    <n v="195"/>
    <n v="3551865"/>
    <n v="7"/>
    <n v="80944"/>
    <n v="7"/>
    <n v="85246"/>
    <n v="7"/>
    <n v="38788"/>
    <n v="7"/>
    <n v="42493"/>
    <n v="7"/>
    <n v="272"/>
    <n v="7"/>
    <n v="211"/>
    <n v="7"/>
    <n v="48605"/>
    <n v="7"/>
    <n v="49599"/>
    <n v="7"/>
    <n v="651"/>
    <n v="7"/>
    <n v="595"/>
    <n v="7"/>
    <n v="1149"/>
    <n v="7"/>
    <n v="1169"/>
    <n v="7"/>
    <n v="7094"/>
    <n v="7"/>
    <n v="7041"/>
    <m/>
    <m/>
    <m/>
    <m/>
    <m/>
    <m/>
    <m/>
    <m/>
    <n v="7"/>
    <n v="177503"/>
    <n v="7"/>
    <n v="186354"/>
  </r>
  <r>
    <x v="11"/>
    <s v="South Carolina State University "/>
    <m/>
    <n v="218733"/>
    <x v="4"/>
    <n v="200"/>
    <n v="1020400"/>
    <n v="140"/>
    <n v="637789"/>
    <n v="200"/>
    <n v="551000"/>
    <n v="140"/>
    <n v="395650"/>
    <n v="50"/>
    <n v="968"/>
    <n v="140"/>
    <n v="2987"/>
    <n v="200"/>
    <n v="595600"/>
    <n v="140"/>
    <n v="336999"/>
    <n v="200"/>
    <n v="112800"/>
    <n v="140"/>
    <n v="88978"/>
    <n v="200"/>
    <n v="308000"/>
    <n v="140"/>
    <n v="189269"/>
    <n v="200"/>
    <n v="229000"/>
    <n v="140"/>
    <n v="195298"/>
    <m/>
    <m/>
    <m/>
    <m/>
    <m/>
    <m/>
    <m/>
    <m/>
    <n v="200"/>
    <n v="2817768"/>
    <n v="140"/>
    <n v="1846970"/>
    <n v="26"/>
    <n v="127842"/>
    <n v="27"/>
    <n v="137943"/>
    <n v="26"/>
    <n v="76882"/>
    <n v="27"/>
    <n v="80703"/>
    <n v="26"/>
    <n v="500"/>
    <n v="27"/>
    <n v="594"/>
    <n v="26"/>
    <n v="69602"/>
    <n v="27"/>
    <n v="75222"/>
    <n v="26"/>
    <n v="11934"/>
    <n v="27"/>
    <n v="14968"/>
    <n v="26"/>
    <n v="69420"/>
    <n v="27"/>
    <n v="75303"/>
    <n v="26"/>
    <n v="30290"/>
    <n v="27"/>
    <n v="33993"/>
    <m/>
    <m/>
    <m/>
    <m/>
    <m/>
    <m/>
    <m/>
    <m/>
    <n v="26"/>
    <n v="386470"/>
    <n v="27"/>
    <n v="418726"/>
  </r>
  <r>
    <x v="11"/>
    <s v="Lander University"/>
    <s v="Met the criteria for Four-Year 5 in 2010-11."/>
    <n v="218229"/>
    <x v="5"/>
    <n v="115"/>
    <n v="761377"/>
    <n v="102"/>
    <n v="698546"/>
    <n v="115"/>
    <n v="544295"/>
    <n v="102"/>
    <n v="476850"/>
    <n v="115"/>
    <n v="4485"/>
    <n v="102"/>
    <n v="3978"/>
    <n v="115"/>
    <n v="457185"/>
    <n v="102"/>
    <n v="406688"/>
    <n v="115"/>
    <n v="17160"/>
    <n v="102"/>
    <n v="9038"/>
    <n v="115"/>
    <n v="8964"/>
    <n v="102"/>
    <n v="7974"/>
    <n v="115"/>
    <n v="83070"/>
    <n v="102"/>
    <n v="73895"/>
    <m/>
    <m/>
    <m/>
    <m/>
    <m/>
    <m/>
    <m/>
    <m/>
    <n v="115"/>
    <n v="1876536"/>
    <n v="102"/>
    <n v="1676969"/>
    <n v="2"/>
    <n v="20500"/>
    <n v="24"/>
    <n v="155115"/>
    <n v="2"/>
    <n v="9466"/>
    <n v="24"/>
    <n v="112200"/>
    <n v="2"/>
    <n v="78"/>
    <n v="24"/>
    <n v="936"/>
    <n v="2"/>
    <n v="12310"/>
    <n v="24"/>
    <n v="90307"/>
    <n v="2"/>
    <n v="375"/>
    <n v="24"/>
    <n v="2007"/>
    <n v="2"/>
    <n v="242"/>
    <n v="24"/>
    <n v="1771"/>
    <n v="2"/>
    <n v="2237"/>
    <n v="24"/>
    <n v="16409"/>
    <m/>
    <m/>
    <m/>
    <m/>
    <m/>
    <m/>
    <m/>
    <m/>
    <n v="2"/>
    <n v="45208"/>
    <n v="24"/>
    <n v="378745"/>
  </r>
  <r>
    <x v="11"/>
    <s v="University of South Carolina-Aiken"/>
    <m/>
    <n v="218645"/>
    <x v="5"/>
    <n v="132"/>
    <n v="914749"/>
    <n v="130"/>
    <n v="933089"/>
    <n v="132"/>
    <n v="716097"/>
    <n v="130"/>
    <n v="705247"/>
    <m/>
    <m/>
    <m/>
    <m/>
    <n v="132"/>
    <n v="445168"/>
    <n v="130"/>
    <n v="440270"/>
    <n v="132"/>
    <n v="10770"/>
    <n v="130"/>
    <n v="10652"/>
    <n v="132"/>
    <n v="10770"/>
    <n v="130"/>
    <n v="10652"/>
    <n v="132"/>
    <n v="75391"/>
    <n v="130"/>
    <n v="78112"/>
    <m/>
    <m/>
    <m/>
    <m/>
    <m/>
    <m/>
    <m/>
    <m/>
    <n v="132"/>
    <n v="2172945"/>
    <n v="130"/>
    <n v="2178022"/>
    <n v="16"/>
    <n v="152142"/>
    <n v="20"/>
    <n v="193263"/>
    <n v="16"/>
    <n v="86800"/>
    <n v="20"/>
    <n v="108500"/>
    <m/>
    <m/>
    <m/>
    <m/>
    <n v="16"/>
    <n v="74041"/>
    <n v="20"/>
    <n v="90787"/>
    <n v="16"/>
    <n v="1791"/>
    <n v="20"/>
    <n v="2206"/>
    <n v="16"/>
    <n v="1791"/>
    <n v="20"/>
    <n v="2206"/>
    <n v="16"/>
    <n v="12539"/>
    <n v="20"/>
    <n v="16179"/>
    <m/>
    <m/>
    <m/>
    <m/>
    <m/>
    <m/>
    <m/>
    <m/>
    <n v="16"/>
    <n v="329104"/>
    <n v="20"/>
    <n v="413141"/>
  </r>
  <r>
    <x v="11"/>
    <s v="University of South Carolina-Upstate"/>
    <m/>
    <n v="218742"/>
    <x v="5"/>
    <n v="187"/>
    <n v="1277089"/>
    <n v="188"/>
    <n v="1343654"/>
    <n v="187"/>
    <n v="1014471"/>
    <n v="188"/>
    <n v="1019896"/>
    <m/>
    <m/>
    <m/>
    <m/>
    <n v="187"/>
    <n v="621503"/>
    <n v="188"/>
    <n v="633992"/>
    <n v="187"/>
    <n v="15036"/>
    <n v="188"/>
    <n v="15339"/>
    <n v="187"/>
    <n v="15036"/>
    <n v="188"/>
    <n v="15339"/>
    <n v="187"/>
    <n v="105255"/>
    <n v="188"/>
    <n v="112482"/>
    <m/>
    <m/>
    <m/>
    <m/>
    <m/>
    <m/>
    <m/>
    <m/>
    <n v="187"/>
    <n v="3048390"/>
    <n v="188"/>
    <n v="3140702"/>
    <n v="19"/>
    <n v="195555"/>
    <n v="18"/>
    <n v="193421"/>
    <n v="19"/>
    <n v="103075"/>
    <n v="18"/>
    <n v="97650"/>
    <m/>
    <m/>
    <m/>
    <m/>
    <n v="19"/>
    <n v="94151"/>
    <n v="18"/>
    <n v="90247"/>
    <n v="19"/>
    <n v="2302"/>
    <n v="18"/>
    <n v="2208"/>
    <n v="19"/>
    <n v="2302"/>
    <n v="18"/>
    <n v="2208"/>
    <n v="19"/>
    <n v="16117"/>
    <n v="18"/>
    <n v="16192"/>
    <m/>
    <m/>
    <m/>
    <m/>
    <m/>
    <m/>
    <m/>
    <m/>
    <n v="19"/>
    <n v="413502"/>
    <n v="18"/>
    <n v="401926"/>
  </r>
  <r>
    <x v="11"/>
    <s v="University of South Carolina-Beaufort"/>
    <m/>
    <n v="218654"/>
    <x v="11"/>
    <n v="48"/>
    <n v="326403"/>
    <n v="50"/>
    <n v="357352"/>
    <n v="48"/>
    <n v="260399"/>
    <n v="50"/>
    <n v="271249"/>
    <m/>
    <m/>
    <m/>
    <m/>
    <n v="48"/>
    <n v="158846"/>
    <n v="50"/>
    <n v="168614"/>
    <n v="48"/>
    <n v="3843"/>
    <n v="50"/>
    <n v="4079"/>
    <n v="48"/>
    <n v="3843"/>
    <n v="50"/>
    <n v="4079"/>
    <n v="48"/>
    <n v="26901"/>
    <n v="50"/>
    <n v="29915"/>
    <m/>
    <m/>
    <m/>
    <m/>
    <m/>
    <m/>
    <m/>
    <m/>
    <n v="48"/>
    <n v="780235"/>
    <n v="50"/>
    <n v="835288"/>
    <n v="9"/>
    <n v="95257"/>
    <n v="9"/>
    <n v="97579"/>
    <n v="9"/>
    <n v="48825"/>
    <n v="9"/>
    <n v="48825"/>
    <m/>
    <m/>
    <m/>
    <m/>
    <n v="9"/>
    <n v="46098"/>
    <n v="9"/>
    <n v="45783"/>
    <n v="9"/>
    <n v="1122"/>
    <n v="9"/>
    <n v="1114"/>
    <n v="9"/>
    <n v="1122"/>
    <n v="9"/>
    <n v="1114"/>
    <n v="9"/>
    <n v="7851"/>
    <n v="9"/>
    <n v="8169"/>
    <m/>
    <m/>
    <m/>
    <m/>
    <m/>
    <m/>
    <m/>
    <m/>
    <n v="9"/>
    <n v="200275"/>
    <n v="9"/>
    <n v="202584"/>
  </r>
  <r>
    <x v="11"/>
    <s v="Greenville Technical College "/>
    <m/>
    <n v="218113"/>
    <x v="6"/>
    <n v="330"/>
    <n v="1925135"/>
    <n v="347"/>
    <n v="2112692"/>
    <n v="330"/>
    <n v="1306800"/>
    <n v="347"/>
    <n v="1575647"/>
    <n v="330"/>
    <n v="9593"/>
    <n v="347"/>
    <n v="10087"/>
    <n v="330"/>
    <n v="1142536"/>
    <n v="347"/>
    <n v="1216110"/>
    <n v="330"/>
    <n v="35844"/>
    <n v="347"/>
    <n v="38152"/>
    <n v="330"/>
    <n v="966"/>
    <n v="347"/>
    <n v="1030"/>
    <n v="330"/>
    <n v="125455"/>
    <n v="347"/>
    <n v="133533"/>
    <m/>
    <m/>
    <m/>
    <m/>
    <m/>
    <m/>
    <m/>
    <m/>
    <n v="330"/>
    <n v="4546329"/>
    <n v="347"/>
    <n v="5087251"/>
    <m/>
    <m/>
    <m/>
    <m/>
    <m/>
    <m/>
    <m/>
    <m/>
    <m/>
    <m/>
    <m/>
    <m/>
    <m/>
    <m/>
    <m/>
    <m/>
    <m/>
    <m/>
    <m/>
    <m/>
    <m/>
    <m/>
    <m/>
    <m/>
    <m/>
    <m/>
    <m/>
    <m/>
    <m/>
    <m/>
    <m/>
    <m/>
    <m/>
    <m/>
    <m/>
    <m/>
    <n v="0"/>
    <n v="0"/>
    <n v="0"/>
    <n v="0"/>
  </r>
  <r>
    <x v="11"/>
    <s v="Midlands Technical College "/>
    <m/>
    <n v="218353"/>
    <x v="6"/>
    <n v="216"/>
    <n v="1367972"/>
    <n v="215"/>
    <n v="1395905"/>
    <n v="216"/>
    <n v="1171843"/>
    <n v="215"/>
    <n v="1166418"/>
    <m/>
    <m/>
    <m/>
    <m/>
    <n v="216"/>
    <n v="657985"/>
    <n v="215"/>
    <n v="803512"/>
    <n v="216"/>
    <n v="25470"/>
    <n v="215"/>
    <n v="25208"/>
    <n v="216"/>
    <n v="17626"/>
    <n v="215"/>
    <n v="17544"/>
    <n v="216"/>
    <n v="58370"/>
    <n v="215"/>
    <n v="57769"/>
    <m/>
    <m/>
    <m/>
    <m/>
    <m/>
    <m/>
    <m/>
    <m/>
    <n v="216"/>
    <n v="3299266"/>
    <n v="215"/>
    <n v="3466356"/>
    <m/>
    <m/>
    <m/>
    <m/>
    <m/>
    <m/>
    <m/>
    <m/>
    <m/>
    <m/>
    <m/>
    <m/>
    <m/>
    <m/>
    <m/>
    <m/>
    <m/>
    <m/>
    <m/>
    <m/>
    <m/>
    <m/>
    <m/>
    <m/>
    <m/>
    <m/>
    <m/>
    <m/>
    <m/>
    <m/>
    <m/>
    <m/>
    <m/>
    <m/>
    <m/>
    <m/>
    <n v="0"/>
    <n v="0"/>
    <n v="0"/>
    <n v="0"/>
  </r>
  <r>
    <x v="11"/>
    <s v="Trident Technical College "/>
    <m/>
    <n v="218894"/>
    <x v="6"/>
    <n v="299"/>
    <n v="1817322"/>
    <n v="304"/>
    <n v="1908443"/>
    <n v="255"/>
    <n v="1170192"/>
    <n v="302"/>
    <n v="1273257"/>
    <m/>
    <m/>
    <m/>
    <m/>
    <n v="299"/>
    <n v="1078551"/>
    <n v="304"/>
    <n v="1098539"/>
    <n v="299"/>
    <n v="33836"/>
    <n v="304"/>
    <n v="34464"/>
    <n v="299"/>
    <n v="21148"/>
    <n v="304"/>
    <n v="21540"/>
    <n v="299"/>
    <n v="118429"/>
    <n v="304"/>
    <n v="120624"/>
    <m/>
    <m/>
    <m/>
    <m/>
    <m/>
    <m/>
    <m/>
    <m/>
    <n v="299"/>
    <n v="4239478"/>
    <n v="304"/>
    <n v="4456867"/>
    <m/>
    <m/>
    <m/>
    <m/>
    <m/>
    <m/>
    <m/>
    <m/>
    <m/>
    <m/>
    <m/>
    <m/>
    <m/>
    <m/>
    <m/>
    <m/>
    <m/>
    <m/>
    <m/>
    <m/>
    <m/>
    <m/>
    <m/>
    <m/>
    <m/>
    <m/>
    <m/>
    <m/>
    <m/>
    <m/>
    <m/>
    <m/>
    <m/>
    <m/>
    <m/>
    <m/>
    <n v="0"/>
    <n v="0"/>
    <n v="0"/>
    <n v="0"/>
  </r>
  <r>
    <x v="11"/>
    <s v="Aiken Technical College "/>
    <m/>
    <n v="217615"/>
    <x v="7"/>
    <n v="55"/>
    <n v="338662"/>
    <n v="55"/>
    <n v="347825"/>
    <n v="46"/>
    <n v="162522"/>
    <n v="48"/>
    <n v="170571"/>
    <m/>
    <m/>
    <m/>
    <m/>
    <n v="55"/>
    <n v="200990"/>
    <n v="55"/>
    <n v="200223"/>
    <n v="55"/>
    <n v="6306"/>
    <n v="55"/>
    <n v="6282"/>
    <n v="44"/>
    <n v="157"/>
    <n v="47"/>
    <n v="167"/>
    <n v="55"/>
    <n v="28900"/>
    <n v="55"/>
    <n v="28790"/>
    <m/>
    <m/>
    <m/>
    <m/>
    <m/>
    <m/>
    <m/>
    <m/>
    <n v="55"/>
    <n v="737537"/>
    <n v="55"/>
    <n v="753858"/>
    <m/>
    <m/>
    <m/>
    <m/>
    <m/>
    <m/>
    <m/>
    <m/>
    <m/>
    <m/>
    <m/>
    <m/>
    <m/>
    <m/>
    <m/>
    <m/>
    <m/>
    <m/>
    <m/>
    <m/>
    <m/>
    <m/>
    <m/>
    <m/>
    <m/>
    <m/>
    <m/>
    <m/>
    <m/>
    <m/>
    <m/>
    <m/>
    <m/>
    <m/>
    <m/>
    <m/>
    <n v="0"/>
    <n v="0"/>
    <n v="0"/>
    <n v="0"/>
  </r>
  <r>
    <x v="11"/>
    <s v="Central Carolina Technical College "/>
    <m/>
    <n v="218858"/>
    <x v="7"/>
    <n v="88"/>
    <n v="506870"/>
    <n v="92"/>
    <n v="547442"/>
    <n v="88"/>
    <n v="352007"/>
    <n v="85"/>
    <n v="362869"/>
    <n v="73"/>
    <n v="5659"/>
    <n v="74"/>
    <n v="5736"/>
    <n v="88"/>
    <n v="243801"/>
    <n v="92"/>
    <n v="225390"/>
    <n v="88"/>
    <n v="9437"/>
    <n v="92"/>
    <n v="9884"/>
    <n v="73"/>
    <n v="578"/>
    <n v="74"/>
    <n v="586"/>
    <n v="88"/>
    <n v="33031"/>
    <n v="92"/>
    <n v="34603"/>
    <m/>
    <m/>
    <m/>
    <m/>
    <m/>
    <m/>
    <m/>
    <m/>
    <n v="88"/>
    <n v="1151383"/>
    <n v="92"/>
    <n v="1186510"/>
    <m/>
    <m/>
    <m/>
    <m/>
    <m/>
    <m/>
    <m/>
    <m/>
    <m/>
    <m/>
    <m/>
    <m/>
    <m/>
    <m/>
    <m/>
    <m/>
    <m/>
    <m/>
    <m/>
    <m/>
    <m/>
    <m/>
    <m/>
    <m/>
    <m/>
    <m/>
    <m/>
    <m/>
    <m/>
    <m/>
    <m/>
    <m/>
    <m/>
    <m/>
    <m/>
    <m/>
    <n v="0"/>
    <n v="0"/>
    <n v="0"/>
    <n v="0"/>
  </r>
  <r>
    <x v="11"/>
    <s v="Florence-Darlington Technical College "/>
    <s v="Met the criteria for Two-year 1 in 2010-11."/>
    <n v="218025"/>
    <x v="7"/>
    <n v="99"/>
    <n v="632248"/>
    <n v="96"/>
    <n v="612104"/>
    <n v="99"/>
    <n v="327698"/>
    <n v="96"/>
    <n v="317779"/>
    <m/>
    <m/>
    <m/>
    <m/>
    <n v="99"/>
    <n v="375191"/>
    <n v="96"/>
    <n v="352340"/>
    <n v="99"/>
    <n v="11772"/>
    <n v="96"/>
    <n v="11054"/>
    <n v="99"/>
    <n v="6808"/>
    <n v="96"/>
    <n v="6601"/>
    <n v="99"/>
    <n v="41202"/>
    <n v="96"/>
    <n v="38688"/>
    <m/>
    <m/>
    <m/>
    <m/>
    <m/>
    <m/>
    <m/>
    <m/>
    <n v="99"/>
    <n v="1394919"/>
    <n v="96"/>
    <n v="1338566"/>
    <m/>
    <m/>
    <m/>
    <m/>
    <m/>
    <m/>
    <m/>
    <m/>
    <m/>
    <m/>
    <m/>
    <m/>
    <m/>
    <m/>
    <m/>
    <m/>
    <m/>
    <m/>
    <m/>
    <m/>
    <m/>
    <m/>
    <m/>
    <m/>
    <m/>
    <m/>
    <m/>
    <m/>
    <m/>
    <m/>
    <m/>
    <m/>
    <m/>
    <m/>
    <m/>
    <m/>
    <n v="0"/>
    <n v="0"/>
    <n v="0"/>
    <n v="0"/>
  </r>
  <r>
    <x v="11"/>
    <s v="Horry-Georgetown Technical College "/>
    <s v="Met the criteria for Two-year 1 in 2009-10 and 2010-11."/>
    <n v="218140"/>
    <x v="7"/>
    <n v="134"/>
    <n v="837469"/>
    <n v="141"/>
    <n v="903952"/>
    <n v="134"/>
    <n v="721252"/>
    <n v="141"/>
    <n v="758946"/>
    <n v="134"/>
    <n v="5194"/>
    <n v="141"/>
    <n v="5465"/>
    <n v="134"/>
    <n v="502876"/>
    <n v="141"/>
    <n v="526274"/>
    <n v="134"/>
    <n v="17748"/>
    <n v="141"/>
    <n v="18574"/>
    <n v="134"/>
    <n v="10391"/>
    <n v="141"/>
    <n v="10877"/>
    <n v="134"/>
    <n v="65735"/>
    <n v="141"/>
    <n v="68794"/>
    <m/>
    <m/>
    <m/>
    <m/>
    <m/>
    <m/>
    <m/>
    <m/>
    <n v="134"/>
    <n v="2160665"/>
    <n v="141"/>
    <n v="2292882"/>
    <m/>
    <m/>
    <m/>
    <m/>
    <m/>
    <m/>
    <m/>
    <m/>
    <m/>
    <m/>
    <m/>
    <m/>
    <m/>
    <m/>
    <m/>
    <m/>
    <m/>
    <m/>
    <m/>
    <m/>
    <m/>
    <m/>
    <m/>
    <m/>
    <m/>
    <m/>
    <m/>
    <m/>
    <m/>
    <m/>
    <m/>
    <m/>
    <m/>
    <m/>
    <m/>
    <m/>
    <n v="0"/>
    <n v="0"/>
    <n v="0"/>
    <n v="0"/>
  </r>
  <r>
    <x v="11"/>
    <s v="Orangeburg-Calhoun Technical College "/>
    <m/>
    <n v="218487"/>
    <x v="7"/>
    <n v="75"/>
    <n v="421787"/>
    <n v="75"/>
    <n v="429157"/>
    <n v="72"/>
    <n v="289929"/>
    <n v="70"/>
    <n v="287209"/>
    <n v="62"/>
    <n v="2403"/>
    <n v="61"/>
    <n v="2364"/>
    <n v="75"/>
    <n v="250323"/>
    <n v="75"/>
    <n v="247032"/>
    <n v="75"/>
    <n v="7296"/>
    <n v="75"/>
    <n v="7362"/>
    <n v="62"/>
    <n v="246"/>
    <n v="61"/>
    <n v="241"/>
    <n v="75"/>
    <n v="26832"/>
    <n v="75"/>
    <n v="26479"/>
    <m/>
    <m/>
    <m/>
    <m/>
    <m/>
    <m/>
    <m/>
    <m/>
    <n v="75"/>
    <n v="998816"/>
    <n v="75"/>
    <n v="999844"/>
    <m/>
    <m/>
    <m/>
    <m/>
    <m/>
    <m/>
    <m/>
    <m/>
    <m/>
    <m/>
    <m/>
    <m/>
    <m/>
    <m/>
    <m/>
    <m/>
    <m/>
    <m/>
    <m/>
    <m/>
    <m/>
    <m/>
    <m/>
    <m/>
    <m/>
    <m/>
    <m/>
    <m/>
    <m/>
    <m/>
    <m/>
    <m/>
    <m/>
    <m/>
    <m/>
    <m/>
    <n v="0"/>
    <n v="0"/>
    <n v="0"/>
    <n v="0"/>
  </r>
  <r>
    <x v="11"/>
    <s v="Piedmont Technical College "/>
    <s v="Met the criteria for Two-year 1 in 2010-11."/>
    <n v="218520"/>
    <x v="7"/>
    <n v="119"/>
    <n v="660062"/>
    <n v="121"/>
    <n v="701924"/>
    <n v="116"/>
    <n v="389544"/>
    <n v="118"/>
    <n v="406144"/>
    <n v="113"/>
    <n v="3285"/>
    <n v="115"/>
    <n v="3343"/>
    <n v="119"/>
    <n v="391736"/>
    <n v="121"/>
    <n v="404042"/>
    <n v="119"/>
    <n v="14338"/>
    <n v="121"/>
    <n v="12042"/>
    <n v="113"/>
    <n v="336"/>
    <n v="115"/>
    <n v="342"/>
    <n v="119"/>
    <n v="41990"/>
    <n v="121"/>
    <n v="43309"/>
    <m/>
    <m/>
    <m/>
    <m/>
    <m/>
    <m/>
    <m/>
    <m/>
    <n v="119"/>
    <n v="1501291"/>
    <n v="121"/>
    <n v="1571146"/>
    <m/>
    <m/>
    <m/>
    <m/>
    <m/>
    <m/>
    <m/>
    <m/>
    <m/>
    <m/>
    <m/>
    <m/>
    <m/>
    <m/>
    <m/>
    <m/>
    <m/>
    <m/>
    <m/>
    <m/>
    <m/>
    <m/>
    <m/>
    <m/>
    <m/>
    <m/>
    <m/>
    <m/>
    <m/>
    <m/>
    <m/>
    <m/>
    <m/>
    <m/>
    <m/>
    <m/>
    <n v="0"/>
    <n v="0"/>
    <n v="0"/>
    <n v="0"/>
  </r>
  <r>
    <x v="11"/>
    <s v="Spartanburg Community College "/>
    <s v="Met the criteria for Two-year 1 in 2010-11."/>
    <n v="218830"/>
    <x v="7"/>
    <n v="111"/>
    <n v="467855"/>
    <n v="119"/>
    <n v="493378"/>
    <n v="111"/>
    <n v="451648"/>
    <n v="119"/>
    <n v="480386"/>
    <n v="111"/>
    <n v="3227"/>
    <n v="119"/>
    <n v="3459"/>
    <n v="111"/>
    <n v="387348"/>
    <n v="119"/>
    <n v="408478"/>
    <n v="111"/>
    <n v="11544"/>
    <n v="119"/>
    <n v="12174"/>
    <n v="111"/>
    <n v="330"/>
    <n v="119"/>
    <n v="353"/>
    <n v="111"/>
    <n v="90128"/>
    <n v="119"/>
    <n v="126548"/>
    <m/>
    <m/>
    <m/>
    <m/>
    <m/>
    <m/>
    <m/>
    <m/>
    <n v="111"/>
    <n v="1412080"/>
    <n v="119"/>
    <n v="1524776"/>
    <m/>
    <m/>
    <m/>
    <m/>
    <m/>
    <m/>
    <m/>
    <m/>
    <m/>
    <m/>
    <m/>
    <m/>
    <m/>
    <m/>
    <m/>
    <m/>
    <m/>
    <m/>
    <m/>
    <m/>
    <m/>
    <m/>
    <m/>
    <m/>
    <m/>
    <m/>
    <m/>
    <m/>
    <m/>
    <m/>
    <m/>
    <m/>
    <m/>
    <m/>
    <m/>
    <m/>
    <n v="0"/>
    <n v="0"/>
    <n v="0"/>
    <n v="0"/>
  </r>
  <r>
    <x v="11"/>
    <s v="Tri-County Technical College "/>
    <s v="Met the criteria for Two-year 1 in 2009-10 and 2010-11."/>
    <n v="218885"/>
    <x v="7"/>
    <n v="122"/>
    <n v="693070"/>
    <n v="130"/>
    <n v="706291"/>
    <n v="119"/>
    <n v="555672"/>
    <n v="119"/>
    <n v="556472"/>
    <m/>
    <m/>
    <m/>
    <m/>
    <n v="122"/>
    <n v="409000"/>
    <n v="130"/>
    <n v="431063"/>
    <n v="122"/>
    <n v="44410"/>
    <n v="130"/>
    <n v="47332"/>
    <n v="119"/>
    <n v="386"/>
    <n v="119"/>
    <n v="423"/>
    <n v="122"/>
    <n v="12831"/>
    <n v="130"/>
    <n v="13523"/>
    <m/>
    <m/>
    <m/>
    <m/>
    <m/>
    <m/>
    <m/>
    <m/>
    <n v="122"/>
    <n v="1715369"/>
    <n v="130"/>
    <n v="1755104"/>
    <m/>
    <m/>
    <m/>
    <m/>
    <m/>
    <m/>
    <m/>
    <m/>
    <m/>
    <m/>
    <m/>
    <m/>
    <m/>
    <m/>
    <m/>
    <m/>
    <m/>
    <m/>
    <m/>
    <m/>
    <m/>
    <m/>
    <m/>
    <m/>
    <m/>
    <m/>
    <m/>
    <m/>
    <m/>
    <m/>
    <m/>
    <m/>
    <m/>
    <m/>
    <m/>
    <m/>
    <n v="0"/>
    <n v="0"/>
    <n v="0"/>
    <n v="0"/>
  </r>
  <r>
    <x v="11"/>
    <s v="York Technical College "/>
    <s v="Met the criteria for Two-year 1 in 2010-11."/>
    <n v="218991"/>
    <x v="7"/>
    <n v="124"/>
    <n v="552624"/>
    <n v="122"/>
    <n v="674246"/>
    <n v="108"/>
    <n v="239199"/>
    <n v="122"/>
    <n v="443574"/>
    <m/>
    <m/>
    <n v="109"/>
    <n v="3159"/>
    <n v="124"/>
    <n v="543862"/>
    <n v="122"/>
    <n v="442773"/>
    <n v="124"/>
    <n v="11953"/>
    <n v="122"/>
    <n v="13196"/>
    <n v="124"/>
    <n v="368"/>
    <n v="122"/>
    <n v="373"/>
    <n v="124"/>
    <n v="49007"/>
    <n v="122"/>
    <n v="47460"/>
    <m/>
    <m/>
    <m/>
    <m/>
    <m/>
    <m/>
    <m/>
    <m/>
    <n v="124"/>
    <n v="1397013"/>
    <n v="122"/>
    <n v="1624781"/>
    <m/>
    <m/>
    <m/>
    <m/>
    <m/>
    <m/>
    <m/>
    <m/>
    <m/>
    <m/>
    <m/>
    <m/>
    <m/>
    <m/>
    <m/>
    <m/>
    <m/>
    <m/>
    <m/>
    <m/>
    <m/>
    <m/>
    <m/>
    <m/>
    <m/>
    <m/>
    <m/>
    <m/>
    <m/>
    <m/>
    <m/>
    <m/>
    <m/>
    <m/>
    <m/>
    <m/>
    <n v="0"/>
    <n v="0"/>
    <n v="0"/>
    <n v="0"/>
  </r>
  <r>
    <x v="11"/>
    <s v="Denmark Technical College "/>
    <m/>
    <n v="217989"/>
    <x v="8"/>
    <n v="33"/>
    <n v="169283"/>
    <n v="35"/>
    <n v="181688"/>
    <n v="31"/>
    <n v="109445"/>
    <n v="35"/>
    <n v="129450"/>
    <m/>
    <m/>
    <m/>
    <m/>
    <n v="33"/>
    <n v="100096"/>
    <n v="35"/>
    <n v="104583"/>
    <n v="5"/>
    <n v="486"/>
    <n v="5"/>
    <n v="486"/>
    <n v="33"/>
    <n v="1962"/>
    <n v="35"/>
    <n v="2050"/>
    <n v="5"/>
    <n v="1702"/>
    <n v="5"/>
    <n v="1702"/>
    <m/>
    <m/>
    <m/>
    <m/>
    <m/>
    <m/>
    <m/>
    <m/>
    <n v="33"/>
    <n v="382974"/>
    <n v="35"/>
    <n v="419959"/>
    <m/>
    <m/>
    <m/>
    <m/>
    <m/>
    <m/>
    <m/>
    <m/>
    <m/>
    <m/>
    <m/>
    <m/>
    <m/>
    <m/>
    <m/>
    <m/>
    <m/>
    <m/>
    <m/>
    <m/>
    <m/>
    <m/>
    <m/>
    <m/>
    <m/>
    <m/>
    <m/>
    <m/>
    <m/>
    <m/>
    <m/>
    <m/>
    <m/>
    <m/>
    <m/>
    <m/>
    <n v="0"/>
    <n v="0"/>
    <n v="0"/>
    <n v="0"/>
  </r>
  <r>
    <x v="11"/>
    <s v="Northeastern Technical College "/>
    <m/>
    <n v="217837"/>
    <x v="8"/>
    <n v="30"/>
    <n v="138435"/>
    <n v="28"/>
    <n v="131565"/>
    <n v="30"/>
    <n v="102614"/>
    <n v="26"/>
    <n v="90652"/>
    <m/>
    <m/>
    <m/>
    <m/>
    <n v="30"/>
    <n v="77696"/>
    <n v="28"/>
    <n v="75731"/>
    <n v="30"/>
    <n v="2871"/>
    <n v="28"/>
    <n v="2673"/>
    <m/>
    <m/>
    <n v="28"/>
    <n v="897"/>
    <n v="30"/>
    <n v="6380"/>
    <n v="28"/>
    <n v="5940"/>
    <m/>
    <m/>
    <m/>
    <m/>
    <m/>
    <m/>
    <m/>
    <m/>
    <n v="30"/>
    <n v="327996"/>
    <n v="28"/>
    <n v="307458"/>
    <m/>
    <m/>
    <m/>
    <m/>
    <m/>
    <m/>
    <m/>
    <m/>
    <m/>
    <m/>
    <m/>
    <m/>
    <m/>
    <m/>
    <m/>
    <m/>
    <m/>
    <m/>
    <m/>
    <m/>
    <m/>
    <m/>
    <m/>
    <m/>
    <m/>
    <m/>
    <m/>
    <m/>
    <m/>
    <m/>
    <m/>
    <m/>
    <m/>
    <m/>
    <m/>
    <m/>
    <n v="0"/>
    <n v="0"/>
    <n v="0"/>
    <n v="0"/>
  </r>
  <r>
    <x v="11"/>
    <s v="Technical College of the Lowcountry"/>
    <m/>
    <n v="217712"/>
    <x v="8"/>
    <n v="46"/>
    <n v="303593"/>
    <n v="48"/>
    <n v="310945"/>
    <n v="48"/>
    <n v="179465"/>
    <n v="48"/>
    <n v="158653"/>
    <m/>
    <m/>
    <m/>
    <m/>
    <n v="48"/>
    <n v="182299"/>
    <n v="48"/>
    <n v="181265"/>
    <n v="48"/>
    <n v="5719"/>
    <n v="48"/>
    <n v="5686"/>
    <n v="48"/>
    <n v="3575"/>
    <n v="48"/>
    <n v="3554"/>
    <n v="48"/>
    <n v="20017"/>
    <n v="48"/>
    <n v="19904"/>
    <m/>
    <m/>
    <m/>
    <m/>
    <m/>
    <m/>
    <m/>
    <m/>
    <n v="48"/>
    <n v="694668"/>
    <n v="48"/>
    <n v="680007"/>
    <m/>
    <m/>
    <m/>
    <m/>
    <m/>
    <m/>
    <m/>
    <m/>
    <m/>
    <m/>
    <m/>
    <m/>
    <m/>
    <m/>
    <m/>
    <m/>
    <m/>
    <m/>
    <m/>
    <m/>
    <m/>
    <m/>
    <m/>
    <m/>
    <m/>
    <m/>
    <m/>
    <m/>
    <m/>
    <m/>
    <m/>
    <m/>
    <m/>
    <m/>
    <m/>
    <m/>
    <n v="0"/>
    <n v="0"/>
    <n v="0"/>
    <n v="0"/>
  </r>
  <r>
    <x v="11"/>
    <s v="University of South Carolina-Lancaster"/>
    <m/>
    <n v="218672"/>
    <x v="8"/>
    <n v="44"/>
    <n v="273695"/>
    <n v="42"/>
    <n v="273237"/>
    <n v="44"/>
    <n v="238699"/>
    <n v="42"/>
    <n v="227849"/>
    <m/>
    <m/>
    <m/>
    <m/>
    <n v="44"/>
    <n v="133195"/>
    <n v="42"/>
    <n v="128925"/>
    <n v="44"/>
    <n v="3222"/>
    <n v="42"/>
    <n v="3119"/>
    <n v="44"/>
    <n v="3222"/>
    <n v="42"/>
    <n v="3119"/>
    <n v="44"/>
    <n v="22557"/>
    <n v="42"/>
    <n v="22874"/>
    <m/>
    <m/>
    <m/>
    <m/>
    <m/>
    <m/>
    <m/>
    <m/>
    <n v="44"/>
    <n v="674590"/>
    <n v="42"/>
    <n v="659123"/>
    <n v="2"/>
    <n v="14263"/>
    <n v="4"/>
    <n v="33646"/>
    <n v="2"/>
    <n v="10850"/>
    <n v="4"/>
    <n v="21700"/>
    <m/>
    <m/>
    <m/>
    <m/>
    <n v="2"/>
    <n v="6941"/>
    <n v="4"/>
    <n v="15875"/>
    <n v="2"/>
    <n v="168"/>
    <n v="4"/>
    <n v="384"/>
    <n v="2"/>
    <n v="168"/>
    <n v="4"/>
    <n v="384"/>
    <n v="2"/>
    <n v="1176"/>
    <n v="4"/>
    <n v="2817"/>
    <m/>
    <m/>
    <m/>
    <m/>
    <m/>
    <m/>
    <m/>
    <m/>
    <n v="2"/>
    <n v="33566"/>
    <n v="4"/>
    <n v="74806"/>
  </r>
  <r>
    <x v="11"/>
    <s v="University of South Carolina-Salkehatchie"/>
    <m/>
    <n v="218681"/>
    <x v="8"/>
    <n v="15"/>
    <n v="86759"/>
    <n v="17"/>
    <n v="102230"/>
    <n v="15"/>
    <n v="81375"/>
    <n v="17"/>
    <n v="92225"/>
    <m/>
    <m/>
    <m/>
    <m/>
    <n v="15"/>
    <n v="42222"/>
    <n v="17"/>
    <n v="48237"/>
    <n v="15"/>
    <n v="1022"/>
    <n v="17"/>
    <n v="1167"/>
    <n v="15"/>
    <n v="1022"/>
    <n v="17"/>
    <n v="1167"/>
    <n v="15"/>
    <n v="7151"/>
    <n v="17"/>
    <n v="8558"/>
    <m/>
    <m/>
    <m/>
    <m/>
    <m/>
    <m/>
    <m/>
    <m/>
    <n v="15"/>
    <n v="219551"/>
    <n v="17"/>
    <n v="253584"/>
    <n v="2"/>
    <n v="16271"/>
    <n v="2"/>
    <n v="10893"/>
    <n v="2"/>
    <n v="10850"/>
    <n v="2"/>
    <n v="10850"/>
    <m/>
    <m/>
    <m/>
    <m/>
    <n v="2"/>
    <n v="7919"/>
    <n v="2"/>
    <n v="5140"/>
    <n v="2"/>
    <n v="192"/>
    <n v="2"/>
    <n v="124"/>
    <n v="2"/>
    <n v="192"/>
    <n v="2"/>
    <n v="124"/>
    <n v="2"/>
    <n v="1341"/>
    <n v="2"/>
    <n v="912"/>
    <m/>
    <m/>
    <m/>
    <m/>
    <m/>
    <m/>
    <m/>
    <m/>
    <n v="2"/>
    <n v="36765"/>
    <n v="2"/>
    <n v="28043"/>
  </r>
  <r>
    <x v="11"/>
    <s v="University of South Carolina-Sumter"/>
    <m/>
    <n v="218690"/>
    <x v="8"/>
    <n v="47"/>
    <n v="289341"/>
    <n v="46"/>
    <n v="289655"/>
    <n v="47"/>
    <n v="254974"/>
    <n v="46"/>
    <n v="249549"/>
    <m/>
    <m/>
    <m/>
    <m/>
    <n v="47"/>
    <n v="140810"/>
    <n v="46"/>
    <n v="136671"/>
    <n v="47"/>
    <n v="3407"/>
    <n v="46"/>
    <n v="3307"/>
    <n v="47"/>
    <n v="3407"/>
    <n v="46"/>
    <n v="3307"/>
    <n v="47"/>
    <n v="23847"/>
    <n v="46"/>
    <n v="24248"/>
    <m/>
    <m/>
    <m/>
    <m/>
    <m/>
    <m/>
    <m/>
    <m/>
    <n v="47"/>
    <n v="715786"/>
    <n v="46"/>
    <n v="706737"/>
    <n v="4"/>
    <n v="42389"/>
    <n v="4"/>
    <n v="43720"/>
    <n v="4"/>
    <n v="21700"/>
    <n v="4"/>
    <n v="21700"/>
    <m/>
    <m/>
    <m/>
    <m/>
    <n v="4"/>
    <n v="20629"/>
    <n v="4"/>
    <n v="20629"/>
    <n v="4"/>
    <n v="499"/>
    <n v="4"/>
    <n v="499"/>
    <n v="4"/>
    <n v="499"/>
    <n v="4"/>
    <n v="499"/>
    <n v="4"/>
    <n v="3494"/>
    <n v="4"/>
    <n v="3660"/>
    <m/>
    <m/>
    <m/>
    <m/>
    <m/>
    <m/>
    <m/>
    <m/>
    <n v="4"/>
    <n v="89210"/>
    <n v="4"/>
    <n v="90707"/>
  </r>
  <r>
    <x v="11"/>
    <s v="University of South Carolina-Union"/>
    <m/>
    <n v="218706"/>
    <x v="8"/>
    <n v="7"/>
    <n v="41662"/>
    <n v="10"/>
    <n v="66918"/>
    <n v="7"/>
    <n v="37975"/>
    <n v="10"/>
    <n v="54250"/>
    <m/>
    <m/>
    <m/>
    <m/>
    <n v="7"/>
    <n v="20275"/>
    <n v="10"/>
    <n v="31574"/>
    <n v="7"/>
    <n v="491"/>
    <n v="10"/>
    <n v="764"/>
    <n v="7"/>
    <n v="491"/>
    <n v="10"/>
    <n v="764"/>
    <n v="7"/>
    <n v="3434"/>
    <n v="10"/>
    <n v="5602"/>
    <m/>
    <m/>
    <m/>
    <m/>
    <m/>
    <m/>
    <m/>
    <m/>
    <n v="7"/>
    <n v="104328"/>
    <n v="10"/>
    <n v="159872"/>
    <m/>
    <m/>
    <m/>
    <m/>
    <m/>
    <m/>
    <m/>
    <m/>
    <m/>
    <m/>
    <m/>
    <m/>
    <m/>
    <m/>
    <m/>
    <m/>
    <m/>
    <m/>
    <m/>
    <m/>
    <m/>
    <m/>
    <m/>
    <m/>
    <m/>
    <m/>
    <m/>
    <m/>
    <m/>
    <m/>
    <m/>
    <m/>
    <m/>
    <m/>
    <m/>
    <m/>
    <n v="0"/>
    <n v="0"/>
    <n v="0"/>
    <n v="0"/>
  </r>
  <r>
    <x v="11"/>
    <s v="Willamsburg Technical College "/>
    <m/>
    <n v="218955"/>
    <x v="8"/>
    <n v="18"/>
    <n v="80180"/>
    <n v="18"/>
    <n v="113699"/>
    <n v="18"/>
    <n v="77880"/>
    <n v="18"/>
    <n v="85212"/>
    <m/>
    <m/>
    <m/>
    <m/>
    <n v="18"/>
    <n v="47586"/>
    <n v="18"/>
    <n v="64998"/>
    <n v="18"/>
    <n v="24881"/>
    <n v="18"/>
    <n v="33984"/>
    <n v="18"/>
    <n v="933"/>
    <n v="18"/>
    <n v="1314"/>
    <n v="18"/>
    <n v="5225"/>
    <n v="18"/>
    <n v="7128"/>
    <m/>
    <m/>
    <m/>
    <m/>
    <m/>
    <m/>
    <m/>
    <m/>
    <n v="18"/>
    <n v="236685"/>
    <n v="18"/>
    <n v="306335"/>
    <m/>
    <m/>
    <m/>
    <m/>
    <m/>
    <m/>
    <m/>
    <m/>
    <m/>
    <m/>
    <m/>
    <m/>
    <m/>
    <m/>
    <m/>
    <m/>
    <m/>
    <m/>
    <m/>
    <m/>
    <m/>
    <m/>
    <m/>
    <m/>
    <m/>
    <m/>
    <m/>
    <m/>
    <m/>
    <m/>
    <m/>
    <m/>
    <m/>
    <m/>
    <m/>
    <m/>
    <n v="0"/>
    <n v="0"/>
    <n v="0"/>
    <n v="0"/>
  </r>
  <r>
    <x v="12"/>
    <s v="University of Memphis"/>
    <m/>
    <n v="220862"/>
    <x v="0"/>
    <n v="774"/>
    <n v="6120508"/>
    <n v="775"/>
    <n v="6163517"/>
    <n v="731"/>
    <n v="6669294"/>
    <n v="726"/>
    <n v="6794215"/>
    <m/>
    <m/>
    <n v="0"/>
    <n v="0"/>
    <n v="784"/>
    <n v="3633669"/>
    <n v="781"/>
    <n v="3627818"/>
    <m/>
    <m/>
    <n v="0"/>
    <n v="0"/>
    <n v="786"/>
    <n v="44603"/>
    <n v="781"/>
    <n v="43968"/>
    <m/>
    <m/>
    <n v="0"/>
    <n v="0"/>
    <m/>
    <m/>
    <n v="0"/>
    <n v="0"/>
    <n v="544"/>
    <n v="313800"/>
    <n v="544"/>
    <n v="314940"/>
    <n v="786"/>
    <n v="16781874"/>
    <n v="781"/>
    <n v="16944458"/>
    <n v="71"/>
    <n v="656595"/>
    <n v="73"/>
    <n v="704405"/>
    <n v="66"/>
    <n v="606094"/>
    <n v="70"/>
    <n v="661877"/>
    <m/>
    <m/>
    <m/>
    <m/>
    <n v="70"/>
    <n v="332359"/>
    <n v="73"/>
    <n v="352803"/>
    <m/>
    <m/>
    <m/>
    <m/>
    <n v="70"/>
    <n v="4044"/>
    <n v="74"/>
    <n v="4282"/>
    <m/>
    <m/>
    <m/>
    <m/>
    <m/>
    <m/>
    <m/>
    <m/>
    <n v="47"/>
    <n v="27600"/>
    <n v="46"/>
    <n v="26820"/>
    <n v="71"/>
    <n v="1626692"/>
    <n v="74"/>
    <n v="1750187"/>
  </r>
  <r>
    <x v="12"/>
    <s v="University of Tennessee, Knoxville"/>
    <m/>
    <n v="221759"/>
    <x v="0"/>
    <n v="1122"/>
    <n v="10838439"/>
    <n v="1128"/>
    <n v="11100479"/>
    <n v="1080"/>
    <n v="9962111"/>
    <n v="1087"/>
    <n v="10308724"/>
    <m/>
    <m/>
    <m/>
    <m/>
    <n v="1131"/>
    <n v="6387826"/>
    <n v="1147"/>
    <n v="5154097"/>
    <n v="1136"/>
    <n v="31398"/>
    <n v="1150"/>
    <n v="41931"/>
    <n v="1133"/>
    <n v="65081"/>
    <n v="1145"/>
    <n v="65602"/>
    <n v="1136"/>
    <n v="220870"/>
    <n v="1150"/>
    <n v="178717"/>
    <m/>
    <m/>
    <m/>
    <m/>
    <m/>
    <m/>
    <m/>
    <m/>
    <n v="1136"/>
    <n v="27505725"/>
    <n v="1150"/>
    <n v="26849550"/>
    <n v="394"/>
    <n v="4993190"/>
    <n v="445"/>
    <n v="5969054"/>
    <n v="379"/>
    <n v="3619200"/>
    <n v="420"/>
    <n v="4066327"/>
    <m/>
    <m/>
    <m/>
    <m/>
    <n v="400"/>
    <n v="2953966"/>
    <n v="455"/>
    <n v="2657648"/>
    <n v="400"/>
    <n v="13474"/>
    <n v="459"/>
    <n v="21954"/>
    <n v="400"/>
    <n v="23422"/>
    <n v="448"/>
    <n v="26028"/>
    <n v="400"/>
    <n v="108588"/>
    <n v="459"/>
    <n v="100972"/>
    <m/>
    <m/>
    <m/>
    <m/>
    <m/>
    <m/>
    <m/>
    <m/>
    <n v="400"/>
    <n v="11711840"/>
    <n v="459"/>
    <n v="12841983"/>
  </r>
  <r>
    <x v="12"/>
    <s v="East Tennessee State University "/>
    <m/>
    <n v="220075"/>
    <x v="2"/>
    <n v="420"/>
    <n v="2705496"/>
    <n v="422"/>
    <n v="2754288"/>
    <n v="393"/>
    <n v="3468600"/>
    <n v="392"/>
    <n v="3588780"/>
    <m/>
    <m/>
    <m/>
    <m/>
    <n v="424"/>
    <n v="1754544"/>
    <n v="423"/>
    <n v="1725888"/>
    <m/>
    <m/>
    <n v="0"/>
    <n v="0"/>
    <n v="424"/>
    <n v="22596"/>
    <n v="423"/>
    <n v="22476"/>
    <m/>
    <m/>
    <m/>
    <m/>
    <m/>
    <m/>
    <m/>
    <m/>
    <n v="315"/>
    <n v="177780"/>
    <n v="317"/>
    <n v="181800"/>
    <n v="424"/>
    <n v="8129016"/>
    <n v="423"/>
    <n v="8273232"/>
    <n v="90"/>
    <n v="836724"/>
    <n v="94"/>
    <n v="942216"/>
    <n v="83"/>
    <n v="732672"/>
    <n v="87"/>
    <n v="784416"/>
    <m/>
    <m/>
    <m/>
    <m/>
    <n v="91"/>
    <n v="542880"/>
    <n v="94"/>
    <n v="569556"/>
    <m/>
    <m/>
    <m/>
    <m/>
    <n v="90"/>
    <n v="4872"/>
    <n v="94"/>
    <n v="5040"/>
    <m/>
    <m/>
    <m/>
    <m/>
    <m/>
    <m/>
    <m/>
    <m/>
    <n v="70"/>
    <n v="40800"/>
    <n v="76"/>
    <n v="44160"/>
    <n v="91"/>
    <n v="2157948"/>
    <n v="94"/>
    <n v="2345388"/>
  </r>
  <r>
    <x v="12"/>
    <s v="Middle Tennessee State University "/>
    <m/>
    <n v="220978"/>
    <x v="2"/>
    <n v="865"/>
    <n v="6170940"/>
    <n v="852"/>
    <n v="5968644"/>
    <n v="816"/>
    <n v="7175784"/>
    <n v="792"/>
    <n v="7215108"/>
    <m/>
    <m/>
    <n v="0"/>
    <n v="0"/>
    <n v="865"/>
    <n v="4066044"/>
    <n v="852"/>
    <n v="3867312"/>
    <n v="865"/>
    <n v="15996"/>
    <n v="852"/>
    <n v="35076"/>
    <n v="865"/>
    <n v="46032"/>
    <n v="852"/>
    <n v="52800"/>
    <m/>
    <m/>
    <m/>
    <m/>
    <m/>
    <m/>
    <m/>
    <m/>
    <m/>
    <m/>
    <m/>
    <m/>
    <n v="865"/>
    <n v="17474796"/>
    <n v="852"/>
    <n v="17138940"/>
    <n v="3"/>
    <n v="17856"/>
    <n v="4"/>
    <n v="35580"/>
    <n v="3"/>
    <n v="29208"/>
    <n v="4"/>
    <n v="35088"/>
    <m/>
    <m/>
    <m/>
    <m/>
    <n v="3"/>
    <n v="12396"/>
    <n v="4"/>
    <n v="23148"/>
    <m/>
    <m/>
    <m/>
    <m/>
    <n v="3"/>
    <n v="168"/>
    <n v="4"/>
    <n v="204"/>
    <m/>
    <m/>
    <m/>
    <m/>
    <m/>
    <m/>
    <m/>
    <m/>
    <m/>
    <m/>
    <m/>
    <m/>
    <n v="3"/>
    <n v="59628"/>
    <n v="4"/>
    <n v="94020"/>
  </r>
  <r>
    <x v="12"/>
    <s v="Tennessee State University "/>
    <s v="Met the criteria for Four-Year 2 in 2009-10 and 2010-11."/>
    <n v="221838"/>
    <x v="2"/>
    <n v="285"/>
    <n v="2221622"/>
    <n v="316"/>
    <n v="2147652"/>
    <n v="270"/>
    <n v="2378532"/>
    <n v="300"/>
    <n v="2741664"/>
    <m/>
    <m/>
    <n v="0"/>
    <n v="0"/>
    <n v="289"/>
    <n v="1458895"/>
    <n v="322"/>
    <n v="1427232"/>
    <m/>
    <m/>
    <n v="0"/>
    <n v="0"/>
    <n v="274"/>
    <n v="17289"/>
    <n v="305"/>
    <n v="15720"/>
    <m/>
    <m/>
    <n v="0"/>
    <n v="0"/>
    <m/>
    <m/>
    <n v="0"/>
    <n v="0"/>
    <n v="142"/>
    <n v="78453"/>
    <n v="161"/>
    <n v="93540"/>
    <n v="289"/>
    <n v="6154791"/>
    <n v="322"/>
    <n v="6425808"/>
    <n v="70"/>
    <n v="558784"/>
    <n v="73"/>
    <n v="549312"/>
    <n v="63"/>
    <n v="563586"/>
    <n v="66"/>
    <n v="624024"/>
    <m/>
    <m/>
    <n v="0"/>
    <n v="0"/>
    <n v="69"/>
    <n v="347603"/>
    <n v="73"/>
    <n v="349332"/>
    <m/>
    <m/>
    <n v="0"/>
    <n v="0"/>
    <n v="68"/>
    <n v="4845"/>
    <n v="68"/>
    <n v="3552"/>
    <m/>
    <m/>
    <n v="0"/>
    <n v="0"/>
    <m/>
    <m/>
    <n v="0"/>
    <n v="0"/>
    <n v="45"/>
    <n v="24430"/>
    <n v="48"/>
    <n v="1554060"/>
    <n v="70"/>
    <n v="1499248"/>
    <n v="73"/>
    <n v="3080280"/>
  </r>
  <r>
    <x v="12"/>
    <s v="Tennessee Technological University "/>
    <m/>
    <n v="221847"/>
    <x v="2"/>
    <n v="354"/>
    <n v="2555340"/>
    <n v="361"/>
    <n v="2680248"/>
    <n v="344"/>
    <n v="3124116"/>
    <n v="342"/>
    <n v="3240288"/>
    <m/>
    <m/>
    <n v="0"/>
    <n v="0"/>
    <n v="354"/>
    <n v="1668012"/>
    <n v="356"/>
    <n v="1649040"/>
    <m/>
    <m/>
    <n v="0"/>
    <n v="0"/>
    <n v="354"/>
    <n v="18900"/>
    <n v="359"/>
    <n v="19140"/>
    <m/>
    <m/>
    <n v="0"/>
    <n v="0"/>
    <n v="39"/>
    <n v="131693"/>
    <n v="55"/>
    <n v="147923"/>
    <n v="276"/>
    <n v="158820"/>
    <n v="279"/>
    <n v="160140"/>
    <n v="354"/>
    <n v="7656881"/>
    <n v="361"/>
    <n v="7896779"/>
    <n v="16"/>
    <n v="117624"/>
    <n v="19"/>
    <n v="141684"/>
    <n v="12"/>
    <n v="104664"/>
    <n v="15"/>
    <n v="115296"/>
    <m/>
    <m/>
    <n v="0"/>
    <n v="0"/>
    <n v="16"/>
    <n v="77436"/>
    <n v="18"/>
    <n v="79968"/>
    <m/>
    <m/>
    <n v="0"/>
    <n v="0"/>
    <n v="15"/>
    <n v="768"/>
    <n v="18"/>
    <n v="912"/>
    <m/>
    <m/>
    <n v="0"/>
    <n v="0"/>
    <n v="1"/>
    <n v="762"/>
    <n v="2"/>
    <n v="3180"/>
    <n v="13"/>
    <n v="7680"/>
    <n v="14"/>
    <n v="8040"/>
    <n v="16"/>
    <n v="308934"/>
    <n v="19"/>
    <n v="349080"/>
  </r>
  <r>
    <x v="12"/>
    <s v="University of Tennessee at Chattanooga"/>
    <m/>
    <n v="221740"/>
    <x v="2"/>
    <n v="355"/>
    <n v="2797550"/>
    <n v="382"/>
    <n v="3052319"/>
    <n v="327"/>
    <n v="3148009"/>
    <n v="385"/>
    <n v="3514281"/>
    <m/>
    <m/>
    <n v="0"/>
    <n v="0"/>
    <n v="359"/>
    <n v="1369726"/>
    <n v="385"/>
    <n v="1471261"/>
    <n v="359"/>
    <n v="9277"/>
    <n v="385"/>
    <n v="11835"/>
    <n v="357"/>
    <n v="19979"/>
    <n v="384"/>
    <n v="21654"/>
    <n v="359"/>
    <n v="55911"/>
    <n v="385"/>
    <n v="47945"/>
    <m/>
    <m/>
    <n v="0"/>
    <n v="0"/>
    <m/>
    <m/>
    <n v="0"/>
    <n v="0"/>
    <n v="359"/>
    <n v="7400452"/>
    <n v="385"/>
    <n v="8119295"/>
    <n v="31"/>
    <n v="297145"/>
    <n v="65"/>
    <n v="777774"/>
    <n v="27"/>
    <n v="293459"/>
    <n v="65"/>
    <n v="736826"/>
    <m/>
    <m/>
    <n v="0"/>
    <n v="0"/>
    <n v="32"/>
    <n v="138883"/>
    <n v="65"/>
    <n v="329793"/>
    <n v="32"/>
    <n v="827"/>
    <n v="65"/>
    <n v="1996"/>
    <n v="31"/>
    <n v="1758"/>
    <n v="64"/>
    <n v="3594"/>
    <n v="32"/>
    <n v="6532"/>
    <n v="65"/>
    <n v="11732"/>
    <m/>
    <m/>
    <n v="0"/>
    <n v="0"/>
    <m/>
    <m/>
    <n v="0"/>
    <n v="0"/>
    <n v="32"/>
    <n v="738604"/>
    <n v="65"/>
    <n v="1861715"/>
  </r>
  <r>
    <x v="12"/>
    <s v="Austin Peay State University "/>
    <s v="Reclassified: met the criteria for Four-Year 3 in 2008-09, 2009-10 and 2010-11."/>
    <n v="219602"/>
    <x v="2"/>
    <n v="310"/>
    <n v="1889404"/>
    <n v="326"/>
    <n v="2072622"/>
    <n v="270"/>
    <n v="2382937"/>
    <n v="286"/>
    <n v="2592358"/>
    <m/>
    <m/>
    <n v="0"/>
    <n v="0"/>
    <n v="309"/>
    <n v="1272832"/>
    <n v="323"/>
    <n v="1330357"/>
    <m/>
    <m/>
    <n v="0"/>
    <n v="0"/>
    <n v="310"/>
    <n v="17684"/>
    <n v="326"/>
    <n v="18507"/>
    <m/>
    <m/>
    <n v="0"/>
    <n v="0"/>
    <m/>
    <m/>
    <n v="0"/>
    <n v="0"/>
    <n v="228"/>
    <n v="131940"/>
    <n v="248"/>
    <n v="143100"/>
    <n v="310"/>
    <n v="5694797"/>
    <n v="326"/>
    <n v="6156944"/>
    <m/>
    <m/>
    <n v="1"/>
    <n v="7500"/>
    <m/>
    <m/>
    <n v="1"/>
    <n v="12532"/>
    <m/>
    <m/>
    <n v="0"/>
    <n v="0"/>
    <m/>
    <m/>
    <n v="1"/>
    <n v="5501"/>
    <m/>
    <m/>
    <n v="0"/>
    <n v="0"/>
    <m/>
    <m/>
    <n v="1"/>
    <n v="65"/>
    <m/>
    <m/>
    <n v="0"/>
    <n v="0"/>
    <m/>
    <m/>
    <n v="0"/>
    <n v="0"/>
    <m/>
    <m/>
    <n v="1"/>
    <n v="600"/>
    <n v="0"/>
    <n v="0"/>
    <n v="1"/>
    <n v="26198"/>
  </r>
  <r>
    <x v="12"/>
    <s v="University of Tennessee at Martin"/>
    <m/>
    <n v="221768"/>
    <x v="4"/>
    <n v="242"/>
    <n v="1796838"/>
    <n v="250"/>
    <n v="1693915"/>
    <n v="232"/>
    <n v="2017860"/>
    <n v="243"/>
    <n v="2153600"/>
    <m/>
    <m/>
    <n v="0"/>
    <n v="0"/>
    <n v="245"/>
    <n v="1048582"/>
    <n v="250"/>
    <n v="1086971"/>
    <n v="245"/>
    <n v="7039"/>
    <n v="250"/>
    <n v="4191"/>
    <n v="241"/>
    <n v="13936"/>
    <n v="243"/>
    <n v="14128"/>
    <n v="245"/>
    <n v="34269"/>
    <n v="250"/>
    <n v="28508"/>
    <n v="14"/>
    <n v="38460"/>
    <n v="20"/>
    <n v="41637"/>
    <m/>
    <m/>
    <n v="0"/>
    <n v="0"/>
    <n v="245"/>
    <n v="4956984"/>
    <n v="250"/>
    <n v="5022950"/>
    <n v="29"/>
    <n v="272325"/>
    <n v="23"/>
    <n v="233257"/>
    <n v="29"/>
    <n v="272580"/>
    <n v="23"/>
    <n v="268227"/>
    <m/>
    <m/>
    <n v="0"/>
    <n v="0"/>
    <n v="29"/>
    <n v="173709"/>
    <n v="26"/>
    <n v="153877"/>
    <n v="29"/>
    <n v="833"/>
    <n v="26"/>
    <n v="436"/>
    <n v="29"/>
    <n v="1696"/>
    <n v="23"/>
    <n v="1558"/>
    <n v="29"/>
    <n v="5985"/>
    <n v="26"/>
    <n v="4201"/>
    <n v="1"/>
    <n v="1182"/>
    <n v="2"/>
    <n v="5132"/>
    <m/>
    <m/>
    <n v="0"/>
    <n v="0"/>
    <n v="29"/>
    <n v="728310"/>
    <n v="26"/>
    <n v="666688"/>
  </r>
  <r>
    <x v="12"/>
    <s v="Chattanooga State Technical Community College "/>
    <m/>
    <n v="219824"/>
    <x v="6"/>
    <n v="151"/>
    <n v="870739"/>
    <n v="154"/>
    <n v="898866"/>
    <n v="134"/>
    <n v="1188355"/>
    <n v="129"/>
    <n v="1030758"/>
    <m/>
    <m/>
    <n v="0"/>
    <n v="0"/>
    <n v="151"/>
    <n v="586783"/>
    <n v="153"/>
    <n v="604859"/>
    <m/>
    <m/>
    <n v="0"/>
    <n v="0"/>
    <n v="150"/>
    <n v="8244"/>
    <n v="152"/>
    <n v="8369"/>
    <m/>
    <m/>
    <n v="0"/>
    <n v="0"/>
    <m/>
    <m/>
    <n v="0"/>
    <n v="0"/>
    <n v="130"/>
    <n v="70660"/>
    <n v="133"/>
    <n v="72440"/>
    <n v="151"/>
    <n v="2724781"/>
    <n v="154"/>
    <n v="2615292"/>
    <n v="63"/>
    <n v="385614"/>
    <n v="72"/>
    <n v="432559"/>
    <n v="58"/>
    <n v="502443"/>
    <n v="66"/>
    <n v="491583"/>
    <m/>
    <m/>
    <n v="0"/>
    <n v="0"/>
    <n v="63"/>
    <n v="254843"/>
    <n v="71"/>
    <n v="276389"/>
    <m/>
    <m/>
    <n v="0"/>
    <n v="0"/>
    <n v="63"/>
    <n v="3533"/>
    <n v="71"/>
    <n v="3814"/>
    <m/>
    <m/>
    <n v="0"/>
    <n v="0"/>
    <m/>
    <m/>
    <n v="0"/>
    <n v="0"/>
    <n v="54"/>
    <n v="30340"/>
    <n v="60"/>
    <n v="32440"/>
    <n v="63"/>
    <n v="1176773"/>
    <n v="72"/>
    <n v="1236785"/>
  </r>
  <r>
    <x v="12"/>
    <s v="Pellissippi State Technical Community College"/>
    <m/>
    <n v="221643"/>
    <x v="6"/>
    <n v="180"/>
    <n v="981996"/>
    <n v="189"/>
    <n v="1055760"/>
    <n v="158"/>
    <n v="1414248"/>
    <n v="167"/>
    <n v="1541280"/>
    <m/>
    <m/>
    <n v="0"/>
    <n v="0"/>
    <n v="180"/>
    <n v="670164"/>
    <n v="189"/>
    <n v="684888"/>
    <n v="180"/>
    <n v="11808"/>
    <n v="189"/>
    <n v="18670"/>
    <n v="180"/>
    <n v="9504"/>
    <n v="189"/>
    <n v="9984"/>
    <n v="180"/>
    <n v="38828"/>
    <n v="189"/>
    <n v="29938"/>
    <n v="21"/>
    <n v="14931"/>
    <n v="23"/>
    <n v="22114"/>
    <n v="153"/>
    <n v="89700"/>
    <n v="151"/>
    <n v="88740"/>
    <n v="180"/>
    <n v="3231179"/>
    <n v="189"/>
    <n v="3451374"/>
    <n v="6"/>
    <n v="65220"/>
    <n v="6"/>
    <n v="46489"/>
    <n v="6"/>
    <n v="65712"/>
    <n v="6"/>
    <n v="67656"/>
    <m/>
    <m/>
    <n v="0"/>
    <n v="0"/>
    <n v="6"/>
    <n v="21732"/>
    <n v="6"/>
    <n v="33860"/>
    <n v="6"/>
    <n v="394"/>
    <n v="6"/>
    <n v="33860"/>
    <n v="6"/>
    <n v="336"/>
    <n v="6"/>
    <n v="336"/>
    <n v="6"/>
    <n v="1294"/>
    <n v="6"/>
    <n v="950"/>
    <n v="1"/>
    <n v="395"/>
    <n v="0"/>
    <n v="0"/>
    <n v="5"/>
    <n v="3000"/>
    <n v="5"/>
    <n v="3000"/>
    <n v="6"/>
    <n v="158083"/>
    <n v="6"/>
    <n v="186151"/>
  </r>
  <r>
    <x v="12"/>
    <s v="Southwest Tennessee Community College"/>
    <m/>
    <n v="221485"/>
    <x v="6"/>
    <n v="217"/>
    <n v="1333884"/>
    <n v="213"/>
    <n v="1400628"/>
    <n v="178"/>
    <n v="1492224"/>
    <n v="180"/>
    <n v="1543872"/>
    <m/>
    <m/>
    <n v="0"/>
    <n v="0"/>
    <n v="218"/>
    <n v="861504"/>
    <n v="213"/>
    <n v="831912"/>
    <m/>
    <m/>
    <n v="0"/>
    <n v="0"/>
    <n v="217"/>
    <n v="11112"/>
    <n v="212"/>
    <n v="10812"/>
    <m/>
    <m/>
    <n v="0"/>
    <n v="0"/>
    <m/>
    <m/>
    <n v="0"/>
    <n v="0"/>
    <n v="153"/>
    <n v="86520"/>
    <n v="151"/>
    <n v="85920"/>
    <n v="218"/>
    <n v="3785244"/>
    <n v="213"/>
    <n v="3873144"/>
    <n v="16"/>
    <n v="159804"/>
    <n v="15"/>
    <n v="157428"/>
    <n v="11"/>
    <n v="82776"/>
    <n v="12"/>
    <n v="97752"/>
    <m/>
    <m/>
    <n v="0"/>
    <n v="0"/>
    <n v="16"/>
    <n v="96840"/>
    <n v="15"/>
    <n v="88020"/>
    <m/>
    <m/>
    <n v="0"/>
    <n v="0"/>
    <n v="16"/>
    <n v="816"/>
    <n v="15"/>
    <n v="780"/>
    <m/>
    <m/>
    <n v="0"/>
    <n v="0"/>
    <m/>
    <m/>
    <n v="0"/>
    <n v="0"/>
    <n v="11"/>
    <n v="6480"/>
    <n v="12"/>
    <n v="6960"/>
    <n v="16"/>
    <n v="346716"/>
    <n v="15"/>
    <n v="350940"/>
  </r>
  <r>
    <x v="12"/>
    <s v="Cleveland State Community College "/>
    <m/>
    <n v="219879"/>
    <x v="7"/>
    <n v="65"/>
    <n v="356496"/>
    <n v="67"/>
    <n v="360960"/>
    <n v="60"/>
    <n v="559824"/>
    <n v="63"/>
    <n v="623988"/>
    <m/>
    <m/>
    <n v="0"/>
    <n v="0"/>
    <n v="65"/>
    <n v="214104"/>
    <n v="68"/>
    <n v="216144"/>
    <m/>
    <m/>
    <n v="0"/>
    <n v="0"/>
    <n v="65"/>
    <n v="3516"/>
    <n v="68"/>
    <n v="3720"/>
    <m/>
    <m/>
    <n v="0"/>
    <n v="0"/>
    <m/>
    <m/>
    <n v="0"/>
    <n v="0"/>
    <n v="47"/>
    <n v="27480"/>
    <n v="50"/>
    <n v="29280"/>
    <n v="65"/>
    <n v="1161420"/>
    <n v="68"/>
    <n v="1234092"/>
    <n v="4"/>
    <n v="24576"/>
    <n v="4"/>
    <n v="26472"/>
    <n v="4"/>
    <n v="34080"/>
    <n v="4"/>
    <n v="42600"/>
    <m/>
    <m/>
    <n v="0"/>
    <n v="0"/>
    <n v="4"/>
    <n v="15072"/>
    <n v="4"/>
    <n v="14556"/>
    <m/>
    <m/>
    <n v="0"/>
    <n v="0"/>
    <n v="4"/>
    <n v="216"/>
    <n v="4"/>
    <n v="228"/>
    <m/>
    <m/>
    <n v="0"/>
    <n v="0"/>
    <m/>
    <m/>
    <n v="0"/>
    <n v="0"/>
    <n v="4"/>
    <n v="2400"/>
    <n v="4"/>
    <n v="2400"/>
    <n v="4"/>
    <n v="76344"/>
    <n v="4"/>
    <n v="86256"/>
  </r>
  <r>
    <x v="12"/>
    <s v="Columbia State Community College "/>
    <m/>
    <n v="219888"/>
    <x v="7"/>
    <n v="75"/>
    <n v="471588"/>
    <n v="83"/>
    <n v="517236"/>
    <n v="69"/>
    <n v="576936"/>
    <n v="75"/>
    <n v="669180"/>
    <m/>
    <m/>
    <n v="0"/>
    <n v="0"/>
    <n v="75"/>
    <n v="308688"/>
    <n v="82"/>
    <n v="313008"/>
    <m/>
    <m/>
    <n v="0"/>
    <n v="0"/>
    <n v="75"/>
    <n v="3948"/>
    <n v="82"/>
    <n v="4308"/>
    <m/>
    <m/>
    <n v="0"/>
    <n v="0"/>
    <n v="3"/>
    <n v="7700"/>
    <n v="4"/>
    <n v="11450"/>
    <n v="56"/>
    <n v="32520"/>
    <n v="56"/>
    <n v="32640"/>
    <n v="75"/>
    <n v="1401380"/>
    <n v="83"/>
    <n v="1547822"/>
    <n v="10"/>
    <n v="76428"/>
    <n v="11"/>
    <n v="85728"/>
    <n v="9"/>
    <n v="109512"/>
    <n v="9"/>
    <n v="112752"/>
    <m/>
    <m/>
    <n v="0"/>
    <n v="0"/>
    <n v="10"/>
    <n v="47460"/>
    <n v="11"/>
    <n v="50640"/>
    <m/>
    <m/>
    <n v="0"/>
    <n v="0"/>
    <n v="9"/>
    <n v="540"/>
    <n v="10"/>
    <n v="588"/>
    <m/>
    <m/>
    <n v="0"/>
    <n v="0"/>
    <n v="2"/>
    <n v="5600"/>
    <n v="3"/>
    <n v="11150"/>
    <n v="7"/>
    <n v="3720"/>
    <n v="8"/>
    <n v="4440"/>
    <n v="10"/>
    <n v="243260"/>
    <n v="11"/>
    <n v="265298"/>
  </r>
  <r>
    <x v="12"/>
    <s v="Jackson State Community College "/>
    <m/>
    <n v="220400"/>
    <x v="7"/>
    <n v="69"/>
    <n v="33485"/>
    <n v="81"/>
    <n v="439848"/>
    <n v="63"/>
    <n v="51722"/>
    <n v="75"/>
    <n v="732605"/>
    <m/>
    <m/>
    <n v="0"/>
    <n v="0"/>
    <n v="86"/>
    <n v="308258"/>
    <n v="81"/>
    <n v="274527"/>
    <m/>
    <m/>
    <n v="0"/>
    <n v="0"/>
    <n v="63"/>
    <n v="293"/>
    <n v="79"/>
    <n v="4703"/>
    <m/>
    <m/>
    <n v="0"/>
    <n v="0"/>
    <m/>
    <m/>
    <n v="0"/>
    <n v="0"/>
    <m/>
    <m/>
    <n v="0"/>
    <n v="0"/>
    <n v="86"/>
    <n v="393758"/>
    <n v="81"/>
    <n v="1451683"/>
    <n v="12"/>
    <n v="6721"/>
    <n v="13"/>
    <n v="84453"/>
    <n v="11"/>
    <n v="7708"/>
    <n v="12"/>
    <n v="104663"/>
    <m/>
    <m/>
    <n v="0"/>
    <n v="0"/>
    <n v="13"/>
    <n v="60825"/>
    <n v="13"/>
    <n v="58335"/>
    <m/>
    <m/>
    <n v="0"/>
    <n v="0"/>
    <n v="11"/>
    <n v="50"/>
    <n v="13"/>
    <n v="766"/>
    <m/>
    <m/>
    <n v="0"/>
    <n v="0"/>
    <m/>
    <m/>
    <n v="0"/>
    <n v="0"/>
    <m/>
    <m/>
    <n v="0"/>
    <n v="0"/>
    <n v="13"/>
    <n v="75304"/>
    <n v="13"/>
    <n v="248217"/>
  </r>
  <r>
    <x v="12"/>
    <s v="Motlow State Community College "/>
    <m/>
    <n v="221096"/>
    <x v="7"/>
    <n v="79"/>
    <n v="435552"/>
    <n v="75"/>
    <n v="452436"/>
    <n v="69"/>
    <n v="613416"/>
    <n v="68"/>
    <n v="619032"/>
    <m/>
    <m/>
    <n v="0"/>
    <n v="0"/>
    <n v="79"/>
    <n v="272160"/>
    <n v="76"/>
    <n v="261120"/>
    <m/>
    <m/>
    <n v="0"/>
    <n v="0"/>
    <n v="78"/>
    <n v="4104"/>
    <n v="75"/>
    <n v="3936"/>
    <m/>
    <m/>
    <n v="0"/>
    <n v="0"/>
    <n v="19"/>
    <n v="15846"/>
    <n v="18"/>
    <n v="18884"/>
    <n v="63"/>
    <n v="35400"/>
    <n v="61"/>
    <n v="35160"/>
    <n v="79"/>
    <n v="1376478"/>
    <n v="76"/>
    <n v="1390568"/>
    <m/>
    <m/>
    <m/>
    <m/>
    <m/>
    <m/>
    <m/>
    <m/>
    <m/>
    <m/>
    <m/>
    <m/>
    <m/>
    <m/>
    <m/>
    <m/>
    <m/>
    <m/>
    <m/>
    <m/>
    <m/>
    <m/>
    <m/>
    <m/>
    <m/>
    <m/>
    <m/>
    <m/>
    <m/>
    <m/>
    <m/>
    <m/>
    <m/>
    <m/>
    <m/>
    <m/>
    <n v="0"/>
    <n v="0"/>
    <n v="0"/>
    <n v="0"/>
  </r>
  <r>
    <x v="12"/>
    <s v="Nashville State Technical Community College"/>
    <s v="Met the criteria for Two-year 1 in 2009-10 and 2010-11."/>
    <n v="221184"/>
    <x v="7"/>
    <n v="145"/>
    <n v="795960"/>
    <n v="154"/>
    <n v="830574"/>
    <n v="130"/>
    <n v="1170813"/>
    <n v="138"/>
    <n v="1203553"/>
    <m/>
    <m/>
    <n v="0"/>
    <n v="0"/>
    <n v="145"/>
    <n v="511871"/>
    <n v="152"/>
    <n v="524884"/>
    <m/>
    <m/>
    <n v="0"/>
    <n v="0"/>
    <n v="130"/>
    <n v="7665"/>
    <n v="157"/>
    <n v="10500"/>
    <m/>
    <m/>
    <n v="0"/>
    <n v="0"/>
    <m/>
    <m/>
    <n v="19"/>
    <n v="19754"/>
    <n v="115"/>
    <n v="66180"/>
    <n v="0"/>
    <n v="0"/>
    <n v="145"/>
    <n v="2552489"/>
    <n v="157"/>
    <n v="2589265"/>
    <n v="2"/>
    <n v="12264"/>
    <n v="2"/>
    <n v="13462"/>
    <n v="2"/>
    <n v="24334"/>
    <n v="1"/>
    <n v="10039"/>
    <m/>
    <m/>
    <n v="0"/>
    <n v="0"/>
    <n v="2"/>
    <n v="7629"/>
    <n v="2"/>
    <n v="8420"/>
    <m/>
    <m/>
    <n v="0"/>
    <n v="0"/>
    <n v="2"/>
    <n v="129"/>
    <n v="2"/>
    <n v="115"/>
    <m/>
    <m/>
    <n v="0"/>
    <n v="0"/>
    <m/>
    <m/>
    <n v="0"/>
    <n v="0"/>
    <n v="1"/>
    <n v="600"/>
    <n v="0"/>
    <n v="0"/>
    <n v="2"/>
    <n v="44956"/>
    <n v="2"/>
    <n v="32036"/>
  </r>
  <r>
    <x v="12"/>
    <s v="Northeast State Technical Community College"/>
    <m/>
    <n v="221908"/>
    <x v="7"/>
    <n v="95"/>
    <n v="450030"/>
    <n v="99"/>
    <n v="502295"/>
    <n v="80"/>
    <n v="740200"/>
    <n v="81"/>
    <n v="789724"/>
    <m/>
    <m/>
    <n v="0"/>
    <n v="0"/>
    <n v="95"/>
    <n v="308750"/>
    <n v="99"/>
    <n v="313551"/>
    <m/>
    <m/>
    <n v="0"/>
    <n v="0"/>
    <n v="95"/>
    <n v="6700"/>
    <n v="99"/>
    <n v="5575"/>
    <m/>
    <m/>
    <n v="0"/>
    <n v="0"/>
    <n v="15"/>
    <n v="38700"/>
    <n v="21"/>
    <n v="33862"/>
    <m/>
    <m/>
    <n v="0"/>
    <n v="0"/>
    <n v="95"/>
    <n v="1544380"/>
    <n v="99"/>
    <n v="1645007"/>
    <n v="11"/>
    <n v="78130"/>
    <n v="11"/>
    <n v="84304"/>
    <n v="11"/>
    <n v="107260"/>
    <n v="11"/>
    <n v="115315"/>
    <m/>
    <m/>
    <n v="0"/>
    <n v="0"/>
    <n v="11"/>
    <n v="53350"/>
    <n v="11"/>
    <n v="56736"/>
    <m/>
    <m/>
    <n v="0"/>
    <n v="0"/>
    <n v="11"/>
    <n v="825"/>
    <n v="11"/>
    <n v="678"/>
    <m/>
    <m/>
    <n v="0"/>
    <n v="0"/>
    <m/>
    <m/>
    <n v="1"/>
    <n v="1383"/>
    <m/>
    <m/>
    <n v="0"/>
    <n v="0"/>
    <n v="11"/>
    <n v="239565"/>
    <n v="11"/>
    <n v="258416"/>
  </r>
  <r>
    <x v="12"/>
    <s v="Roane State Community College "/>
    <m/>
    <n v="221397"/>
    <x v="7"/>
    <n v="115"/>
    <n v="672852"/>
    <n v="114"/>
    <n v="707076"/>
    <n v="98"/>
    <n v="903024"/>
    <n v="101"/>
    <n v="947316"/>
    <m/>
    <m/>
    <n v="0"/>
    <n v="0"/>
    <n v="115"/>
    <n v="433284"/>
    <n v="114"/>
    <n v="422724"/>
    <m/>
    <m/>
    <n v="0"/>
    <n v="0"/>
    <n v="115"/>
    <n v="6216"/>
    <n v="114"/>
    <n v="6036"/>
    <m/>
    <m/>
    <n v="0"/>
    <n v="0"/>
    <m/>
    <m/>
    <n v="0"/>
    <n v="0"/>
    <n v="80"/>
    <n v="46440"/>
    <n v="82"/>
    <n v="47280"/>
    <n v="115"/>
    <n v="2061816"/>
    <n v="114"/>
    <n v="2130432"/>
    <n v="18"/>
    <n v="119364"/>
    <n v="15"/>
    <n v="116016"/>
    <n v="18"/>
    <n v="167952"/>
    <n v="15"/>
    <n v="142848"/>
    <m/>
    <m/>
    <n v="0"/>
    <n v="0"/>
    <n v="18"/>
    <n v="71700"/>
    <n v="15"/>
    <n v="61992"/>
    <m/>
    <m/>
    <n v="0"/>
    <n v="0"/>
    <n v="18"/>
    <n v="996"/>
    <n v="15"/>
    <n v="816"/>
    <m/>
    <m/>
    <n v="0"/>
    <n v="0"/>
    <m/>
    <m/>
    <n v="0"/>
    <n v="0"/>
    <n v="13"/>
    <n v="7320"/>
    <n v="11"/>
    <n v="5760"/>
    <n v="18"/>
    <n v="367332"/>
    <n v="15"/>
    <n v="327432"/>
  </r>
  <r>
    <x v="12"/>
    <s v="Volunteer State Community College "/>
    <s v="Met the criteria for Two-Year 1 in 2009-10 and 2010-11."/>
    <n v="222053"/>
    <x v="7"/>
    <n v="124"/>
    <n v="661438"/>
    <n v="124"/>
    <n v="721828"/>
    <n v="108"/>
    <n v="1000378"/>
    <n v="108"/>
    <n v="1030394"/>
    <m/>
    <m/>
    <n v="0"/>
    <n v="0"/>
    <n v="124"/>
    <n v="431547"/>
    <n v="124"/>
    <n v="440293"/>
    <m/>
    <m/>
    <n v="0"/>
    <n v="0"/>
    <n v="108"/>
    <n v="6304"/>
    <n v="108"/>
    <n v="6343"/>
    <m/>
    <m/>
    <n v="0"/>
    <n v="0"/>
    <n v="22"/>
    <n v="56853"/>
    <n v="19"/>
    <n v="44880"/>
    <m/>
    <m/>
    <n v="0"/>
    <n v="0"/>
    <n v="124"/>
    <n v="2156520"/>
    <n v="124"/>
    <n v="2243738"/>
    <n v="24"/>
    <n v="159740"/>
    <n v="27"/>
    <n v="198609"/>
    <n v="23"/>
    <n v="228786"/>
    <n v="26"/>
    <n v="273247"/>
    <m/>
    <m/>
    <n v="0"/>
    <n v="0"/>
    <n v="24"/>
    <n v="105956"/>
    <n v="27"/>
    <n v="119380"/>
    <m/>
    <m/>
    <n v="0"/>
    <n v="0"/>
    <n v="23"/>
    <n v="1389"/>
    <n v="26"/>
    <n v="1584"/>
    <m/>
    <m/>
    <n v="0"/>
    <n v="0"/>
    <m/>
    <m/>
    <n v="5"/>
    <n v="7980"/>
    <m/>
    <m/>
    <n v="0"/>
    <n v="0"/>
    <n v="24"/>
    <n v="495871"/>
    <n v="27"/>
    <n v="600800"/>
  </r>
  <r>
    <x v="12"/>
    <s v="Walters State Community College "/>
    <m/>
    <n v="222062"/>
    <x v="7"/>
    <n v="118"/>
    <n v="686256"/>
    <n v="125"/>
    <n v="787596"/>
    <n v="111"/>
    <n v="1010160"/>
    <n v="118"/>
    <n v="1150272"/>
    <m/>
    <m/>
    <n v="0"/>
    <n v="0"/>
    <n v="118"/>
    <n v="419352"/>
    <n v="125"/>
    <n v="433800"/>
    <m/>
    <m/>
    <n v="0"/>
    <n v="0"/>
    <n v="118"/>
    <n v="6336"/>
    <n v="125"/>
    <n v="6816"/>
    <m/>
    <m/>
    <n v="0"/>
    <n v="0"/>
    <m/>
    <m/>
    <n v="0"/>
    <n v="0"/>
    <n v="104"/>
    <n v="61200"/>
    <n v="106"/>
    <n v="62760"/>
    <n v="118"/>
    <n v="2183304"/>
    <n v="125"/>
    <n v="2441244"/>
    <n v="28"/>
    <n v="200052"/>
    <n v="29"/>
    <n v="229896"/>
    <n v="26"/>
    <n v="243408"/>
    <n v="28"/>
    <n v="275664"/>
    <m/>
    <m/>
    <n v="0"/>
    <n v="0"/>
    <n v="28"/>
    <n v="130560"/>
    <n v="29"/>
    <n v="136500"/>
    <m/>
    <m/>
    <n v="0"/>
    <n v="0"/>
    <n v="28"/>
    <n v="1524"/>
    <n v="29"/>
    <n v="1596"/>
    <m/>
    <m/>
    <n v="0"/>
    <n v="0"/>
    <m/>
    <m/>
    <n v="0"/>
    <n v="0"/>
    <n v="20"/>
    <n v="12000"/>
    <n v="20"/>
    <n v="11760"/>
    <n v="28"/>
    <n v="587544"/>
    <n v="29"/>
    <n v="655416"/>
  </r>
  <r>
    <x v="12"/>
    <s v="Dyersburg State Community College "/>
    <s v="Met the criteria for Two-Year 2 in 2009-10 and 2010-11."/>
    <n v="220057"/>
    <x v="8"/>
    <n v="45"/>
    <n v="239472"/>
    <n v="45"/>
    <n v="247800"/>
    <n v="42"/>
    <n v="369984"/>
    <n v="41"/>
    <n v="395952"/>
    <m/>
    <m/>
    <n v="0"/>
    <n v="0"/>
    <n v="47"/>
    <n v="166956"/>
    <n v="46"/>
    <n v="163452"/>
    <m/>
    <m/>
    <n v="0"/>
    <n v="0"/>
    <n v="42"/>
    <n v="2196"/>
    <n v="41"/>
    <n v="2256"/>
    <m/>
    <m/>
    <n v="0"/>
    <n v="0"/>
    <m/>
    <m/>
    <n v="0"/>
    <n v="0"/>
    <n v="38"/>
    <n v="20820"/>
    <n v="36"/>
    <n v="20220"/>
    <n v="47"/>
    <n v="799428"/>
    <n v="46"/>
    <n v="829680"/>
    <n v="7"/>
    <n v="56376"/>
    <n v="7"/>
    <n v="51192"/>
    <n v="5"/>
    <n v="53544"/>
    <n v="5"/>
    <n v="55128"/>
    <m/>
    <m/>
    <n v="0"/>
    <n v="0"/>
    <n v="7"/>
    <n v="35388"/>
    <n v="7"/>
    <n v="31248"/>
    <m/>
    <m/>
    <n v="0"/>
    <n v="0"/>
    <n v="5"/>
    <n v="288"/>
    <n v="5"/>
    <n v="288"/>
    <m/>
    <m/>
    <n v="0"/>
    <n v="0"/>
    <m/>
    <m/>
    <n v="0"/>
    <n v="0"/>
    <n v="7"/>
    <n v="4200"/>
    <n v="7"/>
    <n v="4200"/>
    <n v="7"/>
    <n v="149796"/>
    <n v="7"/>
    <n v="142056"/>
  </r>
  <r>
    <x v="12"/>
    <s v="Tennessee Technology Center at Athens"/>
    <m/>
    <n v="219596"/>
    <x v="10"/>
    <m/>
    <m/>
    <m/>
    <m/>
    <m/>
    <m/>
    <m/>
    <m/>
    <m/>
    <m/>
    <m/>
    <m/>
    <m/>
    <m/>
    <m/>
    <m/>
    <m/>
    <m/>
    <m/>
    <m/>
    <m/>
    <m/>
    <m/>
    <m/>
    <m/>
    <m/>
    <m/>
    <m/>
    <m/>
    <m/>
    <m/>
    <m/>
    <m/>
    <m/>
    <m/>
    <m/>
    <n v="0"/>
    <n v="0"/>
    <n v="0"/>
    <n v="0"/>
    <n v="12"/>
    <n v="52705.8"/>
    <n v="13"/>
    <n v="56672.100000000006"/>
    <n v="12"/>
    <n v="85383.396000000008"/>
    <n v="13"/>
    <n v="92343.226873826803"/>
    <m/>
    <m/>
    <m/>
    <m/>
    <n v="12"/>
    <n v="40319.936999999998"/>
    <n v="13"/>
    <n v="43354.156499999997"/>
    <m/>
    <m/>
    <m/>
    <m/>
    <m/>
    <m/>
    <m/>
    <m/>
    <m/>
    <m/>
    <m/>
    <m/>
    <m/>
    <m/>
    <m/>
    <m/>
    <m/>
    <m/>
    <m/>
    <m/>
    <n v="12"/>
    <n v="178409.13300000003"/>
    <n v="13"/>
    <n v="192369.48337382681"/>
  </r>
  <r>
    <x v="12"/>
    <s v="Tennessee Technology Center at Chattanooga"/>
    <s v="Met the criteria for Technical Institute or College 1 in 2010-11."/>
    <s v="219824B"/>
    <x v="10"/>
    <m/>
    <m/>
    <m/>
    <m/>
    <m/>
    <m/>
    <m/>
    <m/>
    <m/>
    <m/>
    <m/>
    <m/>
    <m/>
    <m/>
    <m/>
    <m/>
    <m/>
    <m/>
    <m/>
    <m/>
    <m/>
    <m/>
    <m/>
    <m/>
    <m/>
    <m/>
    <m/>
    <m/>
    <m/>
    <m/>
    <m/>
    <m/>
    <m/>
    <m/>
    <m/>
    <m/>
    <n v="0"/>
    <n v="0"/>
    <n v="0"/>
    <n v="0"/>
    <n v="35"/>
    <n v="165694.6"/>
    <n v="40"/>
    <n v="188195.40000000002"/>
    <n v="35"/>
    <n v="268425.25200000004"/>
    <n v="40"/>
    <n v="306651.25377056055"/>
    <m/>
    <m/>
    <m/>
    <m/>
    <n v="35"/>
    <n v="126756.36899999999"/>
    <n v="40"/>
    <n v="143969.481"/>
    <m/>
    <m/>
    <m/>
    <m/>
    <m/>
    <m/>
    <m/>
    <m/>
    <m/>
    <m/>
    <m/>
    <m/>
    <m/>
    <m/>
    <m/>
    <m/>
    <m/>
    <m/>
    <m/>
    <m/>
    <n v="35"/>
    <n v="560876.22100000002"/>
    <n v="40"/>
    <n v="638816.13477056054"/>
  </r>
  <r>
    <x v="12"/>
    <s v="Tennessee Technology Center at Covington"/>
    <m/>
    <n v="219921"/>
    <x v="10"/>
    <m/>
    <m/>
    <m/>
    <m/>
    <m/>
    <m/>
    <m/>
    <m/>
    <m/>
    <m/>
    <m/>
    <m/>
    <m/>
    <m/>
    <m/>
    <m/>
    <m/>
    <m/>
    <m/>
    <m/>
    <m/>
    <m/>
    <m/>
    <m/>
    <m/>
    <m/>
    <m/>
    <m/>
    <m/>
    <m/>
    <m/>
    <m/>
    <m/>
    <m/>
    <m/>
    <m/>
    <n v="0"/>
    <n v="0"/>
    <n v="0"/>
    <n v="0"/>
    <n v="9"/>
    <n v="38163.1"/>
    <n v="10"/>
    <n v="43731.3"/>
    <n v="9"/>
    <n v="61824.222000000002"/>
    <n v="10"/>
    <n v="71257.097538072208"/>
    <m/>
    <m/>
    <m/>
    <m/>
    <n v="9"/>
    <n v="29194.771499999999"/>
    <n v="10"/>
    <n v="33454.444499999998"/>
    <m/>
    <m/>
    <m/>
    <m/>
    <m/>
    <m/>
    <m/>
    <m/>
    <m/>
    <m/>
    <m/>
    <m/>
    <m/>
    <m/>
    <m/>
    <m/>
    <m/>
    <m/>
    <m/>
    <m/>
    <n v="9"/>
    <n v="129182.09349999999"/>
    <n v="10"/>
    <n v="148442.84203807221"/>
  </r>
  <r>
    <x v="12"/>
    <s v="Tennessee Technology Center at Crossville"/>
    <m/>
    <n v="221591"/>
    <x v="10"/>
    <m/>
    <m/>
    <m/>
    <m/>
    <m/>
    <m/>
    <m/>
    <m/>
    <m/>
    <m/>
    <m/>
    <m/>
    <m/>
    <m/>
    <m/>
    <m/>
    <m/>
    <m/>
    <m/>
    <m/>
    <m/>
    <m/>
    <m/>
    <m/>
    <m/>
    <m/>
    <m/>
    <m/>
    <m/>
    <m/>
    <m/>
    <m/>
    <m/>
    <m/>
    <m/>
    <m/>
    <n v="0"/>
    <n v="0"/>
    <n v="0"/>
    <n v="0"/>
    <n v="21"/>
    <n v="93753.7"/>
    <n v="18"/>
    <n v="79092.200000000012"/>
    <n v="21"/>
    <n v="151880.99400000001"/>
    <n v="18"/>
    <n v="128875.21317456181"/>
    <m/>
    <m/>
    <m/>
    <m/>
    <n v="21"/>
    <n v="71721.580499999996"/>
    <n v="18"/>
    <n v="60505.532999999996"/>
    <m/>
    <m/>
    <m/>
    <m/>
    <m/>
    <m/>
    <m/>
    <m/>
    <m/>
    <m/>
    <m/>
    <m/>
    <m/>
    <m/>
    <m/>
    <m/>
    <m/>
    <m/>
    <m/>
    <m/>
    <n v="21"/>
    <n v="317356.2745"/>
    <n v="18"/>
    <n v="268472.9461745618"/>
  </r>
  <r>
    <x v="12"/>
    <s v="Tennessee Technology Center at Crump"/>
    <m/>
    <n v="221430"/>
    <x v="10"/>
    <m/>
    <m/>
    <m/>
    <m/>
    <m/>
    <m/>
    <m/>
    <m/>
    <m/>
    <m/>
    <m/>
    <m/>
    <m/>
    <m/>
    <m/>
    <m/>
    <m/>
    <m/>
    <m/>
    <m/>
    <m/>
    <m/>
    <m/>
    <m/>
    <m/>
    <m/>
    <m/>
    <m/>
    <m/>
    <m/>
    <m/>
    <m/>
    <m/>
    <m/>
    <m/>
    <m/>
    <n v="0"/>
    <n v="0"/>
    <n v="0"/>
    <n v="0"/>
    <n v="8"/>
    <n v="39569.4"/>
    <n v="13"/>
    <n v="60820.600000000006"/>
    <n v="8"/>
    <n v="64102.428"/>
    <n v="13"/>
    <n v="99102.917739103912"/>
    <m/>
    <m/>
    <m/>
    <m/>
    <n v="8"/>
    <n v="30270.591"/>
    <n v="13"/>
    <n v="46527.758999999998"/>
    <m/>
    <m/>
    <m/>
    <m/>
    <m/>
    <m/>
    <m/>
    <m/>
    <m/>
    <m/>
    <m/>
    <m/>
    <m/>
    <m/>
    <m/>
    <m/>
    <m/>
    <m/>
    <m/>
    <m/>
    <n v="8"/>
    <n v="133942.41899999999"/>
    <n v="13"/>
    <n v="206451.27673910392"/>
  </r>
  <r>
    <x v="12"/>
    <s v="Tennessee Technology Center at Dickson"/>
    <m/>
    <n v="219994"/>
    <x v="10"/>
    <m/>
    <m/>
    <m/>
    <m/>
    <m/>
    <m/>
    <m/>
    <m/>
    <m/>
    <m/>
    <m/>
    <m/>
    <m/>
    <m/>
    <m/>
    <m/>
    <m/>
    <m/>
    <m/>
    <m/>
    <m/>
    <m/>
    <m/>
    <m/>
    <m/>
    <m/>
    <m/>
    <m/>
    <m/>
    <m/>
    <m/>
    <m/>
    <m/>
    <m/>
    <m/>
    <m/>
    <n v="0"/>
    <n v="0"/>
    <n v="0"/>
    <n v="0"/>
    <n v="28"/>
    <n v="127111.3"/>
    <n v="29"/>
    <n v="128840"/>
    <n v="28"/>
    <n v="205920.30600000001"/>
    <n v="29"/>
    <n v="209935.77704768034"/>
    <m/>
    <m/>
    <m/>
    <m/>
    <n v="28"/>
    <n v="97240.144499999995"/>
    <n v="29"/>
    <n v="98562.599999999991"/>
    <m/>
    <m/>
    <m/>
    <m/>
    <m/>
    <m/>
    <m/>
    <m/>
    <m/>
    <m/>
    <m/>
    <m/>
    <m/>
    <m/>
    <m/>
    <m/>
    <m/>
    <m/>
    <m/>
    <m/>
    <n v="28"/>
    <n v="430271.75050000002"/>
    <n v="29"/>
    <n v="437338.37704768032"/>
  </r>
  <r>
    <x v="12"/>
    <s v="Tennessee Technology Center at Elizabethton"/>
    <m/>
    <n v="220127"/>
    <x v="10"/>
    <m/>
    <m/>
    <m/>
    <m/>
    <m/>
    <m/>
    <m/>
    <m/>
    <m/>
    <m/>
    <m/>
    <m/>
    <m/>
    <m/>
    <m/>
    <m/>
    <m/>
    <m/>
    <m/>
    <m/>
    <m/>
    <m/>
    <m/>
    <m/>
    <m/>
    <m/>
    <m/>
    <m/>
    <m/>
    <m/>
    <m/>
    <m/>
    <m/>
    <m/>
    <m/>
    <m/>
    <n v="0"/>
    <n v="0"/>
    <n v="0"/>
    <n v="0"/>
    <n v="15"/>
    <n v="67959.199999999997"/>
    <n v="18"/>
    <n v="80971.100000000006"/>
    <n v="15"/>
    <n v="110093.90400000001"/>
    <n v="18"/>
    <n v="131936.74943267176"/>
    <m/>
    <m/>
    <m/>
    <m/>
    <n v="15"/>
    <n v="51988.788"/>
    <n v="18"/>
    <n v="61942.891499999998"/>
    <m/>
    <m/>
    <m/>
    <m/>
    <m/>
    <m/>
    <m/>
    <m/>
    <m/>
    <m/>
    <m/>
    <m/>
    <m/>
    <m/>
    <m/>
    <m/>
    <m/>
    <m/>
    <m/>
    <m/>
    <n v="15"/>
    <n v="230041.89199999999"/>
    <n v="18"/>
    <n v="274850.74093267176"/>
  </r>
  <r>
    <x v="12"/>
    <s v="Tennessee Technology Center at Harriman"/>
    <m/>
    <n v="220251"/>
    <x v="10"/>
    <m/>
    <m/>
    <m/>
    <m/>
    <m/>
    <m/>
    <m/>
    <m/>
    <m/>
    <m/>
    <m/>
    <m/>
    <m/>
    <m/>
    <m/>
    <m/>
    <m/>
    <m/>
    <m/>
    <m/>
    <m/>
    <m/>
    <m/>
    <m/>
    <m/>
    <m/>
    <m/>
    <m/>
    <m/>
    <m/>
    <m/>
    <m/>
    <m/>
    <m/>
    <m/>
    <m/>
    <n v="0"/>
    <n v="0"/>
    <n v="0"/>
    <n v="0"/>
    <n v="12"/>
    <n v="48321.4"/>
    <n v="11"/>
    <n v="44501.4"/>
    <n v="12"/>
    <n v="78280.668000000005"/>
    <n v="11"/>
    <n v="72511.921675796664"/>
    <m/>
    <m/>
    <m/>
    <m/>
    <n v="12"/>
    <n v="36965.870999999999"/>
    <n v="11"/>
    <n v="34043.570999999996"/>
    <m/>
    <m/>
    <m/>
    <m/>
    <m/>
    <m/>
    <m/>
    <m/>
    <m/>
    <m/>
    <m/>
    <m/>
    <m/>
    <m/>
    <m/>
    <m/>
    <m/>
    <m/>
    <m/>
    <m/>
    <n v="12"/>
    <n v="163567.93900000001"/>
    <n v="11"/>
    <n v="151056.89267579667"/>
  </r>
  <r>
    <x v="12"/>
    <s v="Tennessee Technology Center at Hartsville"/>
    <m/>
    <n v="220279"/>
    <x v="10"/>
    <m/>
    <m/>
    <m/>
    <m/>
    <m/>
    <m/>
    <m/>
    <m/>
    <m/>
    <m/>
    <m/>
    <m/>
    <m/>
    <m/>
    <m/>
    <m/>
    <m/>
    <m/>
    <m/>
    <m/>
    <m/>
    <m/>
    <m/>
    <m/>
    <m/>
    <m/>
    <m/>
    <m/>
    <m/>
    <m/>
    <m/>
    <m/>
    <m/>
    <m/>
    <m/>
    <m/>
    <n v="0"/>
    <n v="0"/>
    <n v="0"/>
    <n v="0"/>
    <n v="10"/>
    <n v="44969.9"/>
    <n v="20"/>
    <n v="80820.600000000006"/>
    <n v="10"/>
    <n v="72851.237999999998"/>
    <n v="20"/>
    <n v="131691.52019915986"/>
    <m/>
    <m/>
    <m/>
    <m/>
    <n v="10"/>
    <n v="34401.9735"/>
    <n v="20"/>
    <n v="61827.758999999998"/>
    <m/>
    <m/>
    <m/>
    <m/>
    <m/>
    <m/>
    <m/>
    <m/>
    <m/>
    <m/>
    <m/>
    <m/>
    <m/>
    <m/>
    <m/>
    <m/>
    <m/>
    <m/>
    <m/>
    <m/>
    <n v="10"/>
    <n v="152223.1115"/>
    <n v="20"/>
    <n v="274339.87919915986"/>
  </r>
  <r>
    <x v="12"/>
    <s v="Tennessee Technology Center at Hohenwald"/>
    <m/>
    <n v="220321"/>
    <x v="10"/>
    <m/>
    <m/>
    <m/>
    <m/>
    <m/>
    <m/>
    <m/>
    <m/>
    <m/>
    <m/>
    <m/>
    <m/>
    <m/>
    <m/>
    <m/>
    <m/>
    <m/>
    <m/>
    <m/>
    <m/>
    <m/>
    <m/>
    <m/>
    <m/>
    <m/>
    <m/>
    <m/>
    <m/>
    <m/>
    <m/>
    <m/>
    <m/>
    <m/>
    <m/>
    <m/>
    <m/>
    <n v="0"/>
    <n v="0"/>
    <n v="0"/>
    <n v="0"/>
    <n v="21"/>
    <n v="88182"/>
    <n v="24"/>
    <n v="102340.90000000001"/>
    <n v="21"/>
    <n v="142854.84"/>
    <n v="24"/>
    <n v="166757.34527521694"/>
    <m/>
    <m/>
    <m/>
    <m/>
    <n v="21"/>
    <n v="67459.23"/>
    <n v="24"/>
    <n v="78290.788499999995"/>
    <m/>
    <m/>
    <m/>
    <m/>
    <m/>
    <m/>
    <m/>
    <m/>
    <m/>
    <m/>
    <m/>
    <m/>
    <m/>
    <m/>
    <m/>
    <m/>
    <m/>
    <m/>
    <m/>
    <m/>
    <n v="21"/>
    <n v="298496.07"/>
    <n v="24"/>
    <n v="347389.03377521696"/>
  </r>
  <r>
    <x v="12"/>
    <s v="Tennessee Technology Center at Jacksboro"/>
    <m/>
    <n v="220394"/>
    <x v="10"/>
    <m/>
    <m/>
    <m/>
    <m/>
    <m/>
    <m/>
    <m/>
    <m/>
    <m/>
    <m/>
    <m/>
    <m/>
    <m/>
    <m/>
    <m/>
    <m/>
    <m/>
    <m/>
    <m/>
    <m/>
    <m/>
    <m/>
    <m/>
    <m/>
    <m/>
    <m/>
    <m/>
    <m/>
    <m/>
    <m/>
    <m/>
    <m/>
    <m/>
    <m/>
    <m/>
    <m/>
    <n v="0"/>
    <n v="0"/>
    <n v="0"/>
    <n v="0"/>
    <n v="9"/>
    <n v="42375.1"/>
    <n v="9"/>
    <n v="44033.5"/>
    <n v="9"/>
    <n v="68647.661999999997"/>
    <n v="9"/>
    <n v="71749.511321243655"/>
    <m/>
    <m/>
    <m/>
    <m/>
    <n v="9"/>
    <n v="32416.951499999999"/>
    <n v="9"/>
    <n v="33685.627500000002"/>
    <m/>
    <m/>
    <m/>
    <m/>
    <m/>
    <m/>
    <m/>
    <m/>
    <m/>
    <m/>
    <m/>
    <m/>
    <m/>
    <m/>
    <m/>
    <m/>
    <m/>
    <m/>
    <m/>
    <m/>
    <n v="9"/>
    <n v="143439.71349999998"/>
    <n v="9"/>
    <n v="149468.63882124366"/>
  </r>
  <r>
    <x v="12"/>
    <s v="Tennessee Technology Center at Jackson"/>
    <m/>
    <n v="221616"/>
    <x v="10"/>
    <m/>
    <m/>
    <m/>
    <m/>
    <m/>
    <m/>
    <m/>
    <m/>
    <m/>
    <m/>
    <m/>
    <m/>
    <m/>
    <m/>
    <m/>
    <m/>
    <m/>
    <m/>
    <m/>
    <m/>
    <m/>
    <m/>
    <m/>
    <m/>
    <m/>
    <m/>
    <m/>
    <m/>
    <m/>
    <m/>
    <m/>
    <m/>
    <m/>
    <m/>
    <m/>
    <m/>
    <n v="0"/>
    <n v="0"/>
    <n v="0"/>
    <n v="0"/>
    <n v="25"/>
    <n v="118762.6"/>
    <n v="25"/>
    <n v="116776.70000000001"/>
    <n v="25"/>
    <n v="192395.41200000001"/>
    <n v="25"/>
    <n v="190279.47264486071"/>
    <m/>
    <m/>
    <m/>
    <m/>
    <n v="25"/>
    <n v="90853.388999999996"/>
    <n v="25"/>
    <n v="89334.175499999998"/>
    <m/>
    <m/>
    <m/>
    <m/>
    <m/>
    <m/>
    <m/>
    <m/>
    <m/>
    <m/>
    <m/>
    <m/>
    <m/>
    <m/>
    <m/>
    <m/>
    <m/>
    <m/>
    <m/>
    <m/>
    <n v="25"/>
    <n v="402011.40099999995"/>
    <n v="25"/>
    <n v="396390.34814486071"/>
  </r>
  <r>
    <x v="12"/>
    <s v="Tennessee Technology Center at Knoxville"/>
    <m/>
    <n v="221625"/>
    <x v="10"/>
    <m/>
    <m/>
    <m/>
    <m/>
    <m/>
    <m/>
    <m/>
    <m/>
    <m/>
    <m/>
    <m/>
    <m/>
    <m/>
    <m/>
    <m/>
    <m/>
    <m/>
    <m/>
    <m/>
    <m/>
    <m/>
    <m/>
    <m/>
    <m/>
    <m/>
    <m/>
    <m/>
    <m/>
    <m/>
    <m/>
    <m/>
    <m/>
    <m/>
    <m/>
    <m/>
    <m/>
    <n v="0"/>
    <n v="0"/>
    <n v="0"/>
    <n v="0"/>
    <n v="31"/>
    <n v="140682.1"/>
    <n v="31"/>
    <n v="140965.70000000001"/>
    <n v="31"/>
    <n v="227905.00200000001"/>
    <n v="31"/>
    <n v="229693.75789017536"/>
    <m/>
    <m/>
    <m/>
    <m/>
    <n v="31"/>
    <n v="107621.80649999999"/>
    <n v="31"/>
    <n v="107838.7605"/>
    <m/>
    <m/>
    <m/>
    <m/>
    <m/>
    <m/>
    <m/>
    <m/>
    <m/>
    <m/>
    <m/>
    <m/>
    <m/>
    <m/>
    <m/>
    <m/>
    <m/>
    <m/>
    <m/>
    <m/>
    <n v="31"/>
    <n v="476208.90850000002"/>
    <n v="31"/>
    <n v="478498.21839017537"/>
  </r>
  <r>
    <x v="12"/>
    <s v="Tennessee Technology Center at Livingston"/>
    <m/>
    <n v="220640"/>
    <x v="10"/>
    <m/>
    <m/>
    <m/>
    <m/>
    <m/>
    <m/>
    <m/>
    <m/>
    <m/>
    <m/>
    <m/>
    <m/>
    <m/>
    <m/>
    <m/>
    <m/>
    <m/>
    <m/>
    <m/>
    <m/>
    <m/>
    <m/>
    <m/>
    <m/>
    <m/>
    <m/>
    <m/>
    <m/>
    <m/>
    <m/>
    <m/>
    <m/>
    <m/>
    <m/>
    <m/>
    <m/>
    <n v="0"/>
    <n v="0"/>
    <n v="0"/>
    <n v="0"/>
    <n v="18"/>
    <n v="78935.100000000006"/>
    <n v="19"/>
    <n v="83588.900000000009"/>
    <n v="18"/>
    <n v="127874.86200000001"/>
    <n v="19"/>
    <n v="136202.2716086685"/>
    <m/>
    <m/>
    <m/>
    <m/>
    <n v="18"/>
    <n v="60385.351499999997"/>
    <n v="19"/>
    <n v="63945.508499999996"/>
    <m/>
    <m/>
    <m/>
    <m/>
    <m/>
    <m/>
    <m/>
    <m/>
    <m/>
    <m/>
    <m/>
    <m/>
    <m/>
    <m/>
    <m/>
    <m/>
    <m/>
    <m/>
    <m/>
    <m/>
    <n v="18"/>
    <n v="267195.31350000005"/>
    <n v="19"/>
    <n v="283736.68010866852"/>
  </r>
  <r>
    <x v="12"/>
    <s v="Tennessee Technology Center at McKenzie"/>
    <m/>
    <n v="220756"/>
    <x v="10"/>
    <m/>
    <m/>
    <m/>
    <m/>
    <m/>
    <m/>
    <m/>
    <m/>
    <m/>
    <m/>
    <m/>
    <m/>
    <m/>
    <m/>
    <m/>
    <m/>
    <m/>
    <m/>
    <m/>
    <m/>
    <m/>
    <m/>
    <m/>
    <m/>
    <m/>
    <m/>
    <m/>
    <m/>
    <m/>
    <m/>
    <m/>
    <m/>
    <m/>
    <m/>
    <m/>
    <m/>
    <n v="0"/>
    <n v="0"/>
    <n v="0"/>
    <n v="0"/>
    <n v="10"/>
    <n v="43037"/>
    <n v="9"/>
    <n v="39337.200000000004"/>
    <n v="10"/>
    <n v="69719.94"/>
    <n v="9"/>
    <n v="64097.218634585624"/>
    <m/>
    <m/>
    <m/>
    <m/>
    <n v="10"/>
    <n v="32923.305"/>
    <n v="9"/>
    <n v="30092.957999999999"/>
    <m/>
    <m/>
    <m/>
    <m/>
    <m/>
    <m/>
    <m/>
    <m/>
    <m/>
    <m/>
    <m/>
    <m/>
    <m/>
    <m/>
    <m/>
    <m/>
    <m/>
    <m/>
    <m/>
    <m/>
    <n v="10"/>
    <n v="145680.245"/>
    <n v="9"/>
    <n v="133527.37663458564"/>
  </r>
  <r>
    <x v="12"/>
    <s v="Tennessee Technology Center at McMinnville"/>
    <m/>
    <n v="221607"/>
    <x v="10"/>
    <m/>
    <m/>
    <m/>
    <m/>
    <m/>
    <m/>
    <m/>
    <m/>
    <m/>
    <m/>
    <m/>
    <m/>
    <m/>
    <m/>
    <m/>
    <m/>
    <m/>
    <m/>
    <m/>
    <m/>
    <m/>
    <m/>
    <m/>
    <m/>
    <m/>
    <m/>
    <m/>
    <m/>
    <m/>
    <m/>
    <m/>
    <m/>
    <m/>
    <m/>
    <m/>
    <m/>
    <n v="0"/>
    <n v="0"/>
    <n v="0"/>
    <n v="0"/>
    <n v="12"/>
    <n v="55450.8"/>
    <n v="12"/>
    <n v="54276.100000000006"/>
    <n v="12"/>
    <n v="89830.296000000002"/>
    <n v="12"/>
    <n v="88439.112299112108"/>
    <m/>
    <m/>
    <m/>
    <m/>
    <n v="12"/>
    <n v="42419.862000000001"/>
    <n v="12"/>
    <n v="41521.216500000002"/>
    <m/>
    <m/>
    <m/>
    <m/>
    <m/>
    <m/>
    <m/>
    <m/>
    <m/>
    <m/>
    <m/>
    <m/>
    <m/>
    <m/>
    <m/>
    <m/>
    <m/>
    <m/>
    <m/>
    <m/>
    <n v="12"/>
    <n v="187700.95799999998"/>
    <n v="12"/>
    <n v="184236.42879911212"/>
  </r>
  <r>
    <x v="12"/>
    <s v="Tennessee Technology Center at Memphis"/>
    <m/>
    <n v="220853"/>
    <x v="10"/>
    <m/>
    <m/>
    <m/>
    <m/>
    <m/>
    <m/>
    <m/>
    <m/>
    <m/>
    <m/>
    <m/>
    <m/>
    <m/>
    <m/>
    <m/>
    <m/>
    <m/>
    <m/>
    <m/>
    <m/>
    <m/>
    <m/>
    <m/>
    <m/>
    <m/>
    <m/>
    <m/>
    <m/>
    <m/>
    <m/>
    <m/>
    <m/>
    <m/>
    <m/>
    <m/>
    <m/>
    <n v="0"/>
    <n v="0"/>
    <n v="0"/>
    <n v="0"/>
    <n v="38"/>
    <n v="174612"/>
    <n v="36"/>
    <n v="159737.60000000001"/>
    <n v="38"/>
    <n v="282871.44"/>
    <n v="36"/>
    <n v="260281.25721617157"/>
    <m/>
    <m/>
    <m/>
    <m/>
    <n v="38"/>
    <n v="133578.18"/>
    <n v="36"/>
    <n v="122199.264"/>
    <m/>
    <m/>
    <m/>
    <m/>
    <m/>
    <m/>
    <m/>
    <m/>
    <m/>
    <m/>
    <m/>
    <m/>
    <m/>
    <m/>
    <m/>
    <m/>
    <m/>
    <m/>
    <m/>
    <m/>
    <n v="38"/>
    <n v="591061.62"/>
    <n v="36"/>
    <n v="542218.12121617154"/>
  </r>
  <r>
    <x v="12"/>
    <s v="Tennessee Technology Center at Morristown"/>
    <m/>
    <n v="221050"/>
    <x v="10"/>
    <m/>
    <m/>
    <m/>
    <m/>
    <m/>
    <m/>
    <m/>
    <m/>
    <m/>
    <m/>
    <m/>
    <m/>
    <m/>
    <m/>
    <m/>
    <m/>
    <m/>
    <m/>
    <m/>
    <m/>
    <m/>
    <m/>
    <m/>
    <m/>
    <m/>
    <m/>
    <m/>
    <m/>
    <m/>
    <m/>
    <m/>
    <m/>
    <m/>
    <m/>
    <m/>
    <m/>
    <n v="0"/>
    <n v="0"/>
    <n v="0"/>
    <n v="0"/>
    <n v="36"/>
    <n v="175931.5"/>
    <n v="36"/>
    <n v="173293.40000000002"/>
    <n v="36"/>
    <n v="285009.03000000003"/>
    <n v="36"/>
    <n v="282369.48607757286"/>
    <m/>
    <m/>
    <m/>
    <m/>
    <n v="36"/>
    <n v="134587.5975"/>
    <n v="36"/>
    <n v="132569.451"/>
    <m/>
    <m/>
    <m/>
    <m/>
    <m/>
    <m/>
    <m/>
    <m/>
    <m/>
    <m/>
    <m/>
    <m/>
    <m/>
    <m/>
    <m/>
    <m/>
    <m/>
    <m/>
    <m/>
    <m/>
    <n v="36"/>
    <n v="595528.12750000006"/>
    <n v="36"/>
    <n v="588232.33707757294"/>
  </r>
  <r>
    <x v="12"/>
    <s v="Tennessee Technology Center at Murfreesboro"/>
    <m/>
    <n v="221102"/>
    <x v="10"/>
    <m/>
    <m/>
    <m/>
    <m/>
    <m/>
    <m/>
    <m/>
    <m/>
    <m/>
    <m/>
    <m/>
    <m/>
    <m/>
    <m/>
    <m/>
    <m/>
    <m/>
    <m/>
    <m/>
    <m/>
    <m/>
    <m/>
    <m/>
    <m/>
    <m/>
    <m/>
    <m/>
    <m/>
    <m/>
    <m/>
    <m/>
    <m/>
    <m/>
    <m/>
    <m/>
    <m/>
    <n v="0"/>
    <n v="0"/>
    <n v="0"/>
    <n v="0"/>
    <n v="19"/>
    <n v="89739"/>
    <n v="21"/>
    <n v="107055.8"/>
    <n v="19"/>
    <n v="145377.18"/>
    <n v="21"/>
    <n v="174439.94536216283"/>
    <m/>
    <m/>
    <m/>
    <m/>
    <n v="19"/>
    <n v="68650.334999999992"/>
    <n v="21"/>
    <n v="81897.687000000005"/>
    <m/>
    <m/>
    <m/>
    <m/>
    <m/>
    <m/>
    <m/>
    <m/>
    <m/>
    <m/>
    <m/>
    <m/>
    <m/>
    <m/>
    <m/>
    <m/>
    <m/>
    <m/>
    <m/>
    <m/>
    <n v="19"/>
    <n v="303766.51500000001"/>
    <n v="21"/>
    <n v="363393.43236216286"/>
  </r>
  <r>
    <x v="12"/>
    <s v="Tennessee Technology Center at Nashville"/>
    <m/>
    <n v="248925"/>
    <x v="10"/>
    <m/>
    <m/>
    <m/>
    <m/>
    <m/>
    <m/>
    <m/>
    <m/>
    <m/>
    <m/>
    <m/>
    <m/>
    <m/>
    <m/>
    <m/>
    <m/>
    <m/>
    <m/>
    <m/>
    <m/>
    <m/>
    <m/>
    <m/>
    <m/>
    <m/>
    <m/>
    <m/>
    <m/>
    <m/>
    <m/>
    <m/>
    <m/>
    <m/>
    <m/>
    <m/>
    <m/>
    <n v="0"/>
    <n v="0"/>
    <n v="0"/>
    <n v="0"/>
    <n v="34"/>
    <n v="149280.5"/>
    <n v="34"/>
    <n v="149591.9"/>
    <n v="34"/>
    <n v="241834.41"/>
    <n v="34"/>
    <n v="243749.54801722209"/>
    <m/>
    <m/>
    <m/>
    <m/>
    <n v="34"/>
    <n v="114199.5825"/>
    <n v="34"/>
    <n v="114437.80349999999"/>
    <m/>
    <m/>
    <m/>
    <m/>
    <m/>
    <m/>
    <m/>
    <m/>
    <m/>
    <m/>
    <m/>
    <m/>
    <m/>
    <m/>
    <m/>
    <m/>
    <m/>
    <m/>
    <m/>
    <m/>
    <n v="34"/>
    <n v="505314.49249999999"/>
    <n v="34"/>
    <n v="507779.25151722203"/>
  </r>
  <r>
    <x v="12"/>
    <s v="Tennessee Technology Center at Newbern"/>
    <m/>
    <n v="221236"/>
    <x v="10"/>
    <m/>
    <m/>
    <m/>
    <m/>
    <m/>
    <m/>
    <m/>
    <m/>
    <m/>
    <m/>
    <m/>
    <m/>
    <m/>
    <m/>
    <m/>
    <m/>
    <m/>
    <m/>
    <m/>
    <m/>
    <m/>
    <m/>
    <m/>
    <m/>
    <m/>
    <m/>
    <m/>
    <m/>
    <m/>
    <m/>
    <m/>
    <m/>
    <m/>
    <m/>
    <m/>
    <m/>
    <n v="0"/>
    <n v="0"/>
    <n v="0"/>
    <n v="0"/>
    <n v="11"/>
    <n v="46868.4"/>
    <n v="11"/>
    <n v="46541.8"/>
    <n v="11"/>
    <n v="75926.80799999999"/>
    <n v="11"/>
    <n v="75836.610898771571"/>
    <m/>
    <m/>
    <m/>
    <m/>
    <n v="11"/>
    <n v="35854.325999999994"/>
    <n v="11"/>
    <n v="35604.476999999999"/>
    <m/>
    <m/>
    <m/>
    <m/>
    <m/>
    <m/>
    <m/>
    <m/>
    <m/>
    <m/>
    <m/>
    <m/>
    <m/>
    <m/>
    <m/>
    <m/>
    <m/>
    <m/>
    <m/>
    <m/>
    <n v="11"/>
    <n v="158649.53399999999"/>
    <n v="11"/>
    <n v="157982.88789877156"/>
  </r>
  <r>
    <x v="12"/>
    <s v="Tennessee Technology Center at Oneida"/>
    <m/>
    <n v="221582"/>
    <x v="10"/>
    <m/>
    <m/>
    <m/>
    <m/>
    <m/>
    <m/>
    <m/>
    <m/>
    <m/>
    <m/>
    <m/>
    <m/>
    <m/>
    <m/>
    <m/>
    <m/>
    <m/>
    <m/>
    <m/>
    <m/>
    <m/>
    <m/>
    <m/>
    <m/>
    <m/>
    <m/>
    <m/>
    <m/>
    <m/>
    <m/>
    <m/>
    <m/>
    <m/>
    <m/>
    <m/>
    <m/>
    <n v="0"/>
    <n v="0"/>
    <n v="0"/>
    <n v="0"/>
    <n v="12"/>
    <n v="51221.4"/>
    <n v="14"/>
    <n v="58158.8"/>
    <n v="12"/>
    <n v="82978.668000000005"/>
    <n v="14"/>
    <n v="94765.700637695059"/>
    <m/>
    <m/>
    <m/>
    <m/>
    <n v="12"/>
    <n v="39184.370999999999"/>
    <n v="14"/>
    <n v="44491.481999999996"/>
    <m/>
    <m/>
    <m/>
    <m/>
    <m/>
    <m/>
    <m/>
    <m/>
    <m/>
    <m/>
    <m/>
    <m/>
    <m/>
    <m/>
    <m/>
    <m/>
    <m/>
    <m/>
    <m/>
    <m/>
    <n v="12"/>
    <n v="173384.43900000001"/>
    <n v="14"/>
    <n v="197415.98263769504"/>
  </r>
  <r>
    <x v="12"/>
    <s v="Tennessee Technology Center at Paris"/>
    <m/>
    <n v="221281"/>
    <x v="10"/>
    <m/>
    <m/>
    <m/>
    <m/>
    <m/>
    <m/>
    <m/>
    <m/>
    <m/>
    <m/>
    <m/>
    <m/>
    <m/>
    <m/>
    <m/>
    <m/>
    <m/>
    <m/>
    <m/>
    <m/>
    <m/>
    <m/>
    <m/>
    <m/>
    <m/>
    <m/>
    <m/>
    <m/>
    <m/>
    <m/>
    <m/>
    <m/>
    <m/>
    <m/>
    <m/>
    <m/>
    <n v="0"/>
    <n v="0"/>
    <n v="0"/>
    <n v="0"/>
    <n v="19"/>
    <n v="83418.600000000006"/>
    <n v="19"/>
    <n v="83341.5"/>
    <n v="19"/>
    <n v="135138.13200000001"/>
    <n v="19"/>
    <n v="135799.1505962376"/>
    <m/>
    <m/>
    <m/>
    <m/>
    <n v="19"/>
    <n v="63815.228999999999"/>
    <n v="19"/>
    <n v="63756.247499999998"/>
    <m/>
    <m/>
    <m/>
    <m/>
    <m/>
    <m/>
    <m/>
    <m/>
    <m/>
    <m/>
    <m/>
    <m/>
    <m/>
    <m/>
    <m/>
    <m/>
    <m/>
    <m/>
    <m/>
    <m/>
    <n v="19"/>
    <n v="282371.96100000001"/>
    <n v="19"/>
    <n v="282896.89809623756"/>
  </r>
  <r>
    <x v="12"/>
    <s v="Tennessee Technology Center at Pulaski"/>
    <m/>
    <n v="221333"/>
    <x v="10"/>
    <m/>
    <m/>
    <m/>
    <m/>
    <m/>
    <m/>
    <m/>
    <m/>
    <m/>
    <m/>
    <m/>
    <m/>
    <m/>
    <m/>
    <m/>
    <m/>
    <m/>
    <m/>
    <m/>
    <m/>
    <m/>
    <m/>
    <m/>
    <m/>
    <m/>
    <m/>
    <m/>
    <m/>
    <m/>
    <m/>
    <m/>
    <m/>
    <m/>
    <m/>
    <m/>
    <m/>
    <n v="0"/>
    <n v="0"/>
    <n v="0"/>
    <n v="0"/>
    <n v="15"/>
    <n v="68690.8"/>
    <n v="15"/>
    <n v="69581.3"/>
    <n v="15"/>
    <n v="111279.09600000001"/>
    <n v="15"/>
    <n v="113377.86621769451"/>
    <m/>
    <m/>
    <m/>
    <m/>
    <n v="15"/>
    <n v="52548.462"/>
    <n v="15"/>
    <n v="53229.694499999998"/>
    <m/>
    <m/>
    <m/>
    <m/>
    <m/>
    <m/>
    <m/>
    <m/>
    <m/>
    <m/>
    <m/>
    <m/>
    <m/>
    <m/>
    <m/>
    <m/>
    <m/>
    <m/>
    <m/>
    <m/>
    <n v="15"/>
    <n v="232518.35800000001"/>
    <n v="15"/>
    <n v="236188.86071769451"/>
  </r>
  <r>
    <x v="12"/>
    <s v="Tennessee Technology Center at Ripley"/>
    <m/>
    <n v="221388"/>
    <x v="10"/>
    <m/>
    <m/>
    <m/>
    <m/>
    <m/>
    <m/>
    <m/>
    <m/>
    <m/>
    <m/>
    <m/>
    <m/>
    <m/>
    <m/>
    <m/>
    <m/>
    <m/>
    <m/>
    <m/>
    <m/>
    <m/>
    <m/>
    <m/>
    <m/>
    <m/>
    <m/>
    <m/>
    <m/>
    <m/>
    <m/>
    <m/>
    <m/>
    <m/>
    <m/>
    <m/>
    <m/>
    <n v="0"/>
    <n v="0"/>
    <n v="0"/>
    <n v="0"/>
    <n v="10"/>
    <n v="44530.7"/>
    <n v="11"/>
    <n v="46685.700000000004"/>
    <n v="10"/>
    <n v="72139.733999999997"/>
    <n v="11"/>
    <n v="76071.085893471682"/>
    <m/>
    <m/>
    <m/>
    <m/>
    <n v="10"/>
    <n v="34065.985500000003"/>
    <n v="11"/>
    <n v="35714.5605"/>
    <m/>
    <m/>
    <m/>
    <m/>
    <m/>
    <m/>
    <m/>
    <m/>
    <m/>
    <m/>
    <m/>
    <m/>
    <m/>
    <m/>
    <m/>
    <m/>
    <m/>
    <m/>
    <m/>
    <m/>
    <n v="10"/>
    <n v="150736.41950000002"/>
    <n v="11"/>
    <n v="158471.3463934717"/>
  </r>
  <r>
    <x v="12"/>
    <s v="Tennessee Technology Center at Shelbyville"/>
    <m/>
    <n v="221494"/>
    <x v="10"/>
    <m/>
    <m/>
    <m/>
    <m/>
    <m/>
    <m/>
    <m/>
    <m/>
    <m/>
    <m/>
    <m/>
    <m/>
    <m/>
    <m/>
    <m/>
    <m/>
    <m/>
    <m/>
    <m/>
    <m/>
    <m/>
    <m/>
    <m/>
    <m/>
    <m/>
    <m/>
    <m/>
    <m/>
    <m/>
    <m/>
    <m/>
    <m/>
    <m/>
    <m/>
    <m/>
    <m/>
    <n v="0"/>
    <n v="0"/>
    <n v="0"/>
    <n v="0"/>
    <n v="21"/>
    <n v="100078.2"/>
    <n v="22"/>
    <n v="103309.8"/>
    <n v="21"/>
    <n v="162126.68400000004"/>
    <n v="22"/>
    <n v="168336.10012139435"/>
    <m/>
    <m/>
    <m/>
    <m/>
    <n v="21"/>
    <n v="76559.823000000004"/>
    <n v="22"/>
    <n v="79031.997000000003"/>
    <m/>
    <m/>
    <m/>
    <m/>
    <m/>
    <m/>
    <m/>
    <m/>
    <m/>
    <m/>
    <m/>
    <m/>
    <m/>
    <m/>
    <m/>
    <m/>
    <m/>
    <m/>
    <m/>
    <m/>
    <n v="21"/>
    <n v="338764.70700000005"/>
    <n v="22"/>
    <n v="350677.89712139434"/>
  </r>
  <r>
    <x v="12"/>
    <s v="Tennessee Technology Center at Whiteville"/>
    <m/>
    <n v="221634"/>
    <x v="10"/>
    <m/>
    <m/>
    <m/>
    <m/>
    <m/>
    <m/>
    <m/>
    <m/>
    <m/>
    <m/>
    <m/>
    <m/>
    <m/>
    <m/>
    <m/>
    <m/>
    <m/>
    <m/>
    <m/>
    <m/>
    <m/>
    <m/>
    <m/>
    <m/>
    <m/>
    <m/>
    <m/>
    <m/>
    <m/>
    <m/>
    <m/>
    <m/>
    <m/>
    <m/>
    <m/>
    <m/>
    <n v="0"/>
    <n v="0"/>
    <n v="0"/>
    <n v="0"/>
    <n v="10"/>
    <n v="48613.2"/>
    <n v="9"/>
    <n v="43813"/>
    <n v="10"/>
    <n v="78753.384000000005"/>
    <n v="9"/>
    <n v="71390.221979121547"/>
    <m/>
    <m/>
    <m/>
    <m/>
    <n v="10"/>
    <n v="37189.097999999998"/>
    <n v="9"/>
    <n v="33516.945"/>
    <m/>
    <m/>
    <m/>
    <m/>
    <m/>
    <m/>
    <m/>
    <m/>
    <m/>
    <m/>
    <m/>
    <m/>
    <m/>
    <m/>
    <m/>
    <m/>
    <m/>
    <m/>
    <m/>
    <m/>
    <n v="10"/>
    <n v="164555.682"/>
    <n v="9"/>
    <n v="148720.16697912154"/>
  </r>
  <r>
    <x v="13"/>
    <s v="Texas A&amp;M University "/>
    <m/>
    <n v="228723"/>
    <x v="0"/>
    <n v="2316"/>
    <n v="15012276"/>
    <n v="2595"/>
    <n v="16196469"/>
    <n v="2316"/>
    <n v="13562039"/>
    <n v="2613"/>
    <n v="14947784"/>
    <m/>
    <m/>
    <m/>
    <m/>
    <n v="2316"/>
    <n v="13748241"/>
    <n v="2613"/>
    <n v="15696111"/>
    <n v="2316"/>
    <n v="186498"/>
    <n v="2613"/>
    <n v="203409"/>
    <n v="0"/>
    <n v="0"/>
    <n v="0"/>
    <n v="0"/>
    <n v="2316"/>
    <n v="309308"/>
    <n v="2613"/>
    <n v="225693"/>
    <n v="0"/>
    <n v="0"/>
    <n v="0"/>
    <n v="0"/>
    <m/>
    <m/>
    <m/>
    <m/>
    <n v="2316"/>
    <n v="42818362"/>
    <n v="2613"/>
    <n v="47269466"/>
    <m/>
    <m/>
    <n v="0"/>
    <n v="0"/>
    <m/>
    <m/>
    <m/>
    <m/>
    <m/>
    <m/>
    <m/>
    <m/>
    <m/>
    <m/>
    <m/>
    <m/>
    <m/>
    <m/>
    <m/>
    <m/>
    <m/>
    <m/>
    <n v="0"/>
    <n v="0"/>
    <m/>
    <m/>
    <m/>
    <m/>
    <m/>
    <m/>
    <n v="0"/>
    <n v="0"/>
    <m/>
    <m/>
    <m/>
    <m/>
    <n v="0"/>
    <n v="0"/>
    <n v="0"/>
    <n v="0"/>
  </r>
  <r>
    <x v="13"/>
    <s v="Texas Tech University "/>
    <m/>
    <n v="229115"/>
    <x v="0"/>
    <n v="1068"/>
    <n v="5311668"/>
    <n v="1083"/>
    <n v="5574509"/>
    <n v="988"/>
    <n v="6167008"/>
    <n v="1032"/>
    <n v="6973726"/>
    <m/>
    <m/>
    <m/>
    <m/>
    <n v="1068"/>
    <n v="5848474"/>
    <n v="1087"/>
    <n v="6057652"/>
    <m/>
    <m/>
    <m/>
    <m/>
    <n v="0"/>
    <n v="0"/>
    <n v="0"/>
    <n v="0"/>
    <n v="1068"/>
    <n v="382695"/>
    <n v="1087"/>
    <n v="399465"/>
    <n v="0"/>
    <n v="0"/>
    <n v="0"/>
    <n v="0"/>
    <m/>
    <m/>
    <m/>
    <m/>
    <n v="1068"/>
    <n v="17709845"/>
    <n v="1087"/>
    <n v="19005352"/>
    <n v="80"/>
    <n v="646943"/>
    <n v="89"/>
    <n v="742032"/>
    <n v="78"/>
    <n v="529324"/>
    <n v="85"/>
    <n v="623214"/>
    <m/>
    <m/>
    <m/>
    <m/>
    <n v="80"/>
    <n v="660103"/>
    <n v="89"/>
    <n v="734199"/>
    <m/>
    <m/>
    <m/>
    <m/>
    <n v="0"/>
    <n v="0"/>
    <n v="0"/>
    <n v="0"/>
    <n v="80"/>
    <n v="44921"/>
    <n v="89"/>
    <n v="51927"/>
    <n v="0"/>
    <n v="0"/>
    <n v="0"/>
    <n v="0"/>
    <m/>
    <m/>
    <m/>
    <m/>
    <n v="80"/>
    <n v="1881291"/>
    <n v="89"/>
    <n v="2151372"/>
  </r>
  <r>
    <x v="13"/>
    <s v="University of Houston"/>
    <m/>
    <n v="225511"/>
    <x v="0"/>
    <n v="1055"/>
    <n v="6761634"/>
    <n v="1072"/>
    <n v="7104645"/>
    <n v="977"/>
    <n v="6105379"/>
    <n v="1006"/>
    <n v="6294304"/>
    <m/>
    <m/>
    <m/>
    <m/>
    <n v="1055"/>
    <n v="6523192"/>
    <n v="1081"/>
    <n v="6902386"/>
    <n v="1055"/>
    <n v="512279"/>
    <n v="1081"/>
    <n v="551033"/>
    <n v="977"/>
    <n v="26027"/>
    <n v="1006"/>
    <n v="26800"/>
    <n v="1055"/>
    <n v="419137"/>
    <n v="1081"/>
    <n v="450845"/>
    <n v="0"/>
    <n v="0"/>
    <n v="0"/>
    <n v="0"/>
    <m/>
    <m/>
    <m/>
    <m/>
    <n v="1055"/>
    <n v="20347648"/>
    <n v="1081"/>
    <n v="21330013"/>
    <n v="98"/>
    <n v="612429"/>
    <n v="108"/>
    <n v="682622"/>
    <n v="93"/>
    <n v="576247"/>
    <n v="104"/>
    <n v="643252"/>
    <m/>
    <m/>
    <m/>
    <m/>
    <n v="98"/>
    <n v="631875"/>
    <n v="108"/>
    <n v="707793"/>
    <n v="98"/>
    <n v="48896"/>
    <n v="108"/>
    <n v="55214"/>
    <n v="93"/>
    <n v="2478"/>
    <n v="104"/>
    <n v="2771"/>
    <n v="98"/>
    <n v="40006"/>
    <n v="108"/>
    <n v="45175"/>
    <n v="0"/>
    <n v="0"/>
    <n v="0"/>
    <n v="0"/>
    <m/>
    <m/>
    <m/>
    <m/>
    <n v="98"/>
    <n v="1911931"/>
    <n v="108"/>
    <n v="2136827"/>
  </r>
  <r>
    <x v="13"/>
    <s v="University of North Texas"/>
    <m/>
    <n v="227216"/>
    <x v="0"/>
    <n v="892"/>
    <n v="4252918"/>
    <n v="934"/>
    <n v="4410457"/>
    <n v="804"/>
    <n v="3770302"/>
    <n v="880"/>
    <n v="4422648"/>
    <m/>
    <m/>
    <m/>
    <m/>
    <n v="897"/>
    <n v="3608184"/>
    <n v="945"/>
    <n v="3805738"/>
    <m/>
    <m/>
    <m/>
    <m/>
    <n v="801"/>
    <n v="15994"/>
    <n v="877"/>
    <n v="17522"/>
    <m/>
    <m/>
    <m/>
    <m/>
    <n v="0"/>
    <n v="0"/>
    <n v="0"/>
    <n v="0"/>
    <m/>
    <m/>
    <m/>
    <m/>
    <n v="897"/>
    <n v="11647398"/>
    <n v="945"/>
    <n v="12656365"/>
    <n v="51"/>
    <n v="386948"/>
    <n v="52"/>
    <n v="395142"/>
    <n v="51"/>
    <n v="245139"/>
    <n v="49"/>
    <n v="244180"/>
    <m/>
    <m/>
    <m/>
    <m/>
    <n v="51"/>
    <n v="224743"/>
    <n v="52"/>
    <n v="216450"/>
    <m/>
    <m/>
    <m/>
    <m/>
    <n v="50"/>
    <n v="999"/>
    <n v="48"/>
    <n v="959"/>
    <m/>
    <m/>
    <m/>
    <m/>
    <n v="0"/>
    <n v="0"/>
    <n v="0"/>
    <n v="0"/>
    <m/>
    <m/>
    <m/>
    <m/>
    <n v="51"/>
    <n v="857829"/>
    <n v="52"/>
    <n v="856731"/>
  </r>
  <r>
    <x v="13"/>
    <s v="University of Texas at Arlington"/>
    <m/>
    <n v="228769"/>
    <x v="0"/>
    <n v="821"/>
    <n v="4942121"/>
    <n v="864"/>
    <n v="5204300"/>
    <n v="821"/>
    <n v="6951407"/>
    <n v="864"/>
    <n v="8190720"/>
    <m/>
    <m/>
    <m/>
    <m/>
    <n v="821"/>
    <n v="4457450"/>
    <n v="864"/>
    <n v="4705814"/>
    <n v="821"/>
    <n v="23891"/>
    <n v="864"/>
    <n v="40046"/>
    <n v="0"/>
    <n v="0"/>
    <n v="0"/>
    <n v="0"/>
    <n v="821"/>
    <n v="86186"/>
    <n v="864"/>
    <n v="97737"/>
    <n v="0"/>
    <n v="0"/>
    <n v="0"/>
    <n v="0"/>
    <m/>
    <m/>
    <m/>
    <m/>
    <n v="821"/>
    <n v="16461055"/>
    <n v="864"/>
    <n v="18238617"/>
    <m/>
    <m/>
    <n v="0"/>
    <n v="0"/>
    <m/>
    <m/>
    <m/>
    <m/>
    <m/>
    <m/>
    <m/>
    <m/>
    <m/>
    <m/>
    <m/>
    <m/>
    <m/>
    <m/>
    <m/>
    <m/>
    <m/>
    <m/>
    <n v="0"/>
    <n v="0"/>
    <m/>
    <m/>
    <m/>
    <m/>
    <m/>
    <m/>
    <n v="0"/>
    <n v="0"/>
    <m/>
    <m/>
    <m/>
    <m/>
    <n v="0"/>
    <n v="0"/>
    <n v="0"/>
    <n v="0"/>
  </r>
  <r>
    <x v="13"/>
    <s v="University of Texas at Austin"/>
    <m/>
    <n v="228778"/>
    <x v="0"/>
    <n v="2556"/>
    <n v="19617722"/>
    <n v="3009"/>
    <n v="22745346"/>
    <n v="2539"/>
    <n v="15564460"/>
    <n v="2455"/>
    <n v="16947870"/>
    <m/>
    <m/>
    <m/>
    <m/>
    <n v="2539"/>
    <n v="16821133"/>
    <n v="2455"/>
    <n v="16647150"/>
    <n v="2539"/>
    <n v="59639"/>
    <n v="2455"/>
    <n v="57362"/>
    <n v="0"/>
    <n v="0"/>
    <n v="0"/>
    <n v="0"/>
    <n v="2539"/>
    <n v="289767"/>
    <n v="2455"/>
    <n v="289373"/>
    <n v="0"/>
    <n v="0"/>
    <n v="0"/>
    <n v="0"/>
    <m/>
    <m/>
    <m/>
    <m/>
    <n v="2556"/>
    <n v="52352721"/>
    <n v="3009"/>
    <n v="56687101"/>
    <m/>
    <m/>
    <n v="0"/>
    <n v="0"/>
    <m/>
    <m/>
    <m/>
    <m/>
    <m/>
    <m/>
    <m/>
    <m/>
    <m/>
    <m/>
    <m/>
    <m/>
    <m/>
    <m/>
    <m/>
    <m/>
    <m/>
    <m/>
    <n v="0"/>
    <n v="0"/>
    <m/>
    <m/>
    <m/>
    <m/>
    <m/>
    <m/>
    <n v="0"/>
    <n v="0"/>
    <m/>
    <m/>
    <m/>
    <m/>
    <n v="0"/>
    <n v="0"/>
    <n v="0"/>
    <n v="0"/>
  </r>
  <r>
    <x v="13"/>
    <s v="University of Texas at Dallas"/>
    <m/>
    <n v="228787"/>
    <x v="0"/>
    <n v="481"/>
    <n v="2503058"/>
    <n v="586"/>
    <n v="5269906"/>
    <n v="473"/>
    <n v="2608225"/>
    <n v="576"/>
    <n v="3441042"/>
    <m/>
    <m/>
    <m/>
    <m/>
    <n v="485"/>
    <n v="3271174"/>
    <n v="586"/>
    <n v="4013962"/>
    <n v="485"/>
    <n v="15262"/>
    <n v="586"/>
    <n v="30175"/>
    <n v="8"/>
    <n v="76"/>
    <n v="12"/>
    <n v="231"/>
    <n v="485"/>
    <n v="43113"/>
    <n v="587"/>
    <n v="58783"/>
    <n v="0"/>
    <n v="0"/>
    <n v="0"/>
    <n v="0"/>
    <m/>
    <m/>
    <m/>
    <m/>
    <n v="485"/>
    <n v="8440908"/>
    <n v="587"/>
    <n v="12814099"/>
    <n v="50"/>
    <n v="247362"/>
    <n v="2"/>
    <n v="20746"/>
    <n v="49"/>
    <n v="242911"/>
    <n v="2"/>
    <n v="5739"/>
    <m/>
    <m/>
    <m/>
    <m/>
    <n v="51"/>
    <n v="348615"/>
    <n v="2"/>
    <n v="16003"/>
    <n v="51"/>
    <n v="1670"/>
    <n v="2"/>
    <n v="99"/>
    <n v="0"/>
    <n v="0"/>
    <n v="0"/>
    <n v="0"/>
    <n v="51"/>
    <n v="4714"/>
    <n v="2"/>
    <n v="217"/>
    <n v="0"/>
    <n v="0"/>
    <n v="0"/>
    <n v="0"/>
    <m/>
    <m/>
    <m/>
    <m/>
    <n v="51"/>
    <n v="845272"/>
    <n v="2"/>
    <n v="42804"/>
  </r>
  <r>
    <x v="13"/>
    <s v="Texas Woman's University"/>
    <s v="Met the criteria for Four-Year 1 in 2010-11."/>
    <n v="229179"/>
    <x v="1"/>
    <n v="423"/>
    <n v="1920339"/>
    <n v="409"/>
    <n v="1879389"/>
    <n v="386"/>
    <n v="2367110"/>
    <n v="388"/>
    <n v="2540832"/>
    <m/>
    <m/>
    <m/>
    <m/>
    <n v="422"/>
    <n v="1341743"/>
    <n v="409"/>
    <n v="1338106"/>
    <m/>
    <m/>
    <m/>
    <m/>
    <n v="386"/>
    <n v="10283"/>
    <n v="388"/>
    <n v="11668"/>
    <m/>
    <m/>
    <m/>
    <m/>
    <n v="0"/>
    <n v="0"/>
    <n v="0"/>
    <n v="0"/>
    <m/>
    <m/>
    <m/>
    <m/>
    <n v="423"/>
    <n v="5639475"/>
    <n v="409"/>
    <n v="5769995"/>
    <m/>
    <m/>
    <n v="0"/>
    <n v="0"/>
    <m/>
    <m/>
    <m/>
    <m/>
    <m/>
    <m/>
    <m/>
    <m/>
    <m/>
    <m/>
    <m/>
    <m/>
    <m/>
    <m/>
    <m/>
    <m/>
    <m/>
    <m/>
    <n v="0"/>
    <n v="0"/>
    <m/>
    <m/>
    <m/>
    <m/>
    <m/>
    <m/>
    <n v="0"/>
    <n v="0"/>
    <m/>
    <m/>
    <m/>
    <m/>
    <n v="0"/>
    <n v="0"/>
    <n v="0"/>
    <n v="0"/>
  </r>
  <r>
    <x v="13"/>
    <s v="University of Texas at El Paso"/>
    <m/>
    <n v="228796"/>
    <x v="1"/>
    <n v="675"/>
    <n v="3590538"/>
    <n v="676"/>
    <n v="4045404"/>
    <n v="675"/>
    <n v="4554873"/>
    <n v="676"/>
    <n v="5109019"/>
    <m/>
    <m/>
    <m/>
    <m/>
    <n v="675"/>
    <n v="3231484"/>
    <n v="676"/>
    <n v="3640864"/>
    <n v="675"/>
    <n v="23024"/>
    <n v="676"/>
    <n v="36078"/>
    <n v="0"/>
    <n v="0"/>
    <n v="0"/>
    <n v="0"/>
    <n v="675"/>
    <n v="84061"/>
    <n v="676"/>
    <n v="87095"/>
    <n v="0"/>
    <n v="0"/>
    <n v="0"/>
    <n v="0"/>
    <m/>
    <m/>
    <m/>
    <m/>
    <n v="675"/>
    <n v="11483980"/>
    <n v="676"/>
    <n v="12918460"/>
    <m/>
    <m/>
    <n v="0"/>
    <n v="0"/>
    <m/>
    <m/>
    <m/>
    <m/>
    <m/>
    <m/>
    <m/>
    <m/>
    <m/>
    <m/>
    <m/>
    <m/>
    <m/>
    <m/>
    <m/>
    <m/>
    <m/>
    <m/>
    <n v="0"/>
    <n v="0"/>
    <m/>
    <m/>
    <m/>
    <m/>
    <m/>
    <m/>
    <n v="0"/>
    <n v="0"/>
    <m/>
    <m/>
    <m/>
    <m/>
    <n v="0"/>
    <n v="0"/>
    <n v="0"/>
    <n v="0"/>
  </r>
  <r>
    <x v="13"/>
    <s v="University of Texas at San Antonio"/>
    <m/>
    <n v="229027"/>
    <x v="1"/>
    <n v="607"/>
    <n v="3931101"/>
    <n v="840"/>
    <n v="4792158"/>
    <n v="584"/>
    <n v="3648662"/>
    <n v="765"/>
    <n v="5302978"/>
    <m/>
    <m/>
    <m/>
    <m/>
    <n v="665"/>
    <n v="3066549"/>
    <n v="848"/>
    <n v="3469534"/>
    <n v="665"/>
    <n v="23282"/>
    <n v="848"/>
    <n v="46403"/>
    <n v="665"/>
    <n v="12928"/>
    <n v="848"/>
    <n v="16485"/>
    <n v="665"/>
    <n v="80619"/>
    <n v="848"/>
    <n v="88965"/>
    <n v="0"/>
    <n v="0"/>
    <n v="0"/>
    <n v="0"/>
    <m/>
    <m/>
    <m/>
    <m/>
    <n v="665"/>
    <n v="10763141"/>
    <n v="848"/>
    <n v="13716523"/>
    <m/>
    <m/>
    <n v="0"/>
    <n v="0"/>
    <m/>
    <m/>
    <m/>
    <m/>
    <m/>
    <m/>
    <m/>
    <m/>
    <m/>
    <m/>
    <m/>
    <m/>
    <m/>
    <m/>
    <m/>
    <m/>
    <m/>
    <m/>
    <n v="0"/>
    <n v="0"/>
    <m/>
    <m/>
    <m/>
    <m/>
    <m/>
    <m/>
    <n v="0"/>
    <n v="0"/>
    <m/>
    <m/>
    <m/>
    <m/>
    <n v="0"/>
    <n v="0"/>
    <n v="0"/>
    <n v="0"/>
  </r>
  <r>
    <x v="13"/>
    <s v="Angelo State University"/>
    <m/>
    <n v="222831"/>
    <x v="2"/>
    <n v="230"/>
    <n v="731813"/>
    <n v="241"/>
    <n v="822905"/>
    <n v="228"/>
    <n v="1055487"/>
    <n v="219"/>
    <n v="1082289"/>
    <m/>
    <m/>
    <m/>
    <m/>
    <n v="230"/>
    <n v="665264"/>
    <n v="241"/>
    <n v="858982"/>
    <m/>
    <m/>
    <m/>
    <m/>
    <n v="0"/>
    <n v="0"/>
    <n v="0"/>
    <n v="0"/>
    <m/>
    <m/>
    <m/>
    <m/>
    <n v="0"/>
    <n v="0"/>
    <n v="0"/>
    <n v="0"/>
    <m/>
    <m/>
    <m/>
    <m/>
    <n v="230"/>
    <n v="2452564"/>
    <n v="241"/>
    <n v="2764176"/>
    <n v="17"/>
    <n v="95948"/>
    <n v="19"/>
    <n v="112302"/>
    <n v="16"/>
    <n v="103995"/>
    <n v="17"/>
    <n v="117451"/>
    <m/>
    <m/>
    <m/>
    <m/>
    <n v="17"/>
    <n v="93940"/>
    <n v="19"/>
    <n v="103154"/>
    <m/>
    <m/>
    <m/>
    <m/>
    <n v="0"/>
    <n v="0"/>
    <n v="0"/>
    <n v="0"/>
    <m/>
    <m/>
    <m/>
    <m/>
    <n v="0"/>
    <n v="0"/>
    <n v="0"/>
    <n v="0"/>
    <m/>
    <m/>
    <m/>
    <m/>
    <n v="17"/>
    <n v="293883"/>
    <n v="19"/>
    <n v="332907"/>
  </r>
  <r>
    <x v="13"/>
    <s v="Lamar University"/>
    <m/>
    <n v="226091"/>
    <x v="2"/>
    <n v="411"/>
    <n v="2397034"/>
    <n v="423"/>
    <n v="2324253"/>
    <n v="369"/>
    <n v="2246206"/>
    <n v="374"/>
    <n v="2292540"/>
    <m/>
    <m/>
    <m/>
    <m/>
    <n v="383"/>
    <n v="1771818"/>
    <n v="406"/>
    <n v="1831671"/>
    <m/>
    <m/>
    <m/>
    <m/>
    <n v="369"/>
    <n v="9830"/>
    <n v="374"/>
    <n v="10098"/>
    <m/>
    <m/>
    <m/>
    <m/>
    <n v="0"/>
    <n v="0"/>
    <n v="0"/>
    <n v="0"/>
    <m/>
    <m/>
    <m/>
    <m/>
    <n v="411"/>
    <n v="6424888"/>
    <n v="423"/>
    <n v="6458562"/>
    <n v="1"/>
    <n v="7596"/>
    <n v="1"/>
    <n v="7866"/>
    <n v="1"/>
    <n v="9036"/>
    <n v="1"/>
    <n v="9203"/>
    <m/>
    <m/>
    <m/>
    <m/>
    <n v="1"/>
    <n v="5076"/>
    <n v="1"/>
    <n v="6622"/>
    <m/>
    <m/>
    <m/>
    <m/>
    <n v="1"/>
    <n v="27"/>
    <n v="1"/>
    <n v="27"/>
    <m/>
    <m/>
    <m/>
    <m/>
    <n v="0"/>
    <n v="0"/>
    <n v="0"/>
    <n v="0"/>
    <m/>
    <m/>
    <m/>
    <m/>
    <n v="1"/>
    <n v="21735"/>
    <n v="1"/>
    <n v="23718"/>
  </r>
  <r>
    <x v="13"/>
    <s v="Midwestern State University"/>
    <m/>
    <n v="226833"/>
    <x v="2"/>
    <n v="221"/>
    <n v="872801"/>
    <n v="222"/>
    <n v="993035"/>
    <n v="216"/>
    <n v="1346162"/>
    <n v="218"/>
    <n v="1484442"/>
    <m/>
    <m/>
    <m/>
    <m/>
    <n v="222"/>
    <n v="1032492"/>
    <n v="223"/>
    <n v="1094388"/>
    <m/>
    <m/>
    <m/>
    <m/>
    <n v="216"/>
    <n v="5754"/>
    <n v="218"/>
    <n v="5886"/>
    <m/>
    <m/>
    <m/>
    <m/>
    <n v="0"/>
    <n v="0"/>
    <n v="0"/>
    <n v="0"/>
    <m/>
    <m/>
    <m/>
    <m/>
    <n v="222"/>
    <n v="3257209"/>
    <n v="223"/>
    <n v="3577751"/>
    <m/>
    <m/>
    <n v="0"/>
    <n v="0"/>
    <m/>
    <m/>
    <m/>
    <m/>
    <m/>
    <m/>
    <m/>
    <m/>
    <m/>
    <m/>
    <m/>
    <m/>
    <m/>
    <m/>
    <m/>
    <m/>
    <m/>
    <m/>
    <n v="0"/>
    <n v="0"/>
    <m/>
    <m/>
    <m/>
    <m/>
    <m/>
    <m/>
    <n v="0"/>
    <n v="0"/>
    <m/>
    <m/>
    <m/>
    <m/>
    <n v="0"/>
    <n v="0"/>
    <n v="0"/>
    <n v="0"/>
  </r>
  <r>
    <x v="13"/>
    <s v="Prairie View A&amp;M University"/>
    <m/>
    <n v="227526"/>
    <x v="2"/>
    <n v="288"/>
    <n v="1172722"/>
    <n v="279"/>
    <n v="1202853"/>
    <m/>
    <m/>
    <m/>
    <m/>
    <m/>
    <m/>
    <m/>
    <m/>
    <n v="286"/>
    <n v="1237116"/>
    <n v="290"/>
    <n v="1365148"/>
    <n v="286"/>
    <n v="16171"/>
    <n v="290"/>
    <n v="17845"/>
    <n v="264"/>
    <n v="1243176"/>
    <n v="278"/>
    <n v="1245407"/>
    <n v="286"/>
    <n v="40429"/>
    <n v="290"/>
    <n v="44613"/>
    <n v="0"/>
    <n v="0"/>
    <n v="0"/>
    <n v="0"/>
    <m/>
    <m/>
    <m/>
    <m/>
    <n v="288"/>
    <n v="3709614"/>
    <n v="290"/>
    <n v="3875866"/>
    <n v="49"/>
    <n v="325931"/>
    <n v="56"/>
    <n v="389550"/>
    <m/>
    <m/>
    <m/>
    <m/>
    <m/>
    <m/>
    <m/>
    <m/>
    <n v="49"/>
    <n v="418599"/>
    <n v="57"/>
    <n v="417900"/>
    <n v="49"/>
    <n v="5472"/>
    <n v="57"/>
    <n v="5463"/>
    <n v="44"/>
    <n v="283271"/>
    <n v="54"/>
    <n v="338583"/>
    <n v="49"/>
    <n v="13680"/>
    <n v="57"/>
    <n v="13657"/>
    <n v="0"/>
    <n v="0"/>
    <n v="0"/>
    <n v="0"/>
    <m/>
    <m/>
    <m/>
    <m/>
    <n v="49"/>
    <n v="1046953"/>
    <n v="57"/>
    <n v="1165153"/>
  </r>
  <r>
    <x v="13"/>
    <s v="Sam Houston State University "/>
    <m/>
    <n v="227881"/>
    <x v="2"/>
    <n v="488"/>
    <n v="2296531"/>
    <n v="519"/>
    <n v="2031132"/>
    <n v="479"/>
    <n v="2707764"/>
    <n v="509"/>
    <n v="2646763"/>
    <m/>
    <m/>
    <m/>
    <m/>
    <n v="486"/>
    <n v="2171806"/>
    <n v="519"/>
    <n v="1906869"/>
    <m/>
    <m/>
    <m/>
    <m/>
    <n v="263"/>
    <n v="12384"/>
    <n v="286"/>
    <n v="13490"/>
    <m/>
    <m/>
    <m/>
    <m/>
    <n v="0"/>
    <n v="0"/>
    <n v="0"/>
    <n v="0"/>
    <m/>
    <m/>
    <m/>
    <m/>
    <n v="488"/>
    <n v="7188485"/>
    <n v="519"/>
    <n v="6598254"/>
    <m/>
    <m/>
    <n v="0"/>
    <n v="0"/>
    <m/>
    <m/>
    <m/>
    <m/>
    <m/>
    <m/>
    <m/>
    <m/>
    <m/>
    <m/>
    <m/>
    <m/>
    <m/>
    <m/>
    <m/>
    <m/>
    <m/>
    <m/>
    <n v="0"/>
    <n v="0"/>
    <m/>
    <m/>
    <m/>
    <m/>
    <m/>
    <m/>
    <n v="0"/>
    <n v="0"/>
    <m/>
    <m/>
    <m/>
    <m/>
    <n v="0"/>
    <n v="0"/>
    <n v="0"/>
    <n v="0"/>
  </r>
  <r>
    <x v="13"/>
    <s v="Stephen F. Austin State University"/>
    <m/>
    <n v="228431"/>
    <x v="2"/>
    <n v="335"/>
    <n v="1560461"/>
    <n v="434"/>
    <n v="1569170"/>
    <n v="353"/>
    <n v="1994731"/>
    <n v="356"/>
    <n v="2111957"/>
    <m/>
    <m/>
    <m/>
    <m/>
    <m/>
    <m/>
    <m/>
    <m/>
    <m/>
    <m/>
    <m/>
    <m/>
    <n v="0"/>
    <n v="0"/>
    <n v="0"/>
    <n v="0"/>
    <m/>
    <m/>
    <m/>
    <m/>
    <n v="0"/>
    <n v="0"/>
    <n v="0"/>
    <n v="0"/>
    <m/>
    <m/>
    <m/>
    <m/>
    <n v="353"/>
    <n v="3555192"/>
    <n v="434"/>
    <n v="3681127"/>
    <n v="76"/>
    <n v="356385"/>
    <n v="109"/>
    <n v="394981"/>
    <n v="76"/>
    <n v="431800"/>
    <n v="84"/>
    <n v="497686"/>
    <m/>
    <m/>
    <m/>
    <m/>
    <m/>
    <m/>
    <m/>
    <m/>
    <m/>
    <m/>
    <m/>
    <m/>
    <n v="0"/>
    <n v="0"/>
    <n v="0"/>
    <n v="0"/>
    <m/>
    <m/>
    <m/>
    <m/>
    <n v="0"/>
    <n v="0"/>
    <n v="0"/>
    <n v="0"/>
    <m/>
    <m/>
    <m/>
    <m/>
    <n v="76"/>
    <n v="788185"/>
    <n v="109"/>
    <n v="892667"/>
  </r>
  <r>
    <x v="13"/>
    <s v="Sul Ross State University "/>
    <m/>
    <n v="228501"/>
    <x v="2"/>
    <n v="115"/>
    <n v="452627"/>
    <n v="115"/>
    <n v="458816"/>
    <n v="116"/>
    <n v="722840"/>
    <n v="115"/>
    <n v="771461"/>
    <m/>
    <m/>
    <m/>
    <m/>
    <n v="118"/>
    <n v="497020"/>
    <n v="118"/>
    <n v="497902"/>
    <n v="118"/>
    <n v="51212"/>
    <n v="118"/>
    <n v="51212"/>
    <n v="118"/>
    <n v="3144"/>
    <n v="115"/>
    <n v="3064"/>
    <n v="118"/>
    <n v="81214"/>
    <n v="118"/>
    <n v="81988"/>
    <n v="0"/>
    <n v="0"/>
    <n v="0"/>
    <n v="0"/>
    <m/>
    <m/>
    <m/>
    <m/>
    <n v="118"/>
    <n v="1808057"/>
    <n v="118"/>
    <n v="1864443"/>
    <n v="10"/>
    <n v="60514"/>
    <n v="8"/>
    <n v="50511"/>
    <n v="10"/>
    <n v="60096"/>
    <n v="9"/>
    <n v="62371"/>
    <m/>
    <m/>
    <m/>
    <m/>
    <n v="10"/>
    <n v="61903"/>
    <n v="9"/>
    <n v="55610"/>
    <n v="10"/>
    <n v="4340"/>
    <n v="9"/>
    <n v="3906"/>
    <n v="10"/>
    <n v="267"/>
    <n v="9"/>
    <n v="240"/>
    <n v="10"/>
    <n v="10115"/>
    <n v="9"/>
    <n v="9153"/>
    <n v="0"/>
    <n v="0"/>
    <n v="0"/>
    <n v="0"/>
    <m/>
    <m/>
    <m/>
    <m/>
    <n v="10"/>
    <n v="197235"/>
    <n v="9"/>
    <n v="181791"/>
  </r>
  <r>
    <x v="13"/>
    <s v="Tarleton State University"/>
    <m/>
    <n v="228529"/>
    <x v="2"/>
    <n v="280"/>
    <n v="1129800"/>
    <n v="282"/>
    <n v="1161033"/>
    <n v="280"/>
    <n v="1025360"/>
    <n v="282"/>
    <n v="1568202"/>
    <m/>
    <m/>
    <m/>
    <m/>
    <n v="280"/>
    <n v="1215760"/>
    <n v="282"/>
    <n v="1311043"/>
    <n v="280"/>
    <n v="15960"/>
    <n v="282"/>
    <n v="16390"/>
    <n v="0"/>
    <n v="0"/>
    <n v="0"/>
    <n v="0"/>
    <n v="280"/>
    <n v="24640"/>
    <n v="282"/>
    <n v="16390"/>
    <n v="0"/>
    <n v="0"/>
    <n v="0"/>
    <n v="0"/>
    <m/>
    <m/>
    <m/>
    <m/>
    <n v="280"/>
    <n v="3411520"/>
    <n v="282"/>
    <n v="4073058"/>
    <n v="65"/>
    <n v="369850"/>
    <n v="62"/>
    <n v="394248"/>
    <n v="65"/>
    <n v="238680"/>
    <n v="62"/>
    <n v="344782"/>
    <m/>
    <m/>
    <m/>
    <m/>
    <n v="65"/>
    <n v="392210"/>
    <n v="62"/>
    <n v="409465"/>
    <n v="65"/>
    <n v="5590"/>
    <n v="62"/>
    <n v="5536"/>
    <n v="0"/>
    <n v="0"/>
    <n v="0"/>
    <n v="0"/>
    <n v="65"/>
    <n v="8385"/>
    <n v="62"/>
    <n v="5542"/>
    <n v="0"/>
    <n v="0"/>
    <n v="0"/>
    <n v="0"/>
    <m/>
    <m/>
    <m/>
    <m/>
    <n v="65"/>
    <n v="1014715"/>
    <n v="62"/>
    <n v="1159573"/>
  </r>
  <r>
    <x v="13"/>
    <s v="Texas A&amp;M International University"/>
    <m/>
    <n v="226152"/>
    <x v="2"/>
    <n v="53"/>
    <n v="244637"/>
    <n v="162"/>
    <n v="670219"/>
    <n v="53"/>
    <n v="279999"/>
    <n v="174"/>
    <n v="943008"/>
    <m/>
    <m/>
    <m/>
    <m/>
    <n v="53"/>
    <n v="268909"/>
    <n v="174"/>
    <n v="827573"/>
    <n v="53"/>
    <n v="3538"/>
    <n v="174"/>
    <n v="10888"/>
    <n v="0"/>
    <n v="0"/>
    <n v="0"/>
    <n v="0"/>
    <n v="53"/>
    <n v="1782"/>
    <n v="174"/>
    <n v="16316"/>
    <n v="0"/>
    <n v="0"/>
    <n v="0"/>
    <n v="0"/>
    <m/>
    <m/>
    <m/>
    <m/>
    <n v="53"/>
    <n v="798865"/>
    <n v="174"/>
    <n v="2468004"/>
    <n v="9"/>
    <n v="63402"/>
    <n v="23"/>
    <n v="171842"/>
    <n v="10"/>
    <n v="52830"/>
    <n v="23"/>
    <n v="123226"/>
    <m/>
    <m/>
    <m/>
    <m/>
    <n v="10"/>
    <n v="74824"/>
    <n v="23"/>
    <n v="172971"/>
    <n v="10"/>
    <n v="1300"/>
    <n v="23"/>
    <n v="2458"/>
    <n v="0"/>
    <n v="0"/>
    <n v="0"/>
    <n v="0"/>
    <n v="10"/>
    <n v="660"/>
    <n v="23"/>
    <n v="3686"/>
    <n v="0"/>
    <n v="0"/>
    <n v="0"/>
    <n v="0"/>
    <m/>
    <m/>
    <m/>
    <m/>
    <n v="10"/>
    <n v="193016"/>
    <n v="23"/>
    <n v="474183"/>
  </r>
  <r>
    <x v="13"/>
    <s v="Texas A&amp;M University-Commerce"/>
    <m/>
    <n v="224554"/>
    <x v="2"/>
    <n v="252"/>
    <n v="985103"/>
    <n v="252"/>
    <n v="852563"/>
    <n v="252"/>
    <n v="886737"/>
    <n v="252"/>
    <n v="900396"/>
    <m/>
    <m/>
    <m/>
    <m/>
    <n v="252"/>
    <n v="1187019"/>
    <n v="252"/>
    <n v="1163684"/>
    <n v="252"/>
    <n v="76457"/>
    <n v="252"/>
    <n v="76457"/>
    <n v="252"/>
    <n v="9057"/>
    <n v="252"/>
    <n v="9072"/>
    <n v="252"/>
    <n v="76457"/>
    <n v="252"/>
    <n v="76457"/>
    <n v="0"/>
    <n v="0"/>
    <n v="0"/>
    <n v="0"/>
    <m/>
    <m/>
    <m/>
    <m/>
    <n v="252"/>
    <n v="3220830"/>
    <n v="252"/>
    <n v="3078629"/>
    <n v="15"/>
    <n v="49258"/>
    <n v="16"/>
    <n v="56180"/>
    <n v="15"/>
    <n v="63158"/>
    <n v="16"/>
    <n v="81840"/>
    <m/>
    <m/>
    <m/>
    <m/>
    <n v="15"/>
    <n v="59056"/>
    <n v="16"/>
    <n v="66857"/>
    <n v="15"/>
    <n v="1930"/>
    <n v="16"/>
    <n v="2457"/>
    <n v="15"/>
    <n v="484"/>
    <n v="16"/>
    <n v="576"/>
    <n v="15"/>
    <n v="3860"/>
    <n v="16"/>
    <n v="4457"/>
    <n v="0"/>
    <n v="0"/>
    <n v="0"/>
    <n v="0"/>
    <m/>
    <m/>
    <m/>
    <m/>
    <n v="15"/>
    <n v="177746"/>
    <n v="16"/>
    <n v="212367"/>
  </r>
  <r>
    <x v="13"/>
    <s v="Texas A&amp;M University-Corpus Christi "/>
    <m/>
    <n v="224147"/>
    <x v="2"/>
    <n v="235"/>
    <n v="1129647"/>
    <n v="327"/>
    <n v="1492940"/>
    <n v="249"/>
    <n v="1218233"/>
    <n v="243"/>
    <n v="1329232"/>
    <m/>
    <m/>
    <m/>
    <m/>
    <n v="249"/>
    <n v="1518302"/>
    <n v="243"/>
    <n v="1688107"/>
    <n v="249"/>
    <n v="19748"/>
    <n v="243"/>
    <n v="22067"/>
    <n v="0"/>
    <n v="0"/>
    <n v="0"/>
    <n v="0"/>
    <n v="249"/>
    <n v="99254"/>
    <n v="243"/>
    <n v="70000"/>
    <n v="0"/>
    <n v="0"/>
    <n v="0"/>
    <n v="0"/>
    <m/>
    <m/>
    <m/>
    <m/>
    <n v="249"/>
    <n v="3985184"/>
    <n v="327"/>
    <n v="4602346"/>
    <m/>
    <m/>
    <n v="0"/>
    <n v="0"/>
    <m/>
    <m/>
    <m/>
    <m/>
    <m/>
    <m/>
    <m/>
    <m/>
    <m/>
    <m/>
    <m/>
    <m/>
    <m/>
    <m/>
    <m/>
    <m/>
    <m/>
    <m/>
    <n v="0"/>
    <n v="0"/>
    <m/>
    <m/>
    <m/>
    <m/>
    <m/>
    <m/>
    <n v="0"/>
    <n v="0"/>
    <m/>
    <m/>
    <m/>
    <m/>
    <n v="0"/>
    <n v="0"/>
    <n v="0"/>
    <n v="0"/>
  </r>
  <r>
    <x v="13"/>
    <s v="Texas A&amp;M University-Kingsville"/>
    <m/>
    <n v="228705"/>
    <x v="2"/>
    <n v="305"/>
    <n v="1261131"/>
    <n v="323"/>
    <n v="1252481"/>
    <n v="305"/>
    <n v="1555267"/>
    <n v="323"/>
    <n v="166191"/>
    <m/>
    <m/>
    <m/>
    <m/>
    <n v="305"/>
    <n v="1418728"/>
    <n v="323"/>
    <n v="1592232"/>
    <n v="305"/>
    <n v="18690"/>
    <n v="323"/>
    <n v="20561"/>
    <n v="0"/>
    <n v="0"/>
    <n v="0"/>
    <n v="0"/>
    <n v="305"/>
    <n v="28467"/>
    <n v="323"/>
    <n v="20561"/>
    <n v="0"/>
    <n v="0"/>
    <n v="0"/>
    <n v="0"/>
    <m/>
    <m/>
    <m/>
    <m/>
    <n v="305"/>
    <n v="4282283"/>
    <n v="323"/>
    <n v="3052026"/>
    <n v="35"/>
    <n v="213064"/>
    <n v="37"/>
    <n v="540053"/>
    <n v="35"/>
    <n v="188164"/>
    <n v="37"/>
    <n v="261142"/>
    <m/>
    <m/>
    <m/>
    <m/>
    <n v="35"/>
    <n v="248876"/>
    <n v="37"/>
    <n v="246249"/>
    <n v="35"/>
    <n v="3366"/>
    <n v="37"/>
    <n v="3301"/>
    <n v="0"/>
    <n v="0"/>
    <n v="0"/>
    <n v="0"/>
    <n v="35"/>
    <n v="5028"/>
    <n v="37"/>
    <n v="3301"/>
    <n v="0"/>
    <n v="0"/>
    <n v="0"/>
    <n v="0"/>
    <m/>
    <m/>
    <m/>
    <m/>
    <n v="35"/>
    <n v="658498"/>
    <n v="37"/>
    <n v="1054046"/>
  </r>
  <r>
    <x v="13"/>
    <s v="Texas Southern University "/>
    <m/>
    <n v="229063"/>
    <x v="2"/>
    <n v="263"/>
    <n v="4642342"/>
    <n v="274"/>
    <n v="4983924"/>
    <n v="324"/>
    <n v="379267"/>
    <n v="333"/>
    <n v="396012"/>
    <m/>
    <m/>
    <m/>
    <m/>
    <n v="300"/>
    <n v="1332360"/>
    <n v="303"/>
    <n v="1372128"/>
    <m/>
    <m/>
    <m/>
    <m/>
    <n v="0"/>
    <n v="0"/>
    <n v="0"/>
    <n v="0"/>
    <m/>
    <m/>
    <m/>
    <m/>
    <n v="0"/>
    <n v="0"/>
    <n v="0"/>
    <n v="0"/>
    <m/>
    <m/>
    <m/>
    <m/>
    <n v="324"/>
    <n v="6353969"/>
    <n v="333"/>
    <n v="6752064"/>
    <n v="50"/>
    <n v="1061619"/>
    <n v="21"/>
    <n v="441132"/>
    <n v="61"/>
    <n v="100290"/>
    <n v="27"/>
    <n v="38616"/>
    <m/>
    <m/>
    <m/>
    <m/>
    <n v="49"/>
    <n v="284569"/>
    <n v="24"/>
    <n v="127428"/>
    <m/>
    <m/>
    <m/>
    <m/>
    <n v="0"/>
    <n v="0"/>
    <n v="0"/>
    <n v="0"/>
    <m/>
    <m/>
    <m/>
    <m/>
    <n v="0"/>
    <n v="0"/>
    <n v="0"/>
    <n v="0"/>
    <m/>
    <m/>
    <m/>
    <m/>
    <n v="61"/>
    <n v="1446478"/>
    <n v="27"/>
    <n v="607176"/>
  </r>
  <r>
    <x v="13"/>
    <s v="Texas State University-San Marcos"/>
    <m/>
    <n v="228459"/>
    <x v="2"/>
    <n v="945"/>
    <n v="2722682"/>
    <n v="1008"/>
    <n v="2663465"/>
    <n v="945"/>
    <n v="1956316"/>
    <n v="1008"/>
    <n v="1904933"/>
    <n v="945"/>
    <n v="9483"/>
    <n v="1008"/>
    <n v="10115"/>
    <n v="945"/>
    <n v="4384229"/>
    <n v="1008"/>
    <n v="4622653"/>
    <n v="945"/>
    <n v="4523"/>
    <n v="1008"/>
    <n v="4780"/>
    <n v="945"/>
    <n v="9483"/>
    <n v="1008"/>
    <n v="10115"/>
    <m/>
    <m/>
    <m/>
    <m/>
    <n v="0"/>
    <n v="0"/>
    <n v="0"/>
    <n v="0"/>
    <m/>
    <m/>
    <m/>
    <m/>
    <n v="945"/>
    <n v="9086716"/>
    <n v="1008"/>
    <n v="9216061"/>
    <n v="38"/>
    <n v="275524"/>
    <n v="45"/>
    <n v="272370"/>
    <n v="38"/>
    <n v="153469"/>
    <n v="45"/>
    <n v="165514"/>
    <n v="38"/>
    <n v="508"/>
    <n v="45"/>
    <n v="602"/>
    <n v="38"/>
    <n v="233738"/>
    <n v="45"/>
    <n v="276534"/>
    <n v="38"/>
    <n v="379"/>
    <n v="45"/>
    <n v="435"/>
    <n v="38"/>
    <n v="508"/>
    <n v="45"/>
    <n v="602"/>
    <m/>
    <m/>
    <m/>
    <m/>
    <n v="0"/>
    <n v="0"/>
    <n v="0"/>
    <n v="0"/>
    <m/>
    <m/>
    <m/>
    <m/>
    <n v="38"/>
    <n v="664126"/>
    <n v="45"/>
    <n v="716057"/>
  </r>
  <r>
    <x v="13"/>
    <s v="University of Houston-Clear Lake "/>
    <m/>
    <n v="225414"/>
    <x v="2"/>
    <n v="224"/>
    <n v="1099333"/>
    <n v="226"/>
    <n v="1128471"/>
    <n v="213"/>
    <n v="1296274"/>
    <n v="212"/>
    <n v="1311976"/>
    <m/>
    <m/>
    <m/>
    <m/>
    <n v="224"/>
    <n v="1183922"/>
    <n v="226"/>
    <n v="1220235"/>
    <m/>
    <m/>
    <m/>
    <m/>
    <n v="213"/>
    <n v="5674"/>
    <n v="212"/>
    <n v="5648"/>
    <m/>
    <m/>
    <m/>
    <m/>
    <n v="0"/>
    <n v="0"/>
    <n v="0"/>
    <n v="0"/>
    <m/>
    <m/>
    <m/>
    <m/>
    <n v="224"/>
    <n v="3585203"/>
    <n v="226"/>
    <n v="3666330"/>
    <n v="4"/>
    <n v="24053"/>
    <n v="4"/>
    <n v="21743"/>
    <n v="4"/>
    <n v="23679"/>
    <n v="4"/>
    <n v="23679"/>
    <m/>
    <m/>
    <m/>
    <m/>
    <n v="4"/>
    <n v="25483"/>
    <n v="4"/>
    <n v="26161"/>
    <m/>
    <m/>
    <m/>
    <m/>
    <n v="4"/>
    <n v="107"/>
    <n v="4"/>
    <n v="107"/>
    <m/>
    <m/>
    <m/>
    <m/>
    <n v="0"/>
    <n v="0"/>
    <n v="0"/>
    <n v="0"/>
    <m/>
    <m/>
    <m/>
    <m/>
    <n v="4"/>
    <n v="73322"/>
    <n v="4"/>
    <n v="71690"/>
  </r>
  <r>
    <x v="13"/>
    <s v="University of Texas at Tyler"/>
    <m/>
    <n v="228802"/>
    <x v="2"/>
    <n v="258"/>
    <n v="1245831"/>
    <n v="268"/>
    <n v="1408818"/>
    <n v="258"/>
    <n v="1857600"/>
    <n v="268"/>
    <n v="2074320"/>
    <m/>
    <m/>
    <m/>
    <m/>
    <n v="258"/>
    <n v="1121248"/>
    <n v="268"/>
    <n v="1267936"/>
    <n v="258"/>
    <n v="5201"/>
    <n v="268"/>
    <n v="5403"/>
    <n v="258"/>
    <n v="4644"/>
    <n v="268"/>
    <n v="6593"/>
    <n v="258"/>
    <n v="11872"/>
    <n v="268"/>
    <n v="16409"/>
    <n v="12"/>
    <n v="72504"/>
    <n v="24"/>
    <n v="127730"/>
    <m/>
    <m/>
    <m/>
    <m/>
    <n v="258"/>
    <n v="4318900"/>
    <n v="268"/>
    <n v="4907209"/>
    <m/>
    <m/>
    <n v="0"/>
    <n v="0"/>
    <m/>
    <m/>
    <m/>
    <m/>
    <m/>
    <m/>
    <m/>
    <m/>
    <m/>
    <m/>
    <m/>
    <m/>
    <m/>
    <m/>
    <m/>
    <m/>
    <m/>
    <m/>
    <n v="0"/>
    <n v="0"/>
    <m/>
    <m/>
    <m/>
    <m/>
    <m/>
    <m/>
    <n v="0"/>
    <n v="0"/>
    <m/>
    <m/>
    <m/>
    <m/>
    <n v="0"/>
    <n v="0"/>
    <n v="0"/>
    <n v="0"/>
  </r>
  <r>
    <x v="13"/>
    <s v="University of Texas-Pan American"/>
    <m/>
    <n v="227368"/>
    <x v="2"/>
    <n v="637"/>
    <n v="3551772"/>
    <n v="631"/>
    <n v="2881981"/>
    <n v="442"/>
    <n v="280667"/>
    <n v="582"/>
    <n v="3352306"/>
    <n v="238"/>
    <n v="65972"/>
    <m/>
    <m/>
    <n v="637"/>
    <n v="2643489"/>
    <n v="634"/>
    <n v="2657832"/>
    <m/>
    <m/>
    <n v="603"/>
    <n v="27625"/>
    <n v="0"/>
    <n v="0"/>
    <n v="0"/>
    <n v="0"/>
    <n v="562"/>
    <n v="273150"/>
    <n v="638"/>
    <n v="548227"/>
    <n v="0"/>
    <n v="0"/>
    <n v="0"/>
    <n v="0"/>
    <m/>
    <m/>
    <n v="636"/>
    <n v="49494"/>
    <n v="637"/>
    <n v="6815050"/>
    <n v="638"/>
    <n v="9517465"/>
    <n v="18"/>
    <n v="124824"/>
    <n v="19"/>
    <n v="115550"/>
    <n v="12"/>
    <n v="7553"/>
    <n v="17"/>
    <n v="92038"/>
    <n v="11"/>
    <n v="3851"/>
    <m/>
    <m/>
    <n v="18"/>
    <n v="96233"/>
    <n v="19"/>
    <n v="104082"/>
    <m/>
    <m/>
    <n v="19"/>
    <n v="865"/>
    <n v="0"/>
    <n v="0"/>
    <n v="0"/>
    <n v="0"/>
    <n v="15"/>
    <n v="7460"/>
    <n v="19"/>
    <n v="1912"/>
    <n v="0"/>
    <n v="0"/>
    <n v="0"/>
    <n v="0"/>
    <m/>
    <m/>
    <m/>
    <m/>
    <n v="18"/>
    <n v="239921"/>
    <n v="19"/>
    <n v="314447"/>
  </r>
  <r>
    <x v="13"/>
    <s v="West Texas A&amp;M University"/>
    <m/>
    <n v="229814"/>
    <x v="2"/>
    <n v="231"/>
    <n v="949892"/>
    <n v="227"/>
    <n v="948563"/>
    <n v="225"/>
    <n v="1368722"/>
    <n v="227"/>
    <n v="1353249"/>
    <m/>
    <m/>
    <m/>
    <m/>
    <n v="228"/>
    <n v="1040574"/>
    <n v="231"/>
    <n v="1044495"/>
    <n v="228"/>
    <n v="13602"/>
    <n v="231"/>
    <n v="13654"/>
    <n v="225"/>
    <n v="8930"/>
    <n v="227"/>
    <n v="10814"/>
    <n v="228"/>
    <n v="20403"/>
    <n v="231"/>
    <n v="13654"/>
    <n v="0"/>
    <n v="0"/>
    <n v="0"/>
    <n v="0"/>
    <m/>
    <m/>
    <m/>
    <m/>
    <n v="231"/>
    <n v="3402123"/>
    <n v="231"/>
    <n v="3384429"/>
    <n v="18"/>
    <n v="111455"/>
    <n v="0"/>
    <n v="0"/>
    <n v="16"/>
    <n v="106938"/>
    <m/>
    <m/>
    <m/>
    <m/>
    <m/>
    <m/>
    <n v="18"/>
    <n v="120805"/>
    <m/>
    <m/>
    <n v="18"/>
    <n v="1631"/>
    <m/>
    <m/>
    <n v="16"/>
    <n v="640"/>
    <n v="0"/>
    <n v="0"/>
    <n v="18"/>
    <n v="2447"/>
    <m/>
    <m/>
    <n v="0"/>
    <n v="0"/>
    <n v="0"/>
    <n v="0"/>
    <m/>
    <m/>
    <m/>
    <m/>
    <n v="18"/>
    <n v="343916"/>
    <n v="0"/>
    <n v="0"/>
  </r>
  <r>
    <x v="13"/>
    <s v="Texas A&amp;M -Texarkana"/>
    <m/>
    <n v="224545"/>
    <x v="3"/>
    <n v="161"/>
    <n v="672522"/>
    <n v="56"/>
    <n v="264320"/>
    <n v="163"/>
    <n v="851324"/>
    <n v="56"/>
    <n v="330512"/>
    <m/>
    <m/>
    <m/>
    <m/>
    <n v="163"/>
    <n v="783929"/>
    <n v="56"/>
    <n v="296175"/>
    <n v="163"/>
    <n v="10282"/>
    <n v="56"/>
    <n v="3808"/>
    <n v="0"/>
    <n v="0"/>
    <n v="0"/>
    <n v="0"/>
    <n v="163"/>
    <n v="15527"/>
    <n v="56"/>
    <n v="1960"/>
    <n v="0"/>
    <n v="0"/>
    <n v="0"/>
    <n v="0"/>
    <m/>
    <m/>
    <m/>
    <m/>
    <n v="163"/>
    <n v="2333584"/>
    <n v="56"/>
    <n v="896775"/>
    <n v="25"/>
    <n v="180641"/>
    <n v="6"/>
    <n v="42750"/>
    <n v="25"/>
    <n v="129775"/>
    <n v="6"/>
    <n v="33738"/>
    <m/>
    <m/>
    <m/>
    <m/>
    <n v="25"/>
    <n v="189767"/>
    <n v="6"/>
    <n v="45372"/>
    <n v="25"/>
    <n v="2529"/>
    <n v="6"/>
    <n v="790"/>
    <n v="0"/>
    <n v="0"/>
    <n v="0"/>
    <n v="0"/>
    <n v="25"/>
    <n v="3791"/>
    <n v="6"/>
    <n v="399"/>
    <n v="0"/>
    <n v="0"/>
    <n v="0"/>
    <n v="0"/>
    <m/>
    <m/>
    <m/>
    <m/>
    <n v="25"/>
    <n v="506503"/>
    <n v="6"/>
    <n v="123049"/>
  </r>
  <r>
    <x v="13"/>
    <s v="University of Houston-Victoria"/>
    <m/>
    <n v="225502"/>
    <x v="3"/>
    <n v="101"/>
    <n v="498267"/>
    <n v="111"/>
    <n v="544311"/>
    <n v="85"/>
    <n v="528556"/>
    <n v="101"/>
    <n v="623319"/>
    <m/>
    <m/>
    <m/>
    <m/>
    <n v="101"/>
    <n v="559709"/>
    <n v="110"/>
    <n v="611788"/>
    <n v="101"/>
    <n v="1464"/>
    <n v="110"/>
    <n v="1602"/>
    <n v="85"/>
    <n v="2264"/>
    <n v="101"/>
    <n v="2691"/>
    <n v="101"/>
    <n v="36610"/>
    <n v="110"/>
    <n v="40043"/>
    <n v="0"/>
    <n v="0"/>
    <n v="0"/>
    <n v="0"/>
    <m/>
    <m/>
    <m/>
    <m/>
    <n v="101"/>
    <n v="1626870"/>
    <n v="111"/>
    <n v="1823754"/>
    <n v="4"/>
    <n v="37528"/>
    <n v="4"/>
    <n v="39736"/>
    <n v="3"/>
    <n v="25266"/>
    <n v="4"/>
    <n v="34278"/>
    <m/>
    <m/>
    <m/>
    <m/>
    <n v="4"/>
    <n v="34395"/>
    <n v="4"/>
    <n v="34873"/>
    <n v="4"/>
    <n v="109"/>
    <n v="4"/>
    <n v="116"/>
    <n v="3"/>
    <n v="80"/>
    <n v="4"/>
    <n v="107"/>
    <n v="4"/>
    <n v="2727"/>
    <n v="4"/>
    <n v="2892"/>
    <n v="0"/>
    <n v="0"/>
    <n v="0"/>
    <n v="0"/>
    <m/>
    <m/>
    <m/>
    <m/>
    <n v="4"/>
    <n v="100105"/>
    <n v="4"/>
    <n v="112002"/>
  </r>
  <r>
    <x v="13"/>
    <s v="University of Texas at Brownsville"/>
    <s v="Reclassified: Met the criteria for Four-Year 3 in 2008-09, 2009-10 and 2010-11."/>
    <n v="227377"/>
    <x v="2"/>
    <n v="303"/>
    <n v="1458547"/>
    <n v="344"/>
    <n v="1334125"/>
    <n v="334"/>
    <n v="2037486"/>
    <n v="363"/>
    <n v="2802252"/>
    <m/>
    <m/>
    <m/>
    <m/>
    <n v="343"/>
    <n v="1280566"/>
    <n v="344"/>
    <n v="1313312"/>
    <n v="343"/>
    <n v="99760"/>
    <n v="344"/>
    <n v="70062"/>
    <n v="0"/>
    <n v="0"/>
    <n v="0"/>
    <n v="0"/>
    <n v="343"/>
    <n v="30981"/>
    <n v="344"/>
    <n v="33680"/>
    <n v="0"/>
    <n v="0"/>
    <n v="0"/>
    <n v="0"/>
    <m/>
    <m/>
    <m/>
    <m/>
    <n v="343"/>
    <n v="4907340"/>
    <n v="363"/>
    <n v="5553431"/>
    <n v="46"/>
    <n v="216704"/>
    <n v="45"/>
    <n v="208294"/>
    <n v="46"/>
    <n v="262375"/>
    <n v="45"/>
    <n v="308964"/>
    <m/>
    <m/>
    <m/>
    <m/>
    <n v="46"/>
    <n v="173225"/>
    <n v="45"/>
    <n v="166648"/>
    <n v="46"/>
    <n v="13495"/>
    <n v="45"/>
    <n v="9258"/>
    <n v="0"/>
    <n v="0"/>
    <n v="0"/>
    <n v="0"/>
    <n v="46"/>
    <n v="4191"/>
    <n v="45"/>
    <n v="4274"/>
    <n v="0"/>
    <n v="0"/>
    <n v="0"/>
    <n v="0"/>
    <m/>
    <m/>
    <m/>
    <m/>
    <n v="46"/>
    <n v="669990"/>
    <n v="45"/>
    <n v="697438"/>
  </r>
  <r>
    <x v="13"/>
    <s v="University of Texas of the Permian Basin"/>
    <s v="Met the criteria for Four-Year 3 in 2009-10 and 2010-11."/>
    <n v="229018"/>
    <x v="3"/>
    <n v="119"/>
    <n v="574636"/>
    <n v="135"/>
    <n v="647852"/>
    <n v="73"/>
    <n v="57234"/>
    <n v="135"/>
    <n v="82428"/>
    <m/>
    <m/>
    <m/>
    <m/>
    <n v="74"/>
    <n v="560351"/>
    <n v="137"/>
    <n v="734989"/>
    <n v="74"/>
    <n v="36624"/>
    <n v="137"/>
    <n v="26263"/>
    <n v="0"/>
    <n v="0"/>
    <n v="0"/>
    <n v="0"/>
    <n v="74"/>
    <n v="8424"/>
    <n v="137"/>
    <n v="12700"/>
    <n v="0"/>
    <n v="0"/>
    <n v="0"/>
    <n v="0"/>
    <m/>
    <m/>
    <m/>
    <m/>
    <n v="119"/>
    <n v="1237269"/>
    <n v="137"/>
    <n v="1504232"/>
    <m/>
    <m/>
    <n v="0"/>
    <n v="0"/>
    <m/>
    <m/>
    <m/>
    <m/>
    <m/>
    <m/>
    <m/>
    <m/>
    <m/>
    <m/>
    <m/>
    <m/>
    <m/>
    <m/>
    <m/>
    <m/>
    <m/>
    <m/>
    <n v="0"/>
    <n v="0"/>
    <m/>
    <m/>
    <m/>
    <m/>
    <m/>
    <m/>
    <n v="0"/>
    <n v="0"/>
    <m/>
    <m/>
    <m/>
    <m/>
    <n v="0"/>
    <n v="0"/>
    <n v="0"/>
    <n v="0"/>
  </r>
  <r>
    <x v="13"/>
    <s v="Sul Ross State University-Rio Grande College"/>
    <m/>
    <s v="228501B"/>
    <x v="4"/>
    <m/>
    <m/>
    <n v="0"/>
    <n v="0"/>
    <m/>
    <m/>
    <m/>
    <m/>
    <m/>
    <m/>
    <m/>
    <m/>
    <m/>
    <m/>
    <m/>
    <m/>
    <m/>
    <m/>
    <m/>
    <m/>
    <m/>
    <m/>
    <n v="0"/>
    <n v="0"/>
    <m/>
    <m/>
    <m/>
    <m/>
    <m/>
    <m/>
    <n v="0"/>
    <n v="0"/>
    <m/>
    <m/>
    <m/>
    <m/>
    <n v="0"/>
    <n v="0"/>
    <n v="0"/>
    <n v="0"/>
    <m/>
    <m/>
    <n v="0"/>
    <n v="0"/>
    <m/>
    <m/>
    <m/>
    <m/>
    <m/>
    <m/>
    <m/>
    <m/>
    <m/>
    <m/>
    <m/>
    <m/>
    <m/>
    <m/>
    <m/>
    <m/>
    <m/>
    <m/>
    <n v="0"/>
    <n v="0"/>
    <m/>
    <m/>
    <m/>
    <m/>
    <m/>
    <m/>
    <n v="0"/>
    <n v="0"/>
    <m/>
    <m/>
    <m/>
    <m/>
    <n v="0"/>
    <n v="0"/>
    <n v="0"/>
    <n v="0"/>
  </r>
  <r>
    <x v="13"/>
    <s v="University of Houston-Downtown"/>
    <m/>
    <n v="225432"/>
    <x v="4"/>
    <n v="276"/>
    <n v="1179020"/>
    <n v="276"/>
    <n v="1247541"/>
    <n v="240"/>
    <n v="1382415"/>
    <n v="239"/>
    <n v="1385726"/>
    <m/>
    <m/>
    <m/>
    <m/>
    <n v="276"/>
    <n v="1299810"/>
    <n v="275"/>
    <n v="1369742"/>
    <n v="276"/>
    <n v="33982"/>
    <n v="276"/>
    <n v="35908"/>
    <n v="240"/>
    <n v="6394"/>
    <n v="239"/>
    <n v="6367"/>
    <n v="276"/>
    <n v="33982"/>
    <n v="276"/>
    <n v="35908"/>
    <n v="0"/>
    <n v="0"/>
    <n v="0"/>
    <n v="0"/>
    <m/>
    <m/>
    <m/>
    <m/>
    <n v="276"/>
    <n v="3935603"/>
    <n v="276"/>
    <n v="4081192"/>
    <n v="14"/>
    <n v="90741"/>
    <n v="15"/>
    <n v="106172"/>
    <n v="13"/>
    <n v="75659"/>
    <n v="15"/>
    <n v="89269"/>
    <m/>
    <m/>
    <m/>
    <m/>
    <n v="14"/>
    <n v="95378"/>
    <n v="15"/>
    <n v="109874"/>
    <n v="14"/>
    <n v="2539"/>
    <n v="15"/>
    <n v="2977"/>
    <n v="13"/>
    <n v="346"/>
    <n v="15"/>
    <n v="400"/>
    <n v="14"/>
    <n v="2539"/>
    <n v="15"/>
    <n v="2977"/>
    <n v="0"/>
    <n v="0"/>
    <n v="0"/>
    <n v="0"/>
    <m/>
    <m/>
    <m/>
    <m/>
    <n v="14"/>
    <n v="267202"/>
    <n v="15"/>
    <n v="311669"/>
  </r>
  <r>
    <x v="13"/>
    <s v="Texas A&amp;M University at Galveston"/>
    <m/>
    <n v="228714"/>
    <x v="5"/>
    <n v="78"/>
    <n v="338331"/>
    <n v="81"/>
    <n v="334362"/>
    <n v="75"/>
    <n v="444778"/>
    <n v="74"/>
    <n v="456352"/>
    <m/>
    <m/>
    <m/>
    <m/>
    <n v="78"/>
    <n v="429502"/>
    <n v="81"/>
    <n v="395634"/>
    <n v="78"/>
    <n v="16843"/>
    <n v="81"/>
    <n v="15515"/>
    <n v="78"/>
    <n v="4795"/>
    <n v="77"/>
    <n v="4478"/>
    <n v="78"/>
    <n v="28072"/>
    <n v="81"/>
    <n v="25858"/>
    <n v="0"/>
    <n v="0"/>
    <n v="0"/>
    <n v="0"/>
    <m/>
    <m/>
    <m/>
    <m/>
    <n v="78"/>
    <n v="1262321"/>
    <n v="81"/>
    <n v="1232199"/>
    <n v="17"/>
    <n v="100911"/>
    <n v="19"/>
    <n v="114571"/>
    <n v="16"/>
    <n v="92469"/>
    <n v="18"/>
    <n v="107516"/>
    <m/>
    <m/>
    <m/>
    <m/>
    <n v="17"/>
    <n v="128874"/>
    <n v="19"/>
    <n v="135268"/>
    <n v="17"/>
    <n v="5054"/>
    <n v="19"/>
    <n v="5305"/>
    <n v="17"/>
    <n v="810"/>
    <n v="19"/>
    <n v="905"/>
    <n v="17"/>
    <n v="8423"/>
    <n v="19"/>
    <n v="8841"/>
    <n v="0"/>
    <n v="0"/>
    <n v="0"/>
    <n v="0"/>
    <m/>
    <m/>
    <m/>
    <m/>
    <n v="17"/>
    <n v="336541"/>
    <n v="19"/>
    <n v="372406"/>
  </r>
  <r>
    <x v="13"/>
    <s v="Brazosport College "/>
    <m/>
    <n v="223506"/>
    <x v="11"/>
    <n v="60"/>
    <n v="160166"/>
    <n v="55"/>
    <n v="180010"/>
    <n v="59"/>
    <n v="364661"/>
    <n v="54"/>
    <n v="332449"/>
    <m/>
    <m/>
    <m/>
    <m/>
    <m/>
    <m/>
    <m/>
    <m/>
    <n v="59"/>
    <n v="2410"/>
    <n v="54"/>
    <n v="2316"/>
    <n v="118"/>
    <n v="34717"/>
    <n v="108"/>
    <n v="31977"/>
    <n v="59"/>
    <n v="9974"/>
    <n v="54"/>
    <n v="9171"/>
    <n v="12"/>
    <n v="7787"/>
    <n v="7"/>
    <n v="9049"/>
    <m/>
    <m/>
    <m/>
    <m/>
    <n v="118"/>
    <n v="579715"/>
    <n v="108"/>
    <n v="564972"/>
    <n v="28"/>
    <n v="172439"/>
    <n v="23"/>
    <n v="137969"/>
    <n v="28"/>
    <n v="177125"/>
    <n v="23"/>
    <n v="156975"/>
    <m/>
    <m/>
    <m/>
    <m/>
    <m/>
    <m/>
    <m/>
    <m/>
    <n v="27"/>
    <n v="2017"/>
    <n v="23"/>
    <n v="1684"/>
    <n v="54"/>
    <n v="28844"/>
    <n v="46"/>
    <n v="13227"/>
    <n v="27"/>
    <n v="7981"/>
    <n v="23"/>
    <n v="6668"/>
    <n v="5"/>
    <n v="1424"/>
    <n v="2"/>
    <n v="1031"/>
    <m/>
    <m/>
    <m/>
    <m/>
    <n v="54"/>
    <n v="389830"/>
    <n v="46"/>
    <n v="317554"/>
  </r>
  <r>
    <x v="13"/>
    <s v="Midland College "/>
    <m/>
    <n v="226806"/>
    <x v="11"/>
    <n v="140"/>
    <n v="764427"/>
    <n v="140"/>
    <n v="757182"/>
    <n v="96"/>
    <n v="621784"/>
    <n v="92"/>
    <n v="620498"/>
    <n v="90"/>
    <n v="45541"/>
    <n v="91"/>
    <n v="41824"/>
    <n v="85"/>
    <n v="74476"/>
    <n v="83"/>
    <n v="73522"/>
    <n v="97"/>
    <n v="4227"/>
    <n v="95"/>
    <n v="4158"/>
    <n v="91"/>
    <n v="59149"/>
    <n v="91"/>
    <n v="61911"/>
    <n v="97"/>
    <n v="19107"/>
    <n v="95"/>
    <n v="18326"/>
    <n v="5"/>
    <n v="1602"/>
    <n v="5"/>
    <n v="1217"/>
    <m/>
    <m/>
    <m/>
    <m/>
    <n v="140"/>
    <n v="1590313"/>
    <n v="140"/>
    <n v="1578638"/>
    <n v="54"/>
    <n v="326457"/>
    <n v="56"/>
    <n v="339213"/>
    <n v="39"/>
    <n v="261056"/>
    <n v="40"/>
    <n v="293749"/>
    <n v="38"/>
    <n v="15958"/>
    <n v="39"/>
    <n v="14802"/>
    <n v="38"/>
    <n v="36255"/>
    <n v="39"/>
    <n v="37514"/>
    <n v="39"/>
    <n v="1780"/>
    <n v="40"/>
    <n v="1850"/>
    <n v="38"/>
    <n v="15906"/>
    <n v="39"/>
    <n v="17684"/>
    <n v="39"/>
    <n v="18387"/>
    <n v="40"/>
    <n v="18548"/>
    <n v="1"/>
    <n v="276"/>
    <n v="1"/>
    <n v="350"/>
    <m/>
    <m/>
    <m/>
    <m/>
    <n v="54"/>
    <n v="676075"/>
    <n v="56"/>
    <n v="723710"/>
  </r>
  <r>
    <x v="13"/>
    <s v="South Texas College"/>
    <m/>
    <n v="409315"/>
    <x v="11"/>
    <n v="436"/>
    <n v="1414795"/>
    <n v="495"/>
    <n v="1677394"/>
    <n v="407"/>
    <n v="2425058"/>
    <n v="437"/>
    <n v="2826294"/>
    <m/>
    <m/>
    <m/>
    <m/>
    <n v="447"/>
    <n v="1726602"/>
    <n v="510"/>
    <n v="1994923"/>
    <n v="447"/>
    <n v="225700"/>
    <n v="510"/>
    <n v="260774"/>
    <n v="407"/>
    <n v="10842"/>
    <n v="437"/>
    <n v="11802"/>
    <n v="447"/>
    <n v="225700"/>
    <n v="510"/>
    <n v="260774"/>
    <n v="35"/>
    <n v="29181"/>
    <n v="38"/>
    <n v="33736"/>
    <m/>
    <m/>
    <m/>
    <m/>
    <n v="447"/>
    <n v="6057878"/>
    <n v="510"/>
    <n v="7065697"/>
    <n v="54"/>
    <n v="229484"/>
    <n v="34"/>
    <n v="150962"/>
    <n v="48"/>
    <n v="305464"/>
    <n v="33"/>
    <n v="233799"/>
    <m/>
    <m/>
    <m/>
    <m/>
    <n v="54"/>
    <n v="268451"/>
    <n v="35"/>
    <n v="170363"/>
    <n v="54"/>
    <n v="35092"/>
    <n v="35"/>
    <n v="22269"/>
    <n v="48"/>
    <n v="1279"/>
    <n v="33"/>
    <n v="720"/>
    <n v="54"/>
    <n v="35092"/>
    <n v="35"/>
    <n v="22269"/>
    <n v="1"/>
    <n v="1090"/>
    <n v="1"/>
    <n v="563"/>
    <m/>
    <m/>
    <m/>
    <m/>
    <n v="54"/>
    <n v="875952"/>
    <n v="35"/>
    <n v="600945"/>
  </r>
  <r>
    <x v="13"/>
    <s v="Amarillo College "/>
    <m/>
    <n v="222576"/>
    <x v="6"/>
    <n v="187"/>
    <n v="600607"/>
    <n v="182"/>
    <n v="608413"/>
    <n v="178"/>
    <n v="1092454"/>
    <n v="178"/>
    <n v="1088040"/>
    <m/>
    <m/>
    <m/>
    <m/>
    <m/>
    <m/>
    <m/>
    <m/>
    <n v="187"/>
    <n v="8415"/>
    <n v="182"/>
    <n v="34398"/>
    <n v="0"/>
    <n v="0"/>
    <n v="0"/>
    <n v="0"/>
    <n v="187"/>
    <n v="95256"/>
    <n v="182"/>
    <n v="96190"/>
    <n v="31"/>
    <n v="11031"/>
    <n v="30"/>
    <n v="14530"/>
    <m/>
    <m/>
    <m/>
    <m/>
    <n v="187"/>
    <n v="1807763"/>
    <n v="182"/>
    <n v="1841571"/>
    <n v="48"/>
    <n v="201775"/>
    <n v="43"/>
    <n v="189400"/>
    <n v="46"/>
    <n v="198428"/>
    <n v="43"/>
    <n v="290179"/>
    <m/>
    <m/>
    <m/>
    <m/>
    <m/>
    <m/>
    <m/>
    <m/>
    <n v="48"/>
    <n v="2160"/>
    <n v="43"/>
    <n v="8127"/>
    <n v="0"/>
    <n v="0"/>
    <n v="0"/>
    <n v="0"/>
    <n v="48"/>
    <n v="31665"/>
    <n v="43"/>
    <n v="27590"/>
    <n v="3"/>
    <n v="1589"/>
    <n v="3"/>
    <n v="1855"/>
    <m/>
    <m/>
    <m/>
    <m/>
    <n v="48"/>
    <n v="435617"/>
    <n v="43"/>
    <n v="517151"/>
  </r>
  <r>
    <x v="13"/>
    <s v="Austin Community College "/>
    <m/>
    <n v="222992"/>
    <x v="6"/>
    <n v="59"/>
    <n v="253237"/>
    <n v="132"/>
    <n v="571750"/>
    <n v="59"/>
    <n v="307864"/>
    <n v="120"/>
    <n v="709344"/>
    <n v="59"/>
    <n v="15481"/>
    <n v="120"/>
    <n v="31866"/>
    <n v="57"/>
    <n v="48883"/>
    <n v="124"/>
    <n v="105596"/>
    <n v="61"/>
    <n v="2196"/>
    <n v="132"/>
    <n v="4752"/>
    <n v="59"/>
    <n v="23577"/>
    <n v="122"/>
    <n v="57960"/>
    <n v="61"/>
    <n v="2074"/>
    <n v="132"/>
    <n v="5148"/>
    <n v="0"/>
    <n v="0"/>
    <n v="0"/>
    <n v="0"/>
    <m/>
    <m/>
    <m/>
    <m/>
    <n v="61"/>
    <n v="653312"/>
    <n v="132"/>
    <n v="1486416"/>
    <n v="493"/>
    <n v="2614930"/>
    <n v="1044"/>
    <n v="5482666"/>
    <n v="490"/>
    <n v="2887548"/>
    <n v="1040"/>
    <n v="6585034"/>
    <n v="492"/>
    <n v="157756"/>
    <n v="1044"/>
    <n v="328776"/>
    <n v="424"/>
    <n v="432404"/>
    <n v="910"/>
    <n v="914146"/>
    <n v="494"/>
    <n v="17784"/>
    <n v="1046"/>
    <n v="37656"/>
    <n v="491"/>
    <n v="187911"/>
    <n v="1042"/>
    <n v="398370"/>
    <n v="494"/>
    <n v="16796"/>
    <n v="1046"/>
    <n v="40794"/>
    <n v="0"/>
    <n v="0"/>
    <n v="0"/>
    <n v="0"/>
    <m/>
    <m/>
    <m/>
    <m/>
    <n v="494"/>
    <n v="6315129"/>
    <n v="1046"/>
    <n v="13787442"/>
  </r>
  <r>
    <x v="13"/>
    <s v="Blinn College "/>
    <m/>
    <n v="223427"/>
    <x v="6"/>
    <n v="283"/>
    <n v="1082662"/>
    <n v="300"/>
    <n v="1148863"/>
    <n v="264"/>
    <n v="1587585"/>
    <n v="283"/>
    <n v="1772457"/>
    <m/>
    <m/>
    <m/>
    <m/>
    <n v="290"/>
    <n v="1211610"/>
    <n v="307"/>
    <n v="1290883"/>
    <n v="290"/>
    <n v="7802"/>
    <n v="307"/>
    <n v="8350"/>
    <n v="273"/>
    <n v="116691"/>
    <n v="290"/>
    <n v="123168"/>
    <n v="286"/>
    <n v="101331"/>
    <n v="303"/>
    <n v="108410"/>
    <n v="0"/>
    <n v="0"/>
    <n v="0"/>
    <n v="0"/>
    <m/>
    <m/>
    <m/>
    <m/>
    <n v="290"/>
    <n v="4107681"/>
    <n v="307"/>
    <n v="4452131"/>
    <n v="46"/>
    <n v="152617"/>
    <n v="46"/>
    <n v="162882"/>
    <n v="46"/>
    <n v="279564"/>
    <n v="46"/>
    <n v="304032"/>
    <m/>
    <m/>
    <m/>
    <m/>
    <n v="47"/>
    <n v="178052"/>
    <n v="47"/>
    <n v="190185"/>
    <n v="47"/>
    <n v="1143"/>
    <n v="47"/>
    <n v="1221"/>
    <n v="47"/>
    <n v="10476"/>
    <n v="47"/>
    <n v="11004"/>
    <n v="47"/>
    <n v="15037"/>
    <n v="47"/>
    <n v="16060"/>
    <n v="0"/>
    <n v="0"/>
    <n v="0"/>
    <n v="0"/>
    <m/>
    <m/>
    <m/>
    <m/>
    <n v="47"/>
    <n v="636889"/>
    <n v="47"/>
    <n v="685384"/>
  </r>
  <r>
    <x v="13"/>
    <s v="Brookhaven College (DCCCD)"/>
    <m/>
    <n v="223524"/>
    <x v="6"/>
    <n v="123"/>
    <n v="537541"/>
    <n v="131"/>
    <n v="565748"/>
    <n v="122"/>
    <n v="725478"/>
    <n v="130"/>
    <n v="823872"/>
    <m/>
    <m/>
    <m/>
    <m/>
    <m/>
    <m/>
    <m/>
    <m/>
    <n v="123"/>
    <n v="72119"/>
    <n v="131"/>
    <n v="75716"/>
    <n v="246"/>
    <n v="5078"/>
    <n v="262"/>
    <n v="5471"/>
    <n v="123"/>
    <n v="72119"/>
    <n v="131"/>
    <n v="75716"/>
    <n v="0"/>
    <n v="0"/>
    <n v="0"/>
    <n v="0"/>
    <m/>
    <m/>
    <m/>
    <m/>
    <n v="246"/>
    <n v="1412335"/>
    <n v="262"/>
    <n v="1546523"/>
    <m/>
    <m/>
    <n v="0"/>
    <n v="0"/>
    <m/>
    <m/>
    <m/>
    <m/>
    <m/>
    <m/>
    <m/>
    <m/>
    <m/>
    <m/>
    <m/>
    <m/>
    <m/>
    <m/>
    <m/>
    <m/>
    <m/>
    <m/>
    <n v="0"/>
    <n v="0"/>
    <m/>
    <m/>
    <m/>
    <m/>
    <m/>
    <m/>
    <n v="0"/>
    <n v="0"/>
    <m/>
    <m/>
    <m/>
    <m/>
    <n v="0"/>
    <n v="0"/>
    <n v="0"/>
    <n v="0"/>
  </r>
  <r>
    <x v="13"/>
    <s v="Central Texas College "/>
    <m/>
    <n v="223816"/>
    <x v="6"/>
    <n v="81"/>
    <n v="637147"/>
    <n v="82"/>
    <n v="634291"/>
    <n v="69"/>
    <n v="453441"/>
    <n v="67"/>
    <n v="451657"/>
    <m/>
    <m/>
    <m/>
    <m/>
    <m/>
    <m/>
    <m/>
    <m/>
    <n v="81"/>
    <n v="3645"/>
    <n v="82"/>
    <n v="15498"/>
    <n v="81"/>
    <n v="34682"/>
    <n v="82"/>
    <n v="12640"/>
    <n v="81"/>
    <n v="72255"/>
    <n v="82"/>
    <n v="71820"/>
    <n v="9"/>
    <n v="3874"/>
    <n v="6"/>
    <n v="3386"/>
    <m/>
    <m/>
    <m/>
    <m/>
    <n v="81"/>
    <n v="1205044"/>
    <n v="82"/>
    <n v="1189292"/>
    <n v="170"/>
    <n v="1147278"/>
    <n v="165"/>
    <n v="1170102"/>
    <n v="80"/>
    <n v="521154"/>
    <n v="77"/>
    <n v="515158"/>
    <m/>
    <m/>
    <m/>
    <m/>
    <m/>
    <m/>
    <m/>
    <m/>
    <n v="170"/>
    <n v="7650"/>
    <n v="165"/>
    <n v="31185"/>
    <n v="170"/>
    <n v="69366"/>
    <n v="165"/>
    <n v="25438"/>
    <n v="170"/>
    <n v="144506"/>
    <n v="165"/>
    <n v="144538"/>
    <n v="21"/>
    <n v="13153"/>
    <n v="15"/>
    <n v="10843"/>
    <m/>
    <m/>
    <m/>
    <m/>
    <n v="170"/>
    <n v="1903107"/>
    <n v="165"/>
    <n v="1897264"/>
  </r>
  <r>
    <x v="13"/>
    <s v="Collin County Community College District"/>
    <m/>
    <n v="247834"/>
    <x v="6"/>
    <n v="322"/>
    <n v="1220524"/>
    <n v="440"/>
    <n v="1742573"/>
    <n v="322"/>
    <n v="1938653"/>
    <n v="329"/>
    <n v="2499163"/>
    <m/>
    <m/>
    <m/>
    <m/>
    <n v="322"/>
    <n v="252277"/>
    <n v="345"/>
    <n v="281813"/>
    <n v="322"/>
    <n v="6751"/>
    <n v="345"/>
    <n v="7769"/>
    <n v="322"/>
    <n v="8578"/>
    <n v="329"/>
    <n v="8804"/>
    <n v="322"/>
    <n v="15170"/>
    <n v="345"/>
    <n v="19292"/>
    <n v="0"/>
    <n v="0"/>
    <n v="0"/>
    <n v="0"/>
    <m/>
    <m/>
    <m/>
    <m/>
    <n v="322"/>
    <n v="3441953"/>
    <n v="440"/>
    <n v="4559414"/>
    <n v="3"/>
    <n v="9518"/>
    <n v="2"/>
    <n v="6294"/>
    <n v="3"/>
    <n v="20532"/>
    <n v="2"/>
    <n v="15192"/>
    <m/>
    <m/>
    <m/>
    <m/>
    <n v="3"/>
    <n v="2133"/>
    <n v="2"/>
    <n v="1632"/>
    <n v="3"/>
    <n v="63"/>
    <n v="2"/>
    <n v="45"/>
    <n v="3"/>
    <n v="80"/>
    <n v="2"/>
    <n v="54"/>
    <n v="3"/>
    <n v="156"/>
    <n v="2"/>
    <n v="112"/>
    <n v="0"/>
    <n v="0"/>
    <n v="0"/>
    <n v="0"/>
    <m/>
    <m/>
    <m/>
    <m/>
    <n v="3"/>
    <n v="32482"/>
    <n v="2"/>
    <n v="23329"/>
  </r>
  <r>
    <x v="13"/>
    <s v="Del Mar College "/>
    <m/>
    <n v="224350"/>
    <x v="6"/>
    <n v="290"/>
    <n v="1259511"/>
    <n v="283"/>
    <n v="1229069"/>
    <n v="290"/>
    <n v="1553704"/>
    <n v="283"/>
    <n v="1516314"/>
    <n v="290"/>
    <n v="142572"/>
    <n v="283"/>
    <n v="139236"/>
    <n v="290"/>
    <n v="1211858"/>
    <n v="283"/>
    <n v="1182657"/>
    <n v="290"/>
    <n v="20594"/>
    <n v="283"/>
    <n v="20093"/>
    <n v="290"/>
    <n v="66100"/>
    <n v="283"/>
    <n v="64524"/>
    <n v="290"/>
    <n v="76038"/>
    <n v="283"/>
    <n v="74146"/>
    <n v="0"/>
    <n v="0"/>
    <n v="0"/>
    <n v="0"/>
    <m/>
    <m/>
    <m/>
    <m/>
    <n v="290"/>
    <n v="4330377"/>
    <n v="283"/>
    <n v="4226039"/>
    <n v="4"/>
    <n v="28750"/>
    <n v="3"/>
    <n v="21564"/>
    <n v="4"/>
    <n v="27465"/>
    <n v="3"/>
    <n v="20598"/>
    <n v="4"/>
    <n v="3254"/>
    <n v="3"/>
    <n v="2442"/>
    <n v="4"/>
    <n v="27662"/>
    <n v="3"/>
    <n v="20748"/>
    <n v="4"/>
    <n v="470"/>
    <n v="3"/>
    <n v="354"/>
    <n v="4"/>
    <n v="2952"/>
    <n v="3"/>
    <n v="2214"/>
    <n v="4"/>
    <n v="1736"/>
    <n v="3"/>
    <n v="1302"/>
    <n v="0"/>
    <n v="0"/>
    <n v="0"/>
    <n v="0"/>
    <m/>
    <m/>
    <m/>
    <m/>
    <n v="4"/>
    <n v="92289"/>
    <n v="3"/>
    <n v="69222"/>
  </r>
  <r>
    <x v="13"/>
    <s v="Eastfield College (DCCCD)"/>
    <m/>
    <n v="224572"/>
    <x v="6"/>
    <n v="118"/>
    <n v="515595"/>
    <n v="120"/>
    <n v="515147"/>
    <n v="118"/>
    <n v="707887"/>
    <n v="121"/>
    <n v="777033"/>
    <m/>
    <m/>
    <m/>
    <m/>
    <m/>
    <m/>
    <m/>
    <m/>
    <n v="119"/>
    <n v="69906"/>
    <n v="121"/>
    <n v="69689"/>
    <n v="238"/>
    <n v="4884"/>
    <n v="242"/>
    <n v="5053"/>
    <n v="119"/>
    <n v="69906"/>
    <n v="121"/>
    <n v="69689"/>
    <n v="0"/>
    <n v="0"/>
    <n v="0"/>
    <n v="0"/>
    <m/>
    <m/>
    <m/>
    <m/>
    <n v="238"/>
    <n v="1368178"/>
    <n v="242"/>
    <n v="1436611"/>
    <m/>
    <m/>
    <n v="0"/>
    <n v="0"/>
    <m/>
    <m/>
    <m/>
    <m/>
    <m/>
    <m/>
    <m/>
    <m/>
    <m/>
    <m/>
    <m/>
    <m/>
    <m/>
    <m/>
    <m/>
    <m/>
    <m/>
    <m/>
    <n v="0"/>
    <n v="0"/>
    <m/>
    <m/>
    <m/>
    <m/>
    <m/>
    <m/>
    <n v="0"/>
    <n v="0"/>
    <m/>
    <m/>
    <m/>
    <m/>
    <n v="0"/>
    <n v="0"/>
    <n v="0"/>
    <n v="0"/>
  </r>
  <r>
    <x v="13"/>
    <s v="El Paso County Community College District"/>
    <m/>
    <n v="224642"/>
    <x v="6"/>
    <n v="398"/>
    <n v="1860945"/>
    <n v="389"/>
    <n v="1909720"/>
    <n v="396"/>
    <n v="2256682"/>
    <n v="385"/>
    <n v="2348960"/>
    <n v="374"/>
    <n v="178817"/>
    <n v="364"/>
    <n v="180831"/>
    <n v="326"/>
    <n v="282402"/>
    <n v="318"/>
    <n v="294518"/>
    <n v="396"/>
    <n v="53460"/>
    <n v="382"/>
    <n v="51570"/>
    <n v="392"/>
    <n v="9930"/>
    <n v="380"/>
    <n v="9674"/>
    <n v="396"/>
    <n v="252299"/>
    <n v="382"/>
    <n v="248228"/>
    <n v="373"/>
    <n v="86426"/>
    <n v="360"/>
    <n v="57210"/>
    <m/>
    <m/>
    <m/>
    <m/>
    <n v="398"/>
    <n v="4980961"/>
    <n v="389"/>
    <n v="5100711"/>
    <m/>
    <m/>
    <n v="22"/>
    <n v="81242"/>
    <m/>
    <m/>
    <n v="23"/>
    <n v="144080"/>
    <m/>
    <m/>
    <n v="21"/>
    <n v="6938"/>
    <m/>
    <m/>
    <n v="23"/>
    <n v="17167"/>
    <m/>
    <m/>
    <n v="23"/>
    <n v="3105"/>
    <m/>
    <m/>
    <n v="23"/>
    <n v="584"/>
    <m/>
    <m/>
    <n v="23"/>
    <n v="13835"/>
    <m/>
    <m/>
    <n v="16"/>
    <n v="1501"/>
    <m/>
    <m/>
    <m/>
    <m/>
    <n v="0"/>
    <n v="0"/>
    <n v="23"/>
    <n v="268452"/>
  </r>
  <r>
    <x v="13"/>
    <s v="Houston Community College"/>
    <m/>
    <n v="225423"/>
    <x v="6"/>
    <n v="509"/>
    <n v="1956513"/>
    <n v="537"/>
    <n v="2131761"/>
    <n v="506"/>
    <n v="2942729"/>
    <n v="534"/>
    <n v="3407199"/>
    <n v="473"/>
    <n v="239174"/>
    <n v="503"/>
    <n v="230209"/>
    <m/>
    <m/>
    <m/>
    <m/>
    <m/>
    <m/>
    <m/>
    <m/>
    <n v="507"/>
    <n v="13453"/>
    <n v="536"/>
    <n v="14219"/>
    <m/>
    <m/>
    <m/>
    <m/>
    <n v="0"/>
    <n v="0"/>
    <n v="0"/>
    <n v="0"/>
    <m/>
    <m/>
    <m/>
    <m/>
    <n v="509"/>
    <n v="5151869"/>
    <n v="537"/>
    <n v="5783388"/>
    <n v="305"/>
    <n v="1641203"/>
    <n v="344"/>
    <n v="1899081"/>
    <n v="300"/>
    <n v="1819818"/>
    <n v="339"/>
    <n v="2293500"/>
    <n v="286"/>
    <n v="139775"/>
    <n v="315"/>
    <n v="141637"/>
    <m/>
    <m/>
    <m/>
    <m/>
    <m/>
    <m/>
    <m/>
    <m/>
    <n v="300"/>
    <n v="7519"/>
    <n v="335"/>
    <n v="8412"/>
    <m/>
    <m/>
    <m/>
    <m/>
    <n v="0"/>
    <n v="0"/>
    <n v="0"/>
    <n v="0"/>
    <m/>
    <m/>
    <m/>
    <m/>
    <n v="305"/>
    <n v="3608315"/>
    <n v="344"/>
    <n v="4342630"/>
  </r>
  <r>
    <x v="13"/>
    <s v="Laredo Community College "/>
    <m/>
    <n v="226134"/>
    <x v="6"/>
    <n v="185"/>
    <n v="657148"/>
    <n v="184"/>
    <n v="663658"/>
    <n v="181"/>
    <n v="1300174"/>
    <n v="179"/>
    <n v="1378704"/>
    <m/>
    <m/>
    <m/>
    <m/>
    <n v="185"/>
    <n v="777737"/>
    <n v="184"/>
    <n v="780226"/>
    <n v="185"/>
    <n v="15168"/>
    <n v="184"/>
    <n v="24457"/>
    <n v="0"/>
    <n v="0"/>
    <n v="0"/>
    <n v="0"/>
    <n v="185"/>
    <n v="20028"/>
    <n v="184"/>
    <n v="10046"/>
    <n v="14"/>
    <n v="12122"/>
    <n v="23"/>
    <n v="26885"/>
    <m/>
    <m/>
    <m/>
    <m/>
    <n v="185"/>
    <n v="2782377"/>
    <n v="184"/>
    <n v="2883976"/>
    <n v="13"/>
    <n v="56961"/>
    <n v="13"/>
    <n v="57328"/>
    <n v="13"/>
    <n v="91880"/>
    <n v="13"/>
    <n v="102485"/>
    <m/>
    <m/>
    <m/>
    <m/>
    <n v="13"/>
    <n v="67159"/>
    <n v="13"/>
    <n v="67466"/>
    <n v="13"/>
    <n v="1310"/>
    <n v="13"/>
    <n v="2115"/>
    <n v="0"/>
    <n v="0"/>
    <n v="0"/>
    <n v="0"/>
    <n v="13"/>
    <n v="1729"/>
    <n v="13"/>
    <n v="869"/>
    <n v="1"/>
    <n v="308"/>
    <n v="0"/>
    <n v="0"/>
    <m/>
    <m/>
    <m/>
    <m/>
    <n v="13"/>
    <n v="219347"/>
    <n v="13"/>
    <n v="230263"/>
  </r>
  <r>
    <x v="13"/>
    <s v="Lone Star College System District"/>
    <m/>
    <n v="227182"/>
    <x v="6"/>
    <n v="481"/>
    <n v="2067425"/>
    <n v="599"/>
    <n v="2988532"/>
    <n v="570"/>
    <n v="3509964"/>
    <n v="561"/>
    <n v="3892478"/>
    <n v="575"/>
    <n v="263428"/>
    <n v="578"/>
    <n v="274565"/>
    <m/>
    <m/>
    <m/>
    <m/>
    <n v="589"/>
    <n v="72881"/>
    <n v="599"/>
    <n v="36569"/>
    <n v="565"/>
    <n v="266368"/>
    <n v="599"/>
    <n v="344826"/>
    <n v="589"/>
    <n v="3611"/>
    <n v="599"/>
    <n v="4010"/>
    <n v="0"/>
    <n v="0"/>
    <n v="0"/>
    <n v="0"/>
    <m/>
    <m/>
    <m/>
    <m/>
    <n v="589"/>
    <n v="6183677"/>
    <n v="599"/>
    <n v="7540980"/>
    <n v="68"/>
    <n v="307942"/>
    <n v="66"/>
    <n v="323601"/>
    <n v="59"/>
    <n v="386557"/>
    <n v="60"/>
    <n v="439205"/>
    <n v="61"/>
    <n v="28882"/>
    <n v="65"/>
    <n v="27202"/>
    <m/>
    <m/>
    <m/>
    <m/>
    <n v="63"/>
    <n v="7780"/>
    <n v="66"/>
    <n v="4029"/>
    <n v="60"/>
    <n v="23167"/>
    <n v="66"/>
    <n v="30445"/>
    <n v="59"/>
    <n v="418"/>
    <n v="66"/>
    <n v="455"/>
    <n v="0"/>
    <n v="0"/>
    <n v="0"/>
    <n v="0"/>
    <m/>
    <m/>
    <m/>
    <m/>
    <n v="68"/>
    <n v="754746"/>
    <n v="66"/>
    <n v="824937"/>
  </r>
  <r>
    <x v="13"/>
    <s v="McLennan Community College "/>
    <m/>
    <n v="226578"/>
    <x v="6"/>
    <n v="139"/>
    <n v="738461"/>
    <n v="143"/>
    <n v="788480"/>
    <n v="157"/>
    <n v="1004879"/>
    <n v="169"/>
    <n v="1140071"/>
    <m/>
    <m/>
    <m/>
    <m/>
    <n v="143"/>
    <n v="121504"/>
    <n v="151"/>
    <n v="128900"/>
    <n v="186"/>
    <n v="16858"/>
    <n v="190"/>
    <n v="16733"/>
    <n v="0"/>
    <n v="0"/>
    <n v="0"/>
    <n v="0"/>
    <n v="186"/>
    <n v="34881"/>
    <n v="190"/>
    <n v="36531"/>
    <n v="29"/>
    <n v="24576"/>
    <n v="28"/>
    <n v="25700"/>
    <m/>
    <m/>
    <m/>
    <m/>
    <n v="186"/>
    <n v="1941159"/>
    <n v="190"/>
    <n v="2136415"/>
    <n v="12"/>
    <n v="54088"/>
    <n v="15"/>
    <n v="73045"/>
    <n v="16"/>
    <n v="104367"/>
    <n v="18"/>
    <n v="126720"/>
    <m/>
    <m/>
    <m/>
    <m/>
    <n v="19"/>
    <n v="15803"/>
    <n v="20"/>
    <n v="17158"/>
    <n v="19"/>
    <n v="1625"/>
    <n v="20"/>
    <n v="1673"/>
    <n v="0"/>
    <n v="0"/>
    <n v="0"/>
    <n v="0"/>
    <n v="19"/>
    <n v="3361"/>
    <n v="20"/>
    <n v="3653"/>
    <n v="4"/>
    <n v="2166"/>
    <n v="6"/>
    <n v="4294"/>
    <m/>
    <m/>
    <m/>
    <m/>
    <n v="19"/>
    <n v="181410"/>
    <n v="20"/>
    <n v="226543"/>
  </r>
  <r>
    <x v="13"/>
    <s v="Navarro College "/>
    <m/>
    <n v="227146"/>
    <x v="6"/>
    <n v="74"/>
    <n v="391298"/>
    <n v="65"/>
    <n v="290405"/>
    <n v="90"/>
    <n v="523445"/>
    <n v="86"/>
    <n v="540216"/>
    <m/>
    <m/>
    <m/>
    <m/>
    <m/>
    <m/>
    <m/>
    <m/>
    <n v="92"/>
    <n v="10227"/>
    <n v="86"/>
    <n v="11098"/>
    <n v="0"/>
    <n v="0"/>
    <n v="0"/>
    <n v="0"/>
    <n v="92"/>
    <n v="33020"/>
    <n v="86"/>
    <n v="46980"/>
    <n v="2"/>
    <n v="801"/>
    <n v="9"/>
    <n v="4302"/>
    <m/>
    <m/>
    <m/>
    <m/>
    <n v="92"/>
    <n v="958791"/>
    <n v="86"/>
    <n v="893001"/>
    <n v="20"/>
    <n v="131757"/>
    <n v="15"/>
    <n v="77367"/>
    <n v="27"/>
    <n v="177409"/>
    <n v="36"/>
    <n v="216012"/>
    <m/>
    <m/>
    <m/>
    <m/>
    <m/>
    <m/>
    <m/>
    <m/>
    <n v="31"/>
    <n v="3764"/>
    <n v="36"/>
    <n v="5273"/>
    <n v="0"/>
    <n v="0"/>
    <n v="0"/>
    <n v="0"/>
    <n v="31"/>
    <n v="12156"/>
    <n v="36"/>
    <n v="22320"/>
    <n v="0"/>
    <n v="0"/>
    <n v="1"/>
    <n v="302"/>
    <m/>
    <m/>
    <m/>
    <m/>
    <n v="31"/>
    <n v="325086"/>
    <n v="36"/>
    <n v="321274"/>
  </r>
  <r>
    <x v="13"/>
    <s v="North Lake College (DCCCD)"/>
    <m/>
    <n v="227191"/>
    <x v="6"/>
    <n v="109"/>
    <n v="459297"/>
    <n v="104"/>
    <n v="451356"/>
    <n v="106"/>
    <n v="616208"/>
    <n v="102"/>
    <n v="651432"/>
    <m/>
    <m/>
    <m/>
    <m/>
    <m/>
    <m/>
    <m/>
    <m/>
    <n v="109"/>
    <n v="62812"/>
    <n v="104"/>
    <n v="60700"/>
    <n v="218"/>
    <n v="4500"/>
    <n v="208"/>
    <n v="4343"/>
    <n v="109"/>
    <n v="62812"/>
    <n v="104"/>
    <n v="60700"/>
    <n v="0"/>
    <n v="0"/>
    <n v="0"/>
    <n v="0"/>
    <m/>
    <m/>
    <m/>
    <m/>
    <n v="218"/>
    <n v="1205629"/>
    <n v="208"/>
    <n v="1228531"/>
    <m/>
    <m/>
    <n v="0"/>
    <n v="0"/>
    <m/>
    <m/>
    <m/>
    <m/>
    <m/>
    <m/>
    <m/>
    <m/>
    <m/>
    <m/>
    <m/>
    <m/>
    <m/>
    <m/>
    <m/>
    <m/>
    <m/>
    <m/>
    <n v="0"/>
    <n v="0"/>
    <m/>
    <m/>
    <m/>
    <m/>
    <m/>
    <m/>
    <n v="0"/>
    <n v="0"/>
    <m/>
    <m/>
    <m/>
    <m/>
    <n v="0"/>
    <n v="0"/>
    <n v="0"/>
    <n v="0"/>
  </r>
  <r>
    <x v="13"/>
    <s v="Northwest Vista College (ACCD)"/>
    <m/>
    <n v="420398"/>
    <x v="6"/>
    <n v="125"/>
    <n v="392816"/>
    <n v="133"/>
    <n v="458471"/>
    <n v="112"/>
    <n v="652992"/>
    <n v="116"/>
    <n v="687813"/>
    <n v="125"/>
    <n v="24901"/>
    <n v="133"/>
    <n v="20351"/>
    <n v="125"/>
    <n v="451854"/>
    <n v="133"/>
    <n v="486522"/>
    <n v="125"/>
    <n v="5375"/>
    <n v="133"/>
    <n v="5787"/>
    <n v="125"/>
    <n v="12935"/>
    <n v="133"/>
    <n v="13927"/>
    <n v="125"/>
    <n v="9451"/>
    <n v="133"/>
    <n v="10175"/>
    <n v="0"/>
    <n v="0"/>
    <n v="0"/>
    <n v="0"/>
    <m/>
    <m/>
    <m/>
    <m/>
    <n v="125"/>
    <n v="1550324"/>
    <n v="133"/>
    <n v="1683046"/>
    <n v="10"/>
    <n v="36286"/>
    <n v="8"/>
    <n v="31007"/>
    <n v="9"/>
    <n v="58256"/>
    <n v="7"/>
    <n v="53007"/>
    <n v="10"/>
    <n v="2264"/>
    <n v="8"/>
    <n v="1514"/>
    <n v="10"/>
    <n v="42659"/>
    <n v="8"/>
    <n v="36210"/>
    <n v="10"/>
    <n v="507"/>
    <n v="8"/>
    <n v="430"/>
    <n v="10"/>
    <n v="1221"/>
    <n v="8"/>
    <n v="1036"/>
    <n v="10"/>
    <n v="892"/>
    <n v="8"/>
    <n v="757"/>
    <n v="0"/>
    <n v="0"/>
    <n v="0"/>
    <n v="0"/>
    <m/>
    <m/>
    <m/>
    <m/>
    <n v="10"/>
    <n v="142085"/>
    <n v="8"/>
    <n v="123961"/>
  </r>
  <r>
    <x v="13"/>
    <s v="Palo Alto College (ACCD)"/>
    <m/>
    <n v="246354"/>
    <x v="6"/>
    <n v="120"/>
    <n v="488086"/>
    <n v="116"/>
    <n v="653094"/>
    <n v="109"/>
    <n v="639404"/>
    <n v="105"/>
    <n v="708841"/>
    <n v="120"/>
    <n v="26909"/>
    <n v="116"/>
    <n v="20803"/>
    <n v="120"/>
    <n v="505595"/>
    <n v="116"/>
    <n v="497331"/>
    <n v="120"/>
    <n v="6014"/>
    <n v="116"/>
    <n v="5916"/>
    <n v="120"/>
    <n v="14474"/>
    <n v="116"/>
    <n v="14237"/>
    <n v="120"/>
    <n v="10575"/>
    <n v="116"/>
    <n v="10402"/>
    <n v="0"/>
    <n v="0"/>
    <n v="0"/>
    <n v="0"/>
    <m/>
    <m/>
    <m/>
    <m/>
    <n v="120"/>
    <n v="1691057"/>
    <n v="116"/>
    <n v="1910624"/>
    <n v="9"/>
    <n v="37556"/>
    <n v="8"/>
    <n v="45378"/>
    <n v="9"/>
    <n v="57029"/>
    <n v="8"/>
    <n v="47623"/>
    <n v="9"/>
    <n v="2124"/>
    <n v="8"/>
    <n v="1588"/>
    <n v="9"/>
    <n v="40457"/>
    <n v="8"/>
    <n v="37975"/>
    <n v="9"/>
    <n v="481"/>
    <n v="8"/>
    <n v="452"/>
    <n v="9"/>
    <n v="1158"/>
    <n v="8"/>
    <n v="1087"/>
    <n v="9"/>
    <n v="846"/>
    <n v="8"/>
    <n v="794"/>
    <n v="0"/>
    <n v="0"/>
    <n v="0"/>
    <n v="0"/>
    <m/>
    <m/>
    <m/>
    <m/>
    <n v="9"/>
    <n v="139651"/>
    <n v="8"/>
    <n v="134897"/>
  </r>
  <r>
    <x v="13"/>
    <s v="Richland College (DCCCD)"/>
    <m/>
    <n v="227766"/>
    <x v="6"/>
    <n v="148"/>
    <n v="733101"/>
    <n v="156"/>
    <n v="748614"/>
    <n v="147"/>
    <n v="855557"/>
    <n v="156"/>
    <n v="957173"/>
    <m/>
    <m/>
    <m/>
    <m/>
    <m/>
    <m/>
    <m/>
    <m/>
    <n v="148"/>
    <n v="94842"/>
    <n v="156"/>
    <n v="97093"/>
    <n v="296"/>
    <n v="6110"/>
    <n v="312"/>
    <n v="6515"/>
    <n v="148"/>
    <n v="94842"/>
    <n v="156"/>
    <n v="97093"/>
    <n v="0"/>
    <n v="0"/>
    <n v="0"/>
    <n v="0"/>
    <m/>
    <m/>
    <m/>
    <m/>
    <n v="296"/>
    <n v="1784452"/>
    <n v="312"/>
    <n v="1906488"/>
    <m/>
    <m/>
    <n v="0"/>
    <n v="0"/>
    <m/>
    <m/>
    <m/>
    <m/>
    <m/>
    <m/>
    <m/>
    <m/>
    <m/>
    <m/>
    <m/>
    <m/>
    <m/>
    <m/>
    <m/>
    <m/>
    <m/>
    <m/>
    <n v="0"/>
    <n v="0"/>
    <m/>
    <m/>
    <m/>
    <m/>
    <m/>
    <m/>
    <n v="0"/>
    <n v="0"/>
    <m/>
    <m/>
    <m/>
    <m/>
    <n v="0"/>
    <n v="0"/>
    <n v="0"/>
    <n v="0"/>
  </r>
  <r>
    <x v="13"/>
    <s v="San Antonio College (ACCD)"/>
    <m/>
    <n v="227924"/>
    <x v="6"/>
    <n v="788"/>
    <n v="3429868"/>
    <n v="756"/>
    <n v="4728954"/>
    <n v="734"/>
    <n v="4220310"/>
    <n v="700"/>
    <n v="4145132"/>
    <n v="796"/>
    <n v="184928"/>
    <n v="756"/>
    <n v="141712"/>
    <n v="796"/>
    <n v="3507538"/>
    <n v="756"/>
    <n v="3387780"/>
    <n v="796"/>
    <n v="41726"/>
    <n v="756"/>
    <n v="40300"/>
    <n v="796"/>
    <n v="100412"/>
    <n v="756"/>
    <n v="96984"/>
    <n v="796"/>
    <n v="73360"/>
    <n v="756"/>
    <n v="70856"/>
    <n v="0"/>
    <n v="0"/>
    <n v="0"/>
    <n v="0"/>
    <m/>
    <m/>
    <m/>
    <m/>
    <n v="796"/>
    <n v="11558142"/>
    <n v="756"/>
    <n v="12611718"/>
    <n v="68"/>
    <n v="368542"/>
    <n v="66"/>
    <n v="559020"/>
    <n v="66"/>
    <n v="374460"/>
    <n v="62"/>
    <n v="341412"/>
    <n v="68"/>
    <n v="18608"/>
    <n v="66"/>
    <n v="15740"/>
    <n v="68"/>
    <n v="366808"/>
    <n v="66"/>
    <n v="376296"/>
    <n v="68"/>
    <n v="4364"/>
    <n v="66"/>
    <n v="4476"/>
    <n v="68"/>
    <n v="10500"/>
    <n v="66"/>
    <n v="10772"/>
    <n v="68"/>
    <n v="7672"/>
    <n v="66"/>
    <n v="7870"/>
    <n v="0"/>
    <n v="0"/>
    <n v="0"/>
    <n v="0"/>
    <m/>
    <m/>
    <m/>
    <m/>
    <n v="68"/>
    <n v="1150954"/>
    <n v="66"/>
    <n v="1315586"/>
  </r>
  <r>
    <x v="13"/>
    <s v="San Jacinto College"/>
    <m/>
    <n v="227979"/>
    <x v="6"/>
    <n v="377"/>
    <n v="1716147"/>
    <n v="409"/>
    <n v="1416695"/>
    <n v="348"/>
    <n v="2362876"/>
    <n v="404"/>
    <n v="2726407"/>
    <n v="348"/>
    <n v="181219"/>
    <n v="405"/>
    <n v="213236"/>
    <n v="298"/>
    <n v="268190"/>
    <n v="360"/>
    <n v="303777"/>
    <n v="348"/>
    <n v="31601"/>
    <n v="405"/>
    <n v="19229"/>
    <n v="348"/>
    <n v="217203"/>
    <n v="395"/>
    <n v="225500"/>
    <n v="348"/>
    <n v="30989"/>
    <n v="405"/>
    <n v="19023"/>
    <n v="0"/>
    <n v="0"/>
    <n v="0"/>
    <n v="0"/>
    <m/>
    <m/>
    <m/>
    <m/>
    <n v="377"/>
    <n v="4808225"/>
    <n v="409"/>
    <n v="4923867"/>
    <n v="112"/>
    <n v="546660"/>
    <n v="105"/>
    <n v="461491"/>
    <n v="97"/>
    <n v="646944"/>
    <n v="107"/>
    <n v="742954"/>
    <n v="98"/>
    <n v="50192"/>
    <n v="107"/>
    <n v="55829"/>
    <n v="98"/>
    <n v="97236"/>
    <n v="96"/>
    <n v="103720"/>
    <n v="98"/>
    <n v="11496"/>
    <n v="107"/>
    <n v="16964"/>
    <n v="98"/>
    <n v="44282"/>
    <n v="107"/>
    <n v="50118"/>
    <n v="98"/>
    <n v="11274"/>
    <n v="107"/>
    <n v="6568"/>
    <n v="0"/>
    <n v="0"/>
    <n v="0"/>
    <n v="0"/>
    <m/>
    <m/>
    <m/>
    <m/>
    <n v="112"/>
    <n v="1408084"/>
    <n v="107"/>
    <n v="1437644"/>
  </r>
  <r>
    <x v="13"/>
    <s v="South Plains College "/>
    <m/>
    <n v="228158"/>
    <x v="6"/>
    <n v="482"/>
    <n v="1616628"/>
    <n v="494"/>
    <n v="1682070"/>
    <n v="241"/>
    <n v="951950"/>
    <n v="247"/>
    <n v="988000"/>
    <m/>
    <m/>
    <m/>
    <m/>
    <n v="241"/>
    <n v="662509"/>
    <n v="247"/>
    <n v="688389"/>
    <n v="241"/>
    <n v="166531"/>
    <n v="247"/>
    <n v="173394"/>
    <n v="0"/>
    <n v="0"/>
    <n v="0"/>
    <n v="0"/>
    <n v="241"/>
    <n v="70613"/>
    <n v="247"/>
    <n v="76323"/>
    <n v="0"/>
    <n v="0"/>
    <n v="0"/>
    <n v="0"/>
    <m/>
    <m/>
    <m/>
    <m/>
    <n v="482"/>
    <n v="3468231"/>
    <n v="494"/>
    <n v="3608176"/>
    <n v="62"/>
    <n v="214985"/>
    <n v="64"/>
    <n v="223264"/>
    <n v="31"/>
    <n v="174809"/>
    <n v="32"/>
    <n v="181024"/>
    <m/>
    <m/>
    <m/>
    <m/>
    <n v="31"/>
    <n v="86211"/>
    <n v="32"/>
    <n v="89344"/>
    <n v="31"/>
    <n v="19716"/>
    <n v="32"/>
    <n v="20576"/>
    <n v="0"/>
    <n v="0"/>
    <n v="0"/>
    <n v="0"/>
    <n v="31"/>
    <n v="8494"/>
    <n v="32"/>
    <n v="9024"/>
    <n v="0"/>
    <n v="0"/>
    <n v="0"/>
    <n v="0"/>
    <m/>
    <m/>
    <m/>
    <m/>
    <n v="62"/>
    <n v="504215"/>
    <n v="64"/>
    <n v="523232"/>
  </r>
  <r>
    <x v="13"/>
    <s v="St. Philip's College (ACCD)"/>
    <m/>
    <n v="227854"/>
    <x v="6"/>
    <n v="192"/>
    <n v="705257"/>
    <n v="187"/>
    <n v="912754"/>
    <n v="169"/>
    <n v="967241"/>
    <n v="159"/>
    <n v="1025257"/>
    <n v="192"/>
    <n v="40521"/>
    <n v="187"/>
    <n v="31182"/>
    <n v="192"/>
    <n v="748386"/>
    <n v="187"/>
    <n v="745434"/>
    <n v="192"/>
    <n v="8903"/>
    <n v="187"/>
    <n v="8867"/>
    <n v="192"/>
    <n v="21424"/>
    <n v="187"/>
    <n v="21340"/>
    <n v="192"/>
    <n v="15653"/>
    <n v="187"/>
    <n v="15591"/>
    <n v="0"/>
    <n v="0"/>
    <n v="0"/>
    <n v="0"/>
    <m/>
    <m/>
    <m/>
    <m/>
    <n v="192"/>
    <n v="2507385"/>
    <n v="187"/>
    <n v="2760425"/>
    <n v="21"/>
    <n v="98161"/>
    <n v="15"/>
    <n v="110209"/>
    <n v="16"/>
    <n v="91304"/>
    <n v="13"/>
    <n v="86424"/>
    <n v="21"/>
    <n v="5259"/>
    <n v="15"/>
    <n v="3224"/>
    <n v="21"/>
    <n v="101618"/>
    <n v="15"/>
    <n v="77078"/>
    <n v="21"/>
    <n v="1209"/>
    <n v="15"/>
    <n v="917"/>
    <n v="21"/>
    <n v="2909"/>
    <n v="15"/>
    <n v="2207"/>
    <n v="21"/>
    <n v="2125"/>
    <n v="15"/>
    <n v="1612"/>
    <n v="0"/>
    <n v="0"/>
    <n v="0"/>
    <n v="0"/>
    <m/>
    <m/>
    <m/>
    <m/>
    <n v="21"/>
    <n v="302585"/>
    <n v="15"/>
    <n v="281671"/>
  </r>
  <r>
    <x v="13"/>
    <s v="Tarrant County College"/>
    <m/>
    <n v="228547"/>
    <x v="6"/>
    <n v="1227"/>
    <n v="6777732"/>
    <n v="1207"/>
    <n v="7071697"/>
    <n v="585"/>
    <n v="101604"/>
    <n v="572"/>
    <n v="107952"/>
    <m/>
    <m/>
    <m/>
    <m/>
    <n v="642"/>
    <n v="2858551"/>
    <n v="635"/>
    <n v="2917415"/>
    <n v="642"/>
    <n v="224200"/>
    <n v="635"/>
    <n v="228817"/>
    <n v="585"/>
    <n v="6180"/>
    <n v="572"/>
    <n v="6984"/>
    <n v="642"/>
    <n v="29893"/>
    <n v="635"/>
    <n v="30509"/>
    <n v="0"/>
    <n v="0"/>
    <n v="0"/>
    <n v="0"/>
    <m/>
    <m/>
    <m/>
    <m/>
    <n v="1227"/>
    <n v="9998160"/>
    <n v="1207"/>
    <n v="10363374"/>
    <n v="36"/>
    <n v="248962"/>
    <n v="38"/>
    <n v="261879"/>
    <n v="18"/>
    <n v="2460"/>
    <n v="19"/>
    <n v="2460"/>
    <m/>
    <m/>
    <m/>
    <m/>
    <n v="18"/>
    <n v="109288"/>
    <n v="19"/>
    <n v="115698"/>
    <n v="18"/>
    <n v="8572"/>
    <n v="19"/>
    <n v="9074"/>
    <n v="18"/>
    <n v="216"/>
    <n v="19"/>
    <n v="216"/>
    <n v="18"/>
    <n v="1143"/>
    <n v="19"/>
    <n v="1210"/>
    <n v="0"/>
    <n v="0"/>
    <n v="0"/>
    <n v="0"/>
    <m/>
    <m/>
    <m/>
    <m/>
    <n v="36"/>
    <n v="370641"/>
    <n v="38"/>
    <n v="390537"/>
  </r>
  <r>
    <x v="13"/>
    <s v="Texas Southmost College "/>
    <m/>
    <n v="229072"/>
    <x v="6"/>
    <m/>
    <m/>
    <n v="0"/>
    <n v="0"/>
    <m/>
    <m/>
    <m/>
    <m/>
    <m/>
    <m/>
    <m/>
    <m/>
    <m/>
    <m/>
    <m/>
    <m/>
    <m/>
    <m/>
    <m/>
    <m/>
    <m/>
    <m/>
    <n v="0"/>
    <n v="0"/>
    <m/>
    <m/>
    <m/>
    <m/>
    <m/>
    <m/>
    <n v="0"/>
    <n v="0"/>
    <m/>
    <m/>
    <m/>
    <m/>
    <n v="0"/>
    <n v="0"/>
    <n v="0"/>
    <n v="0"/>
    <m/>
    <m/>
    <n v="0"/>
    <n v="0"/>
    <m/>
    <m/>
    <m/>
    <m/>
    <m/>
    <m/>
    <m/>
    <m/>
    <m/>
    <m/>
    <m/>
    <m/>
    <m/>
    <m/>
    <m/>
    <m/>
    <m/>
    <m/>
    <n v="0"/>
    <n v="0"/>
    <m/>
    <m/>
    <m/>
    <m/>
    <m/>
    <m/>
    <n v="0"/>
    <n v="0"/>
    <m/>
    <m/>
    <m/>
    <m/>
    <n v="0"/>
    <n v="0"/>
    <n v="0"/>
    <n v="0"/>
  </r>
  <r>
    <x v="13"/>
    <s v="Tyler Junior College "/>
    <m/>
    <n v="229355"/>
    <x v="6"/>
    <n v="216"/>
    <n v="826690"/>
    <n v="213"/>
    <n v="781905"/>
    <n v="216"/>
    <n v="1793664"/>
    <n v="210"/>
    <n v="1789200"/>
    <n v="216"/>
    <n v="76934"/>
    <n v="210"/>
    <n v="66877"/>
    <n v="170"/>
    <n v="117610"/>
    <n v="180"/>
    <n v="120640"/>
    <m/>
    <m/>
    <m/>
    <m/>
    <n v="216"/>
    <n v="25920"/>
    <n v="210"/>
    <n v="25200"/>
    <n v="216"/>
    <n v="14178"/>
    <n v="215"/>
    <n v="13915"/>
    <n v="0"/>
    <n v="0"/>
    <n v="0"/>
    <n v="0"/>
    <m/>
    <m/>
    <m/>
    <m/>
    <n v="216"/>
    <n v="2854996"/>
    <n v="215"/>
    <n v="2797737"/>
    <n v="57"/>
    <n v="221779"/>
    <n v="59"/>
    <n v="229141"/>
    <n v="57"/>
    <n v="473328"/>
    <n v="59"/>
    <n v="502680"/>
    <n v="57"/>
    <n v="22717"/>
    <n v="59"/>
    <n v="20933"/>
    <n v="56"/>
    <n v="45892"/>
    <n v="57"/>
    <n v="46331"/>
    <m/>
    <m/>
    <m/>
    <m/>
    <n v="57"/>
    <n v="6840"/>
    <n v="59"/>
    <n v="7080"/>
    <n v="57"/>
    <n v="4186"/>
    <n v="59"/>
    <n v="4356"/>
    <n v="0"/>
    <n v="0"/>
    <n v="0"/>
    <n v="0"/>
    <m/>
    <m/>
    <m/>
    <m/>
    <n v="57"/>
    <n v="774742"/>
    <n v="59"/>
    <n v="810521"/>
  </r>
  <r>
    <x v="13"/>
    <s v="Alvin Community College "/>
    <m/>
    <n v="222567"/>
    <x v="7"/>
    <n v="55"/>
    <n v="223261"/>
    <n v="54"/>
    <n v="218382"/>
    <n v="54"/>
    <n v="268620"/>
    <n v="54"/>
    <n v="282366"/>
    <n v="54"/>
    <n v="24000"/>
    <n v="54"/>
    <n v="26374"/>
    <m/>
    <m/>
    <m/>
    <m/>
    <n v="54"/>
    <n v="3500"/>
    <n v="54"/>
    <n v="6264"/>
    <n v="54"/>
    <n v="30000"/>
    <n v="54"/>
    <n v="32000"/>
    <n v="54"/>
    <n v="10000"/>
    <n v="54"/>
    <n v="8964"/>
    <n v="0"/>
    <n v="0"/>
    <n v="0"/>
    <n v="0"/>
    <m/>
    <m/>
    <m/>
    <m/>
    <n v="55"/>
    <n v="559381"/>
    <n v="54"/>
    <n v="574350"/>
    <n v="53"/>
    <n v="279059"/>
    <n v="55"/>
    <n v="292822"/>
    <n v="53"/>
    <n v="258852"/>
    <n v="55"/>
    <n v="287595"/>
    <n v="53"/>
    <n v="26000"/>
    <n v="55"/>
    <n v="29706"/>
    <m/>
    <m/>
    <m/>
    <m/>
    <n v="53"/>
    <n v="3500"/>
    <n v="55"/>
    <n v="6417"/>
    <n v="53"/>
    <n v="35000"/>
    <n v="55"/>
    <n v="39204"/>
    <n v="53"/>
    <n v="16000"/>
    <n v="55"/>
    <n v="18271"/>
    <n v="0"/>
    <n v="0"/>
    <n v="0"/>
    <n v="0"/>
    <m/>
    <m/>
    <m/>
    <m/>
    <n v="53"/>
    <n v="618411"/>
    <n v="55"/>
    <n v="674015"/>
  </r>
  <r>
    <x v="13"/>
    <s v="Angelina College "/>
    <m/>
    <n v="222822"/>
    <x v="7"/>
    <n v="90"/>
    <n v="275595"/>
    <n v="98"/>
    <n v="313873"/>
    <n v="87"/>
    <n v="578283"/>
    <n v="42"/>
    <n v="316205"/>
    <m/>
    <m/>
    <m/>
    <m/>
    <m/>
    <m/>
    <m/>
    <m/>
    <n v="92"/>
    <n v="11005"/>
    <n v="48"/>
    <n v="5699"/>
    <n v="87"/>
    <n v="2316"/>
    <n v="42"/>
    <n v="1119"/>
    <n v="92"/>
    <n v="44020"/>
    <n v="48"/>
    <n v="22796"/>
    <n v="0"/>
    <n v="0"/>
    <n v="0"/>
    <n v="0"/>
    <m/>
    <m/>
    <m/>
    <m/>
    <n v="92"/>
    <n v="911219"/>
    <n v="98"/>
    <n v="659692"/>
    <n v="26"/>
    <n v="86360"/>
    <n v="28"/>
    <n v="99167"/>
    <n v="24"/>
    <n v="135984"/>
    <n v="8"/>
    <n v="43471"/>
    <m/>
    <m/>
    <m/>
    <m/>
    <m/>
    <m/>
    <m/>
    <m/>
    <n v="26"/>
    <n v="3373"/>
    <n v="11"/>
    <n v="1282"/>
    <n v="24"/>
    <n v="636"/>
    <n v="8"/>
    <n v="213"/>
    <n v="26"/>
    <n v="13494"/>
    <n v="11"/>
    <n v="5128"/>
    <n v="0"/>
    <n v="0"/>
    <n v="0"/>
    <n v="0"/>
    <m/>
    <m/>
    <m/>
    <m/>
    <n v="26"/>
    <n v="239847"/>
    <n v="28"/>
    <n v="149261"/>
  </r>
  <r>
    <x v="13"/>
    <s v="Cedar Valley College (DCCCD)"/>
    <m/>
    <n v="223773"/>
    <x v="7"/>
    <n v="64"/>
    <n v="266003"/>
    <n v="64"/>
    <n v="265824"/>
    <n v="63"/>
    <n v="372111"/>
    <n v="63"/>
    <n v="390180"/>
    <m/>
    <m/>
    <m/>
    <m/>
    <m/>
    <m/>
    <m/>
    <m/>
    <n v="64"/>
    <n v="36212"/>
    <n v="64"/>
    <n v="36224"/>
    <n v="128"/>
    <n v="2642"/>
    <n v="128"/>
    <n v="2673"/>
    <n v="64"/>
    <n v="36212"/>
    <n v="64"/>
    <n v="36224"/>
    <n v="0"/>
    <n v="0"/>
    <n v="0"/>
    <n v="0"/>
    <m/>
    <m/>
    <m/>
    <m/>
    <n v="128"/>
    <n v="713180"/>
    <n v="128"/>
    <n v="731125"/>
    <m/>
    <m/>
    <n v="0"/>
    <n v="0"/>
    <m/>
    <m/>
    <m/>
    <m/>
    <m/>
    <m/>
    <m/>
    <m/>
    <m/>
    <m/>
    <m/>
    <m/>
    <m/>
    <m/>
    <m/>
    <m/>
    <m/>
    <m/>
    <n v="0"/>
    <n v="0"/>
    <m/>
    <m/>
    <m/>
    <m/>
    <m/>
    <m/>
    <n v="0"/>
    <n v="0"/>
    <m/>
    <m/>
    <m/>
    <m/>
    <n v="0"/>
    <n v="0"/>
    <n v="0"/>
    <n v="0"/>
  </r>
  <r>
    <x v="13"/>
    <s v="Cisco Junior College "/>
    <m/>
    <n v="223898"/>
    <x v="7"/>
    <n v="58"/>
    <n v="152999"/>
    <n v="57"/>
    <n v="147447"/>
    <n v="57"/>
    <n v="420193"/>
    <n v="53"/>
    <n v="417778"/>
    <m/>
    <m/>
    <m/>
    <m/>
    <m/>
    <m/>
    <m/>
    <m/>
    <m/>
    <m/>
    <m/>
    <m/>
    <n v="0"/>
    <n v="0"/>
    <n v="0"/>
    <n v="0"/>
    <n v="58"/>
    <n v="23906"/>
    <n v="57"/>
    <n v="22722"/>
    <n v="0"/>
    <n v="0"/>
    <n v="0"/>
    <n v="0"/>
    <m/>
    <m/>
    <m/>
    <m/>
    <n v="58"/>
    <n v="597098"/>
    <n v="57"/>
    <n v="587947"/>
    <n v="29"/>
    <n v="90057"/>
    <n v="29"/>
    <n v="92019"/>
    <n v="29"/>
    <n v="212292"/>
    <n v="26"/>
    <n v="228015"/>
    <m/>
    <m/>
    <m/>
    <m/>
    <m/>
    <m/>
    <m/>
    <m/>
    <m/>
    <m/>
    <m/>
    <m/>
    <n v="0"/>
    <n v="0"/>
    <n v="0"/>
    <n v="0"/>
    <n v="29"/>
    <n v="14071"/>
    <n v="29"/>
    <n v="14059"/>
    <n v="0"/>
    <n v="0"/>
    <n v="0"/>
    <n v="0"/>
    <m/>
    <m/>
    <m/>
    <m/>
    <n v="29"/>
    <n v="316420"/>
    <n v="29"/>
    <n v="334093"/>
  </r>
  <r>
    <x v="13"/>
    <s v="Coastal Bend College"/>
    <m/>
    <n v="223320"/>
    <x v="7"/>
    <n v="62"/>
    <n v="185139"/>
    <n v="65"/>
    <n v="198536"/>
    <n v="60"/>
    <n v="349636"/>
    <n v="63"/>
    <n v="390282"/>
    <m/>
    <m/>
    <m/>
    <m/>
    <n v="62"/>
    <n v="39688"/>
    <n v="65"/>
    <n v="42251"/>
    <n v="62"/>
    <n v="12177"/>
    <n v="65"/>
    <n v="13843"/>
    <n v="62"/>
    <n v="14195"/>
    <n v="65"/>
    <n v="16844"/>
    <n v="62"/>
    <n v="4374"/>
    <n v="65"/>
    <n v="3028"/>
    <n v="0"/>
    <n v="0"/>
    <n v="0"/>
    <n v="0"/>
    <m/>
    <m/>
    <m/>
    <m/>
    <n v="62"/>
    <n v="605209"/>
    <n v="65"/>
    <n v="664784"/>
    <n v="39"/>
    <n v="122163"/>
    <n v="38"/>
    <n v="127077"/>
    <n v="37"/>
    <n v="235573"/>
    <n v="36"/>
    <n v="239950"/>
    <m/>
    <m/>
    <m/>
    <m/>
    <n v="39"/>
    <n v="28475"/>
    <n v="38"/>
    <n v="27616"/>
    <n v="39"/>
    <n v="8737"/>
    <n v="38"/>
    <n v="9089"/>
    <n v="39"/>
    <n v="8897"/>
    <n v="38"/>
    <n v="8812"/>
    <n v="39"/>
    <n v="3138"/>
    <n v="38"/>
    <n v="1988"/>
    <n v="0"/>
    <n v="0"/>
    <n v="0"/>
    <n v="0"/>
    <m/>
    <m/>
    <m/>
    <m/>
    <n v="39"/>
    <n v="406983"/>
    <n v="38"/>
    <n v="414532"/>
  </r>
  <r>
    <x v="13"/>
    <s v="College of the Mainland"/>
    <m/>
    <n v="226408"/>
    <x v="7"/>
    <n v="34"/>
    <n v="131941"/>
    <n v="41"/>
    <n v="137099"/>
    <n v="28"/>
    <n v="214753"/>
    <n v="31"/>
    <n v="246884"/>
    <n v="27"/>
    <n v="12217"/>
    <n v="31"/>
    <n v="12719"/>
    <n v="24"/>
    <n v="19538"/>
    <n v="29"/>
    <n v="22786"/>
    <m/>
    <m/>
    <m/>
    <m/>
    <n v="28"/>
    <n v="11208"/>
    <n v="30"/>
    <n v="10065"/>
    <m/>
    <m/>
    <m/>
    <m/>
    <n v="0"/>
    <n v="0"/>
    <n v="0"/>
    <n v="0"/>
    <m/>
    <m/>
    <m/>
    <m/>
    <n v="34"/>
    <n v="389657"/>
    <n v="41"/>
    <n v="429553"/>
    <n v="104"/>
    <n v="449329"/>
    <n v="109"/>
    <n v="434990"/>
    <n v="77"/>
    <n v="544277"/>
    <n v="77"/>
    <n v="577378"/>
    <n v="75"/>
    <n v="44601"/>
    <n v="76"/>
    <n v="39343"/>
    <n v="66"/>
    <n v="63696"/>
    <n v="68"/>
    <n v="65072"/>
    <m/>
    <m/>
    <m/>
    <m/>
    <n v="75"/>
    <n v="45006"/>
    <n v="76"/>
    <n v="39857"/>
    <m/>
    <m/>
    <m/>
    <m/>
    <n v="0"/>
    <n v="0"/>
    <n v="0"/>
    <n v="0"/>
    <m/>
    <m/>
    <m/>
    <m/>
    <n v="104"/>
    <n v="1146909"/>
    <n v="109"/>
    <n v="1156640"/>
  </r>
  <r>
    <x v="13"/>
    <s v="El Centro College  (DCCCD)"/>
    <s v="Reclassified: Met criteria for Two-Year 1 in 2008-09, 2009-10 and 2010-11."/>
    <n v="224615"/>
    <x v="6"/>
    <n v="136"/>
    <n v="530000"/>
    <n v="136"/>
    <n v="531173"/>
    <n v="136"/>
    <n v="848035"/>
    <n v="136"/>
    <n v="893350"/>
    <m/>
    <m/>
    <m/>
    <m/>
    <m/>
    <m/>
    <m/>
    <m/>
    <n v="137"/>
    <n v="74626"/>
    <n v="136"/>
    <n v="73422"/>
    <n v="274"/>
    <n v="5656"/>
    <n v="272"/>
    <n v="5679"/>
    <n v="137"/>
    <n v="74628"/>
    <n v="136"/>
    <n v="73422"/>
    <n v="0"/>
    <n v="0"/>
    <n v="0"/>
    <n v="0"/>
    <m/>
    <m/>
    <m/>
    <m/>
    <n v="274"/>
    <n v="1532945"/>
    <n v="272"/>
    <n v="1577046"/>
    <m/>
    <m/>
    <n v="0"/>
    <n v="0"/>
    <m/>
    <m/>
    <m/>
    <m/>
    <m/>
    <m/>
    <m/>
    <m/>
    <m/>
    <m/>
    <m/>
    <m/>
    <m/>
    <m/>
    <m/>
    <m/>
    <m/>
    <m/>
    <n v="0"/>
    <n v="0"/>
    <m/>
    <m/>
    <m/>
    <m/>
    <m/>
    <m/>
    <n v="0"/>
    <n v="0"/>
    <m/>
    <m/>
    <m/>
    <m/>
    <n v="0"/>
    <n v="0"/>
    <n v="0"/>
    <n v="0"/>
  </r>
  <r>
    <x v="13"/>
    <s v="Grayson County College "/>
    <m/>
    <n v="225070"/>
    <x v="7"/>
    <n v="80"/>
    <n v="286861"/>
    <n v="87"/>
    <n v="311806"/>
    <n v="80"/>
    <n v="475142"/>
    <n v="87"/>
    <n v="567896"/>
    <m/>
    <m/>
    <m/>
    <m/>
    <n v="80"/>
    <n v="326101"/>
    <n v="87"/>
    <n v="352816"/>
    <n v="80"/>
    <n v="6400"/>
    <n v="87"/>
    <n v="6960"/>
    <n v="80"/>
    <n v="2141"/>
    <n v="87"/>
    <n v="2328"/>
    <n v="80"/>
    <n v="42627"/>
    <n v="87"/>
    <n v="46120"/>
    <n v="0"/>
    <n v="0"/>
    <n v="0"/>
    <n v="0"/>
    <m/>
    <m/>
    <m/>
    <m/>
    <n v="80"/>
    <n v="1139272"/>
    <n v="87"/>
    <n v="1287926"/>
    <n v="11"/>
    <n v="41231"/>
    <n v="13"/>
    <n v="50987"/>
    <n v="11"/>
    <n v="75290"/>
    <n v="13"/>
    <n v="92666"/>
    <m/>
    <m/>
    <m/>
    <m/>
    <n v="11"/>
    <n v="49284"/>
    <n v="13"/>
    <n v="53377"/>
    <n v="11"/>
    <n v="880"/>
    <n v="13"/>
    <n v="1040"/>
    <n v="11"/>
    <n v="294"/>
    <n v="13"/>
    <n v="348"/>
    <n v="11"/>
    <n v="6442"/>
    <n v="13"/>
    <n v="7631"/>
    <n v="0"/>
    <n v="0"/>
    <n v="0"/>
    <n v="0"/>
    <m/>
    <m/>
    <m/>
    <m/>
    <n v="11"/>
    <n v="173421"/>
    <n v="13"/>
    <n v="206049"/>
  </r>
  <r>
    <x v="13"/>
    <s v="Hill College"/>
    <m/>
    <n v="225371"/>
    <x v="7"/>
    <n v="56"/>
    <n v="176280"/>
    <n v="71"/>
    <n v="218507"/>
    <n v="49"/>
    <n v="327327"/>
    <n v="65"/>
    <n v="420553"/>
    <m/>
    <m/>
    <m/>
    <m/>
    <m/>
    <m/>
    <m/>
    <m/>
    <n v="56"/>
    <n v="12059"/>
    <n v="71"/>
    <n v="63909"/>
    <n v="54"/>
    <n v="1439"/>
    <n v="64"/>
    <n v="1865"/>
    <n v="56"/>
    <n v="24765"/>
    <n v="71"/>
    <n v="34473"/>
    <n v="2"/>
    <n v="500"/>
    <n v="2"/>
    <n v="500"/>
    <m/>
    <m/>
    <m/>
    <m/>
    <n v="56"/>
    <n v="542370"/>
    <n v="71"/>
    <n v="739807"/>
    <n v="14"/>
    <n v="49799"/>
    <n v="18"/>
    <n v="66039"/>
    <n v="13"/>
    <n v="89491"/>
    <n v="18"/>
    <n v="127375"/>
    <m/>
    <m/>
    <m/>
    <m/>
    <m/>
    <m/>
    <m/>
    <m/>
    <n v="14"/>
    <n v="3592"/>
    <n v="18"/>
    <n v="19833"/>
    <n v="13"/>
    <n v="373"/>
    <n v="18"/>
    <n v="480"/>
    <n v="14"/>
    <n v="7376"/>
    <n v="18"/>
    <n v="9728"/>
    <n v="0"/>
    <n v="0"/>
    <n v="2"/>
    <n v="500"/>
    <m/>
    <m/>
    <m/>
    <m/>
    <n v="14"/>
    <n v="150631"/>
    <n v="18"/>
    <n v="223955"/>
  </r>
  <r>
    <x v="13"/>
    <s v="Howard College (HCJCD)"/>
    <m/>
    <n v="225520"/>
    <x v="7"/>
    <n v="80"/>
    <n v="266375"/>
    <n v="80"/>
    <n v="277056"/>
    <n v="69"/>
    <n v="456406"/>
    <n v="77"/>
    <n v="487716"/>
    <m/>
    <m/>
    <m/>
    <m/>
    <n v="82"/>
    <n v="224093"/>
    <n v="83"/>
    <n v="253476"/>
    <n v="82"/>
    <n v="34591"/>
    <n v="80"/>
    <n v="21036"/>
    <n v="0"/>
    <n v="0"/>
    <n v="0"/>
    <n v="0"/>
    <n v="82"/>
    <n v="35616"/>
    <n v="80"/>
    <n v="36480"/>
    <n v="4"/>
    <n v="690"/>
    <n v="5"/>
    <n v="780"/>
    <m/>
    <m/>
    <m/>
    <m/>
    <n v="82"/>
    <n v="1017771"/>
    <n v="83"/>
    <n v="1076544"/>
    <n v="61"/>
    <n v="198451"/>
    <n v="58"/>
    <n v="202872"/>
    <n v="58"/>
    <n v="347502"/>
    <n v="54"/>
    <n v="356448"/>
    <m/>
    <m/>
    <m/>
    <m/>
    <n v="62"/>
    <n v="224093"/>
    <n v="60"/>
    <n v="182488"/>
    <n v="62"/>
    <n v="25694"/>
    <n v="56"/>
    <n v="14484"/>
    <n v="0"/>
    <n v="0"/>
    <n v="0"/>
    <n v="0"/>
    <n v="62"/>
    <n v="26227"/>
    <n v="60"/>
    <n v="26537"/>
    <n v="2"/>
    <n v="450"/>
    <n v="0"/>
    <n v="0"/>
    <m/>
    <m/>
    <m/>
    <m/>
    <n v="62"/>
    <n v="822417"/>
    <n v="60"/>
    <n v="782829"/>
  </r>
  <r>
    <x v="13"/>
    <s v="Kilgore College "/>
    <s v="Met criteria for Two-Year 1 in 2009-10 and 2010-11."/>
    <n v="226019"/>
    <x v="7"/>
    <n v="91"/>
    <n v="276148"/>
    <n v="98"/>
    <n v="337148"/>
    <n v="93"/>
    <n v="549837"/>
    <n v="99"/>
    <n v="654734"/>
    <n v="83"/>
    <n v="39348"/>
    <n v="99"/>
    <n v="43474"/>
    <m/>
    <m/>
    <m/>
    <m/>
    <m/>
    <m/>
    <m/>
    <m/>
    <n v="83"/>
    <n v="72708"/>
    <n v="99"/>
    <n v="102288"/>
    <m/>
    <m/>
    <m/>
    <m/>
    <n v="0"/>
    <n v="0"/>
    <n v="0"/>
    <n v="0"/>
    <m/>
    <m/>
    <m/>
    <m/>
    <n v="93"/>
    <n v="938041"/>
    <n v="99"/>
    <n v="1137644"/>
    <n v="62"/>
    <n v="221828"/>
    <n v="61"/>
    <n v="241181"/>
    <n v="61"/>
    <n v="390024"/>
    <n v="61"/>
    <n v="426532"/>
    <n v="56"/>
    <n v="25140"/>
    <n v="61"/>
    <n v="25123"/>
    <m/>
    <m/>
    <m/>
    <m/>
    <m/>
    <m/>
    <m/>
    <m/>
    <n v="57"/>
    <n v="40032"/>
    <n v="61"/>
    <n v="48504"/>
    <m/>
    <m/>
    <m/>
    <m/>
    <n v="1"/>
    <n v="450"/>
    <n v="0"/>
    <n v="0"/>
    <m/>
    <m/>
    <m/>
    <m/>
    <n v="62"/>
    <n v="677474"/>
    <n v="61"/>
    <n v="741340"/>
  </r>
  <r>
    <x v="13"/>
    <s v="Lamar Institute of Technology"/>
    <m/>
    <n v="441760"/>
    <x v="7"/>
    <n v="81"/>
    <n v="259230"/>
    <n v="81"/>
    <n v="145756"/>
    <n v="76"/>
    <n v="477753"/>
    <n v="77"/>
    <n v="191752"/>
    <m/>
    <m/>
    <m/>
    <m/>
    <n v="81"/>
    <n v="77679"/>
    <n v="81"/>
    <n v="152030"/>
    <m/>
    <m/>
    <m/>
    <m/>
    <n v="80"/>
    <n v="2240"/>
    <n v="0"/>
    <n v="0"/>
    <m/>
    <m/>
    <m/>
    <m/>
    <n v="0"/>
    <n v="0"/>
    <n v="0"/>
    <n v="0"/>
    <m/>
    <m/>
    <m/>
    <m/>
    <n v="81"/>
    <n v="816902"/>
    <n v="81"/>
    <n v="489538"/>
    <m/>
    <m/>
    <n v="0"/>
    <n v="0"/>
    <m/>
    <m/>
    <m/>
    <m/>
    <m/>
    <m/>
    <m/>
    <m/>
    <m/>
    <m/>
    <m/>
    <m/>
    <m/>
    <m/>
    <m/>
    <m/>
    <m/>
    <m/>
    <n v="0"/>
    <n v="0"/>
    <m/>
    <m/>
    <m/>
    <m/>
    <m/>
    <m/>
    <n v="0"/>
    <n v="0"/>
    <m/>
    <m/>
    <m/>
    <m/>
    <n v="0"/>
    <n v="0"/>
    <n v="0"/>
    <n v="0"/>
  </r>
  <r>
    <x v="13"/>
    <s v="Lee College "/>
    <m/>
    <n v="226204"/>
    <x v="7"/>
    <n v="142"/>
    <n v="469409"/>
    <n v="139"/>
    <n v="520881"/>
    <n v="149"/>
    <n v="685090"/>
    <n v="138"/>
    <n v="851124"/>
    <m/>
    <m/>
    <m/>
    <m/>
    <n v="149"/>
    <n v="581720"/>
    <n v="145"/>
    <n v="562344"/>
    <m/>
    <m/>
    <m/>
    <m/>
    <n v="0"/>
    <n v="0"/>
    <n v="0"/>
    <n v="0"/>
    <m/>
    <m/>
    <m/>
    <m/>
    <n v="0"/>
    <n v="0"/>
    <n v="0"/>
    <n v="0"/>
    <m/>
    <m/>
    <m/>
    <m/>
    <n v="149"/>
    <n v="1736219"/>
    <n v="145"/>
    <n v="1934349"/>
    <n v="28"/>
    <n v="111658"/>
    <n v="16"/>
    <n v="74898"/>
    <n v="28"/>
    <n v="128744"/>
    <n v="16"/>
    <n v="116801"/>
    <m/>
    <m/>
    <m/>
    <m/>
    <n v="28"/>
    <n v="129585"/>
    <n v="16"/>
    <n v="73092"/>
    <m/>
    <m/>
    <m/>
    <m/>
    <n v="0"/>
    <n v="0"/>
    <n v="0"/>
    <n v="0"/>
    <m/>
    <m/>
    <m/>
    <m/>
    <n v="0"/>
    <n v="0"/>
    <n v="0"/>
    <n v="0"/>
    <m/>
    <m/>
    <m/>
    <m/>
    <n v="28"/>
    <n v="369987"/>
    <n v="16"/>
    <n v="264791"/>
  </r>
  <r>
    <x v="13"/>
    <s v="Mountain View College  (DCCCD)"/>
    <s v="Met the criteria for Two-Year 1 in 2010-11."/>
    <n v="226930"/>
    <x v="7"/>
    <n v="72"/>
    <n v="323676"/>
    <n v="75"/>
    <n v="335447"/>
    <n v="72"/>
    <n v="401079"/>
    <n v="75"/>
    <n v="441148"/>
    <m/>
    <m/>
    <m/>
    <m/>
    <m/>
    <m/>
    <m/>
    <m/>
    <n v="74"/>
    <n v="45021"/>
    <n v="77"/>
    <n v="46369"/>
    <n v="148"/>
    <n v="3054"/>
    <n v="154"/>
    <n v="3215"/>
    <n v="74"/>
    <n v="45021"/>
    <n v="77"/>
    <n v="46369"/>
    <n v="0"/>
    <n v="0"/>
    <n v="0"/>
    <n v="0"/>
    <m/>
    <m/>
    <m/>
    <m/>
    <n v="148"/>
    <n v="817851"/>
    <n v="154"/>
    <n v="872548"/>
    <m/>
    <m/>
    <n v="0"/>
    <n v="0"/>
    <m/>
    <m/>
    <m/>
    <m/>
    <m/>
    <m/>
    <m/>
    <m/>
    <m/>
    <m/>
    <m/>
    <m/>
    <m/>
    <m/>
    <m/>
    <m/>
    <m/>
    <m/>
    <n v="0"/>
    <n v="0"/>
    <m/>
    <m/>
    <m/>
    <m/>
    <m/>
    <m/>
    <n v="0"/>
    <n v="0"/>
    <m/>
    <m/>
    <m/>
    <m/>
    <n v="0"/>
    <n v="0"/>
    <n v="0"/>
    <n v="0"/>
  </r>
  <r>
    <x v="13"/>
    <s v="North Central Texas Community College"/>
    <s v="Reclassified: Met criteria for Two-Year 1 in 2008-09, 2009-10 and 2010-11."/>
    <n v="224110"/>
    <x v="6"/>
    <n v="100"/>
    <n v="359601"/>
    <n v="89"/>
    <n v="341796"/>
    <n v="92"/>
    <n v="523942"/>
    <n v="84"/>
    <n v="532135"/>
    <m/>
    <m/>
    <m/>
    <m/>
    <n v="89"/>
    <n v="64705"/>
    <n v="83"/>
    <n v="61255"/>
    <m/>
    <m/>
    <m/>
    <m/>
    <n v="0"/>
    <n v="0"/>
    <n v="0"/>
    <n v="0"/>
    <m/>
    <m/>
    <m/>
    <m/>
    <n v="100"/>
    <n v="25550"/>
    <n v="89"/>
    <n v="28470"/>
    <m/>
    <m/>
    <m/>
    <m/>
    <n v="100"/>
    <n v="973798"/>
    <n v="89"/>
    <n v="963656"/>
    <n v="27"/>
    <n v="115746"/>
    <n v="33"/>
    <n v="153938"/>
    <n v="27"/>
    <n v="172544"/>
    <n v="33"/>
    <n v="226884"/>
    <m/>
    <m/>
    <m/>
    <m/>
    <n v="27"/>
    <n v="23120"/>
    <n v="33"/>
    <n v="28889"/>
    <m/>
    <m/>
    <m/>
    <m/>
    <n v="0"/>
    <n v="0"/>
    <n v="0"/>
    <n v="0"/>
    <m/>
    <m/>
    <m/>
    <m/>
    <n v="27"/>
    <n v="9450"/>
    <n v="33"/>
    <n v="10530"/>
    <m/>
    <m/>
    <m/>
    <m/>
    <n v="27"/>
    <n v="320860"/>
    <n v="33"/>
    <n v="420241"/>
  </r>
  <r>
    <x v="13"/>
    <s v="Odessa College "/>
    <m/>
    <n v="227304"/>
    <x v="7"/>
    <n v="99"/>
    <n v="333659"/>
    <n v="106"/>
    <n v="360147"/>
    <n v="99"/>
    <n v="518069"/>
    <n v="106"/>
    <n v="665899"/>
    <m/>
    <m/>
    <m/>
    <m/>
    <n v="97"/>
    <n v="364885"/>
    <n v="106"/>
    <n v="458600"/>
    <m/>
    <m/>
    <m/>
    <m/>
    <n v="99"/>
    <n v="2890"/>
    <n v="106"/>
    <n v="2824"/>
    <m/>
    <m/>
    <m/>
    <m/>
    <n v="0"/>
    <n v="0"/>
    <n v="0"/>
    <n v="0"/>
    <m/>
    <m/>
    <m/>
    <m/>
    <n v="99"/>
    <n v="1219503"/>
    <n v="106"/>
    <n v="1487470"/>
    <n v="18"/>
    <n v="77328"/>
    <n v="13"/>
    <n v="66038"/>
    <n v="16"/>
    <n v="112602"/>
    <n v="18"/>
    <n v="122411"/>
    <m/>
    <m/>
    <m/>
    <m/>
    <n v="18"/>
    <n v="86734"/>
    <n v="18"/>
    <n v="87824"/>
    <m/>
    <m/>
    <m/>
    <m/>
    <n v="16"/>
    <n v="428"/>
    <n v="18"/>
    <n v="480"/>
    <m/>
    <m/>
    <m/>
    <m/>
    <n v="0"/>
    <n v="0"/>
    <n v="0"/>
    <n v="0"/>
    <m/>
    <m/>
    <m/>
    <m/>
    <n v="18"/>
    <n v="277092"/>
    <n v="18"/>
    <n v="276753"/>
  </r>
  <r>
    <x v="13"/>
    <s v="Paris Junior College"/>
    <m/>
    <n v="227401"/>
    <x v="7"/>
    <n v="73"/>
    <n v="243490"/>
    <n v="75"/>
    <n v="285627"/>
    <n v="73"/>
    <n v="315944"/>
    <n v="75"/>
    <n v="324600"/>
    <m/>
    <m/>
    <m/>
    <m/>
    <n v="73"/>
    <n v="235880"/>
    <n v="75"/>
    <n v="251250"/>
    <n v="73"/>
    <n v="6570"/>
    <n v="75"/>
    <n v="6750"/>
    <n v="0"/>
    <n v="0"/>
    <n v="0"/>
    <n v="0"/>
    <n v="73"/>
    <n v="6570"/>
    <n v="75"/>
    <n v="6750"/>
    <n v="0"/>
    <n v="0"/>
    <n v="0"/>
    <n v="0"/>
    <m/>
    <m/>
    <m/>
    <m/>
    <n v="73"/>
    <n v="808454"/>
    <n v="75"/>
    <n v="874977"/>
    <n v="26"/>
    <n v="110432"/>
    <n v="24"/>
    <n v="112644"/>
    <n v="26"/>
    <n v="112476"/>
    <n v="24"/>
    <n v="103824"/>
    <m/>
    <m/>
    <m/>
    <m/>
    <n v="26"/>
    <n v="106981"/>
    <n v="24"/>
    <n v="107448"/>
    <n v="26"/>
    <n v="2340"/>
    <n v="24"/>
    <n v="2160"/>
    <n v="0"/>
    <n v="0"/>
    <n v="0"/>
    <n v="0"/>
    <n v="26"/>
    <n v="2340"/>
    <n v="24"/>
    <n v="2160"/>
    <n v="0"/>
    <n v="0"/>
    <n v="0"/>
    <n v="0"/>
    <m/>
    <m/>
    <m/>
    <m/>
    <n v="26"/>
    <n v="334569"/>
    <n v="24"/>
    <n v="328236"/>
  </r>
  <r>
    <x v="13"/>
    <s v="Southwest Texas Junior College "/>
    <m/>
    <n v="228316"/>
    <x v="7"/>
    <n v="102"/>
    <n v="317419"/>
    <n v="103"/>
    <n v="336902"/>
    <n v="104"/>
    <n v="630952"/>
    <n v="104"/>
    <n v="682553"/>
    <m/>
    <m/>
    <m/>
    <m/>
    <n v="2"/>
    <n v="5880"/>
    <n v="2"/>
    <n v="5994"/>
    <m/>
    <m/>
    <m/>
    <m/>
    <n v="104"/>
    <n v="2770"/>
    <n v="104"/>
    <n v="2770"/>
    <n v="104"/>
    <n v="17991"/>
    <n v="105"/>
    <n v="4975"/>
    <n v="17"/>
    <n v="6394"/>
    <n v="8"/>
    <n v="5844"/>
    <m/>
    <m/>
    <m/>
    <m/>
    <n v="104"/>
    <n v="981406"/>
    <n v="105"/>
    <n v="1039038"/>
    <n v="8"/>
    <n v="33332"/>
    <n v="10"/>
    <n v="45075"/>
    <n v="7"/>
    <n v="42784"/>
    <n v="9"/>
    <n v="56362"/>
    <m/>
    <m/>
    <m/>
    <m/>
    <m/>
    <m/>
    <m/>
    <m/>
    <m/>
    <m/>
    <m/>
    <m/>
    <n v="7"/>
    <n v="186"/>
    <n v="9"/>
    <n v="240"/>
    <n v="8"/>
    <n v="1384"/>
    <n v="10"/>
    <n v="474"/>
    <n v="0"/>
    <n v="0"/>
    <n v="0"/>
    <n v="0"/>
    <m/>
    <m/>
    <m/>
    <m/>
    <n v="8"/>
    <n v="77686"/>
    <n v="10"/>
    <n v="102151"/>
  </r>
  <r>
    <x v="13"/>
    <s v="Temple College "/>
    <m/>
    <n v="228608"/>
    <x v="7"/>
    <n v="78"/>
    <n v="349149"/>
    <n v="80"/>
    <n v="365082"/>
    <n v="71"/>
    <n v="444167"/>
    <n v="75"/>
    <n v="492101"/>
    <m/>
    <m/>
    <m/>
    <m/>
    <n v="78"/>
    <n v="338706"/>
    <n v="80"/>
    <n v="367115"/>
    <n v="78"/>
    <n v="13791"/>
    <n v="80"/>
    <n v="14800"/>
    <n v="71"/>
    <n v="1891"/>
    <n v="75"/>
    <n v="1998"/>
    <n v="78"/>
    <n v="8500"/>
    <n v="80"/>
    <n v="8800"/>
    <n v="21"/>
    <n v="10800"/>
    <n v="26"/>
    <n v="12480"/>
    <m/>
    <m/>
    <m/>
    <m/>
    <n v="78"/>
    <n v="1167004"/>
    <n v="80"/>
    <n v="1262376"/>
    <n v="35"/>
    <n v="163915"/>
    <n v="37"/>
    <n v="173248"/>
    <n v="33"/>
    <n v="168456"/>
    <n v="34"/>
    <n v="207108"/>
    <m/>
    <m/>
    <m/>
    <m/>
    <n v="35"/>
    <n v="166458"/>
    <n v="37"/>
    <n v="175360"/>
    <n v="35"/>
    <n v="8400"/>
    <n v="37"/>
    <n v="9065"/>
    <n v="33"/>
    <n v="879"/>
    <n v="34"/>
    <n v="906"/>
    <n v="35"/>
    <n v="3570"/>
    <n v="37"/>
    <n v="3885"/>
    <n v="2"/>
    <n v="900"/>
    <n v="2"/>
    <n v="960"/>
    <m/>
    <m/>
    <m/>
    <m/>
    <n v="35"/>
    <n v="512578"/>
    <n v="37"/>
    <n v="570532"/>
  </r>
  <r>
    <x v="13"/>
    <s v="Texarkana College "/>
    <m/>
    <n v="228699"/>
    <x v="7"/>
    <n v="70"/>
    <n v="291799"/>
    <n v="67"/>
    <n v="236041"/>
    <n v="70"/>
    <n v="323719"/>
    <n v="67"/>
    <n v="331583"/>
    <n v="70"/>
    <n v="26912"/>
    <n v="67"/>
    <n v="25728"/>
    <m/>
    <m/>
    <m/>
    <m/>
    <n v="70"/>
    <n v="3070"/>
    <n v="67"/>
    <n v="2948"/>
    <n v="70"/>
    <n v="9996"/>
    <n v="67"/>
    <n v="9581"/>
    <n v="70"/>
    <n v="24562"/>
    <n v="67"/>
    <n v="23517"/>
    <n v="0"/>
    <n v="0"/>
    <n v="0"/>
    <n v="0"/>
    <m/>
    <m/>
    <m/>
    <m/>
    <n v="70"/>
    <n v="680058"/>
    <n v="67"/>
    <n v="629398"/>
    <n v="38"/>
    <n v="183605"/>
    <n v="35"/>
    <n v="145861"/>
    <n v="38"/>
    <n v="175733"/>
    <n v="35"/>
    <n v="173215"/>
    <n v="38"/>
    <n v="17280"/>
    <n v="35"/>
    <n v="15925"/>
    <m/>
    <m/>
    <m/>
    <m/>
    <n v="38"/>
    <n v="1667"/>
    <n v="35"/>
    <n v="1540"/>
    <n v="38"/>
    <n v="6418"/>
    <n v="35"/>
    <n v="3815"/>
    <n v="38"/>
    <n v="13333"/>
    <n v="35"/>
    <n v="12285"/>
    <n v="0"/>
    <n v="0"/>
    <n v="0"/>
    <n v="0"/>
    <m/>
    <m/>
    <m/>
    <m/>
    <n v="38"/>
    <n v="398036"/>
    <n v="35"/>
    <n v="352641"/>
  </r>
  <r>
    <x v="13"/>
    <s v="Texas State Technical College-Harlingen "/>
    <m/>
    <n v="229319"/>
    <x v="7"/>
    <n v="34"/>
    <n v="113887"/>
    <n v="32"/>
    <n v="95800"/>
    <n v="34"/>
    <n v="199804"/>
    <n v="32"/>
    <n v="179822"/>
    <m/>
    <m/>
    <m/>
    <m/>
    <n v="34"/>
    <n v="86519"/>
    <n v="32"/>
    <n v="78605"/>
    <n v="34"/>
    <n v="13955"/>
    <n v="32"/>
    <n v="12678"/>
    <n v="0"/>
    <n v="0"/>
    <n v="0"/>
    <n v="0"/>
    <n v="34"/>
    <n v="4186"/>
    <n v="32"/>
    <n v="3803"/>
    <n v="0"/>
    <n v="0"/>
    <n v="0"/>
    <n v="0"/>
    <m/>
    <m/>
    <m/>
    <m/>
    <n v="34"/>
    <n v="418351"/>
    <n v="32"/>
    <n v="370708"/>
    <n v="121"/>
    <n v="450299"/>
    <n v="125"/>
    <n v="478727"/>
    <n v="121"/>
    <n v="704230"/>
    <n v="125"/>
    <n v="767997"/>
    <m/>
    <m/>
    <m/>
    <m/>
    <n v="121"/>
    <n v="362965"/>
    <n v="125"/>
    <n v="373529"/>
    <n v="121"/>
    <n v="58543"/>
    <n v="125"/>
    <n v="60246"/>
    <n v="0"/>
    <n v="0"/>
    <n v="0"/>
    <n v="0"/>
    <n v="121"/>
    <n v="17563"/>
    <n v="125"/>
    <n v="18073"/>
    <n v="0"/>
    <n v="0"/>
    <n v="0"/>
    <n v="0"/>
    <m/>
    <m/>
    <m/>
    <m/>
    <n v="121"/>
    <n v="1593600"/>
    <n v="125"/>
    <n v="1698572"/>
  </r>
  <r>
    <x v="13"/>
    <s v="Texas State Technical College-Waco"/>
    <s v="Met criteria for Two-Year 1 in 2009-10 and 2010-11."/>
    <n v="228680"/>
    <x v="7"/>
    <n v="28"/>
    <n v="84666"/>
    <n v="24"/>
    <n v="72954"/>
    <n v="28"/>
    <n v="163493"/>
    <n v="24"/>
    <n v="129213"/>
    <m/>
    <m/>
    <m/>
    <m/>
    <n v="28"/>
    <n v="74018"/>
    <n v="24"/>
    <n v="62790"/>
    <n v="28"/>
    <n v="11843"/>
    <n v="24"/>
    <n v="10127"/>
    <n v="0"/>
    <n v="0"/>
    <n v="0"/>
    <n v="0"/>
    <n v="28"/>
    <n v="3403"/>
    <n v="24"/>
    <n v="3028"/>
    <n v="0"/>
    <n v="0"/>
    <n v="0"/>
    <n v="0"/>
    <m/>
    <m/>
    <m/>
    <m/>
    <n v="28"/>
    <n v="337423"/>
    <n v="24"/>
    <n v="278112"/>
    <n v="222"/>
    <n v="774180"/>
    <n v="228"/>
    <n v="804570"/>
    <n v="222"/>
    <n v="1379174"/>
    <n v="228"/>
    <n v="1505277"/>
    <m/>
    <m/>
    <m/>
    <m/>
    <n v="222"/>
    <n v="664921"/>
    <n v="228"/>
    <n v="674078"/>
    <n v="222"/>
    <n v="106387"/>
    <n v="228"/>
    <n v="108722"/>
    <n v="0"/>
    <n v="0"/>
    <n v="0"/>
    <n v="0"/>
    <n v="222"/>
    <n v="31916"/>
    <n v="228"/>
    <n v="32616"/>
    <n v="0"/>
    <n v="0"/>
    <n v="0"/>
    <n v="0"/>
    <m/>
    <m/>
    <m/>
    <m/>
    <n v="222"/>
    <n v="2956578"/>
    <n v="228"/>
    <n v="3125263"/>
  </r>
  <r>
    <x v="13"/>
    <s v="Trinity Valley Community College"/>
    <s v="Met criteria for Two-Year 1 in 2009-10 and 2010-11."/>
    <n v="225308"/>
    <x v="7"/>
    <n v="106"/>
    <n v="366925"/>
    <n v="121"/>
    <n v="401414"/>
    <n v="102"/>
    <n v="577728"/>
    <n v="115"/>
    <n v="775545"/>
    <n v="106"/>
    <n v="48336"/>
    <n v="113"/>
    <n v="47828"/>
    <n v="108"/>
    <n v="412128"/>
    <n v="119"/>
    <n v="388871"/>
    <m/>
    <m/>
    <m/>
    <m/>
    <n v="194"/>
    <n v="232358"/>
    <n v="140"/>
    <n v="817365"/>
    <n v="108"/>
    <n v="10152"/>
    <n v="119"/>
    <n v="11854"/>
    <n v="10"/>
    <n v="2180"/>
    <n v="6"/>
    <n v="800"/>
    <m/>
    <m/>
    <m/>
    <m/>
    <n v="194"/>
    <n v="1649807"/>
    <n v="140"/>
    <n v="2443677"/>
    <n v="28"/>
    <n v="117325"/>
    <n v="34"/>
    <n v="141039"/>
    <n v="27"/>
    <n v="166509"/>
    <n v="31"/>
    <n v="219719"/>
    <n v="27"/>
    <n v="11529"/>
    <n v="30"/>
    <n v="12015"/>
    <n v="28"/>
    <n v="135296"/>
    <n v="34"/>
    <n v="136632"/>
    <m/>
    <m/>
    <m/>
    <m/>
    <n v="32"/>
    <n v="14339"/>
    <n v="35"/>
    <n v="162706"/>
    <n v="28"/>
    <n v="3332"/>
    <n v="34"/>
    <n v="4165"/>
    <n v="0"/>
    <n v="0"/>
    <n v="0"/>
    <n v="0"/>
    <m/>
    <m/>
    <m/>
    <m/>
    <n v="32"/>
    <n v="448330"/>
    <n v="35"/>
    <n v="676276"/>
  </r>
  <r>
    <x v="13"/>
    <s v="Vernon College "/>
    <m/>
    <n v="229504"/>
    <x v="7"/>
    <n v="46"/>
    <n v="136804"/>
    <n v="51"/>
    <n v="144404"/>
    <n v="46"/>
    <n v="235994"/>
    <n v="51"/>
    <n v="303691"/>
    <n v="46"/>
    <n v="13485"/>
    <n v="51"/>
    <n v="13890"/>
    <n v="46"/>
    <n v="27933"/>
    <n v="51"/>
    <n v="31969"/>
    <m/>
    <m/>
    <m/>
    <m/>
    <n v="0"/>
    <n v="0"/>
    <n v="0"/>
    <n v="0"/>
    <n v="46"/>
    <n v="5895"/>
    <n v="51"/>
    <n v="6632"/>
    <n v="0"/>
    <n v="0"/>
    <n v="0"/>
    <n v="0"/>
    <m/>
    <m/>
    <m/>
    <m/>
    <n v="46"/>
    <n v="420111"/>
    <n v="51"/>
    <n v="500586"/>
    <n v="31"/>
    <n v="113739"/>
    <n v="30"/>
    <n v="103754"/>
    <n v="31"/>
    <n v="163030"/>
    <n v="30"/>
    <n v="172014"/>
    <n v="31"/>
    <n v="11425"/>
    <n v="30"/>
    <n v="10018"/>
    <n v="31"/>
    <n v="23667"/>
    <n v="30"/>
    <n v="23057"/>
    <m/>
    <m/>
    <m/>
    <m/>
    <n v="0"/>
    <n v="0"/>
    <n v="0"/>
    <n v="0"/>
    <n v="31"/>
    <n v="4994"/>
    <n v="30"/>
    <n v="4789"/>
    <n v="0"/>
    <n v="0"/>
    <n v="0"/>
    <n v="0"/>
    <m/>
    <m/>
    <m/>
    <m/>
    <n v="31"/>
    <n v="316855"/>
    <n v="30"/>
    <n v="313632"/>
  </r>
  <r>
    <x v="13"/>
    <s v="Victoria College "/>
    <m/>
    <n v="229540"/>
    <x v="7"/>
    <n v="70"/>
    <n v="255875"/>
    <n v="76"/>
    <n v="258314"/>
    <n v="66"/>
    <n v="413803"/>
    <n v="72"/>
    <n v="474500"/>
    <m/>
    <m/>
    <m/>
    <m/>
    <n v="71"/>
    <n v="287567"/>
    <n v="76"/>
    <n v="302222"/>
    <m/>
    <m/>
    <m/>
    <m/>
    <n v="71"/>
    <n v="1892"/>
    <n v="76"/>
    <n v="2025"/>
    <n v="71"/>
    <n v="29430"/>
    <n v="76"/>
    <n v="18201"/>
    <n v="6"/>
    <n v="3706"/>
    <n v="6"/>
    <n v="2588"/>
    <n v="71"/>
    <n v="25560"/>
    <n v="76"/>
    <n v="27360"/>
    <n v="71"/>
    <n v="1017833"/>
    <n v="76"/>
    <n v="1085210"/>
    <n v="27"/>
    <n v="119466"/>
    <n v="29"/>
    <n v="121414"/>
    <n v="25"/>
    <n v="150053"/>
    <n v="27"/>
    <n v="175576"/>
    <m/>
    <m/>
    <m/>
    <m/>
    <n v="27"/>
    <n v="133292"/>
    <n v="29"/>
    <n v="141625"/>
    <m/>
    <m/>
    <m/>
    <m/>
    <n v="27"/>
    <n v="720"/>
    <n v="29"/>
    <n v="773"/>
    <n v="27"/>
    <n v="13641"/>
    <n v="29"/>
    <n v="8529"/>
    <n v="6"/>
    <n v="3164"/>
    <n v="4"/>
    <n v="2074"/>
    <n v="27"/>
    <n v="9720"/>
    <n v="29"/>
    <n v="10440"/>
    <n v="27"/>
    <n v="430056"/>
    <n v="29"/>
    <n v="460431"/>
  </r>
  <r>
    <x v="13"/>
    <s v="Weatherford College "/>
    <m/>
    <n v="229799"/>
    <x v="7"/>
    <n v="84"/>
    <n v="323711"/>
    <n v="92"/>
    <n v="359483"/>
    <n v="76"/>
    <n v="453113"/>
    <n v="76"/>
    <n v="500945"/>
    <m/>
    <m/>
    <m/>
    <m/>
    <m/>
    <m/>
    <m/>
    <m/>
    <m/>
    <m/>
    <m/>
    <m/>
    <n v="2"/>
    <n v="1440"/>
    <n v="0"/>
    <n v="0"/>
    <n v="84"/>
    <n v="12756"/>
    <n v="92"/>
    <n v="9380"/>
    <n v="6"/>
    <n v="4317"/>
    <n v="10"/>
    <n v="5061"/>
    <m/>
    <m/>
    <m/>
    <m/>
    <n v="84"/>
    <n v="795337"/>
    <n v="92"/>
    <n v="874869"/>
    <n v="36"/>
    <n v="150168"/>
    <n v="38"/>
    <n v="162112"/>
    <n v="33"/>
    <n v="193211"/>
    <n v="37"/>
    <n v="233701"/>
    <m/>
    <m/>
    <m/>
    <m/>
    <m/>
    <m/>
    <m/>
    <m/>
    <m/>
    <m/>
    <m/>
    <m/>
    <n v="0"/>
    <n v="0"/>
    <n v="0"/>
    <n v="0"/>
    <n v="36"/>
    <n v="6203"/>
    <n v="38"/>
    <n v="4441"/>
    <n v="2"/>
    <n v="553"/>
    <n v="5"/>
    <n v="5214"/>
    <m/>
    <m/>
    <m/>
    <m/>
    <n v="36"/>
    <n v="350135"/>
    <n v="38"/>
    <n v="405468"/>
  </r>
  <r>
    <x v="13"/>
    <s v="Wharton County Junior College "/>
    <m/>
    <n v="229841"/>
    <x v="7"/>
    <n v="101"/>
    <n v="326102"/>
    <n v="108"/>
    <n v="375543"/>
    <n v="101"/>
    <n v="531389"/>
    <n v="89"/>
    <n v="573972"/>
    <n v="101"/>
    <n v="10924"/>
    <n v="108"/>
    <n v="10321"/>
    <n v="101"/>
    <n v="379857"/>
    <n v="108"/>
    <n v="415556"/>
    <n v="101"/>
    <n v="12259"/>
    <n v="108"/>
    <n v="15745"/>
    <n v="101"/>
    <n v="2703"/>
    <n v="108"/>
    <n v="2890"/>
    <n v="101"/>
    <n v="13109"/>
    <n v="108"/>
    <n v="9832"/>
    <n v="11"/>
    <n v="3712"/>
    <n v="11"/>
    <n v="3869"/>
    <m/>
    <m/>
    <m/>
    <m/>
    <n v="101"/>
    <n v="1280055"/>
    <n v="108"/>
    <n v="1407728"/>
    <n v="53"/>
    <n v="213776"/>
    <n v="53"/>
    <n v="228771"/>
    <n v="54"/>
    <n v="355336"/>
    <n v="44"/>
    <n v="285456"/>
    <n v="54"/>
    <n v="7230"/>
    <n v="54"/>
    <n v="6329"/>
    <n v="54"/>
    <n v="251398"/>
    <n v="54"/>
    <n v="254814"/>
    <n v="54"/>
    <n v="6554"/>
    <n v="54"/>
    <n v="7873"/>
    <n v="54"/>
    <n v="1445"/>
    <n v="54"/>
    <n v="1445"/>
    <n v="54"/>
    <n v="8676"/>
    <n v="54"/>
    <n v="6029"/>
    <n v="2"/>
    <n v="416"/>
    <n v="5"/>
    <n v="1504"/>
    <m/>
    <m/>
    <m/>
    <m/>
    <n v="54"/>
    <n v="844831"/>
    <n v="54"/>
    <n v="792221"/>
  </r>
  <r>
    <x v="13"/>
    <s v="Clarendon College "/>
    <m/>
    <n v="223922"/>
    <x v="8"/>
    <n v="27"/>
    <n v="69835"/>
    <n v="28"/>
    <n v="73279"/>
    <n v="26"/>
    <n v="156328"/>
    <n v="27"/>
    <n v="172958"/>
    <m/>
    <m/>
    <m/>
    <m/>
    <n v="26"/>
    <n v="14956"/>
    <n v="28"/>
    <n v="15888"/>
    <n v="27"/>
    <n v="860"/>
    <n v="28"/>
    <n v="1035"/>
    <n v="26"/>
    <n v="693"/>
    <n v="27"/>
    <n v="719"/>
    <n v="27"/>
    <n v="3462"/>
    <n v="28"/>
    <n v="3506"/>
    <n v="0"/>
    <n v="0"/>
    <n v="0"/>
    <n v="0"/>
    <m/>
    <m/>
    <m/>
    <m/>
    <n v="27"/>
    <n v="246134"/>
    <n v="28"/>
    <n v="267385"/>
    <n v="6"/>
    <n v="20857"/>
    <n v="9"/>
    <n v="29994"/>
    <n v="5"/>
    <n v="27404"/>
    <n v="5"/>
    <n v="36032"/>
    <m/>
    <m/>
    <m/>
    <m/>
    <n v="6"/>
    <n v="4597"/>
    <n v="9"/>
    <n v="6397"/>
    <n v="6"/>
    <n v="252"/>
    <n v="9"/>
    <n v="417"/>
    <n v="5"/>
    <n v="133"/>
    <n v="5"/>
    <n v="133"/>
    <n v="6"/>
    <n v="1014"/>
    <n v="9"/>
    <n v="1412"/>
    <n v="0"/>
    <n v="0"/>
    <n v="0"/>
    <n v="0"/>
    <m/>
    <m/>
    <m/>
    <m/>
    <n v="6"/>
    <n v="54257"/>
    <n v="9"/>
    <n v="74385"/>
  </r>
  <r>
    <x v="13"/>
    <s v="Frank Phillips College "/>
    <m/>
    <n v="224891"/>
    <x v="8"/>
    <n v="23"/>
    <n v="55783"/>
    <n v="13"/>
    <n v="27332"/>
    <n v="23"/>
    <n v="7126"/>
    <n v="25"/>
    <n v="8500"/>
    <n v="19"/>
    <n v="3296"/>
    <n v="23"/>
    <n v="3710"/>
    <m/>
    <m/>
    <m/>
    <m/>
    <n v="23"/>
    <n v="3956"/>
    <n v="24"/>
    <n v="4183"/>
    <n v="23"/>
    <n v="1806"/>
    <n v="25"/>
    <n v="2265"/>
    <n v="23"/>
    <n v="3726"/>
    <n v="25"/>
    <n v="4260"/>
    <n v="2"/>
    <n v="901"/>
    <n v="1"/>
    <n v="216"/>
    <m/>
    <m/>
    <m/>
    <m/>
    <n v="23"/>
    <n v="76594"/>
    <n v="25"/>
    <n v="50466"/>
    <n v="5"/>
    <n v="13694"/>
    <n v="3"/>
    <n v="6975"/>
    <n v="4"/>
    <n v="9728"/>
    <n v="3"/>
    <n v="7324"/>
    <n v="3"/>
    <n v="826"/>
    <n v="5"/>
    <n v="1310"/>
    <m/>
    <m/>
    <m/>
    <m/>
    <n v="5"/>
    <n v="860"/>
    <n v="6"/>
    <n v="1044"/>
    <n v="2"/>
    <n v="385"/>
    <n v="3"/>
    <n v="518"/>
    <n v="5"/>
    <n v="810"/>
    <n v="6"/>
    <n v="1020"/>
    <n v="1"/>
    <n v="384"/>
    <n v="0"/>
    <n v="0"/>
    <m/>
    <m/>
    <m/>
    <m/>
    <n v="5"/>
    <n v="26687"/>
    <n v="6"/>
    <n v="18191"/>
  </r>
  <r>
    <x v="13"/>
    <s v="Galveston College "/>
    <m/>
    <n v="224961"/>
    <x v="8"/>
    <n v="43"/>
    <n v="193155"/>
    <n v="44"/>
    <n v="199148"/>
    <n v="39"/>
    <n v="215346"/>
    <n v="39"/>
    <n v="233437"/>
    <n v="39"/>
    <n v="7920"/>
    <n v="41"/>
    <n v="7405"/>
    <n v="43"/>
    <n v="168030"/>
    <n v="44"/>
    <n v="174621"/>
    <n v="43"/>
    <n v="16792"/>
    <n v="44"/>
    <n v="17423"/>
    <n v="41"/>
    <n v="30540"/>
    <n v="42"/>
    <n v="30891"/>
    <n v="43"/>
    <n v="11681"/>
    <n v="44"/>
    <n v="12119"/>
    <n v="0"/>
    <n v="0"/>
    <n v="0"/>
    <n v="0"/>
    <m/>
    <m/>
    <m/>
    <m/>
    <n v="43"/>
    <n v="643464"/>
    <n v="44"/>
    <n v="675044"/>
    <n v="6"/>
    <n v="29485"/>
    <n v="9"/>
    <n v="44619"/>
    <n v="6"/>
    <n v="29824"/>
    <n v="8"/>
    <n v="45002"/>
    <n v="5"/>
    <n v="816"/>
    <n v="8"/>
    <n v="1209"/>
    <n v="6"/>
    <n v="27514"/>
    <n v="9"/>
    <n v="41908"/>
    <n v="6"/>
    <n v="2750"/>
    <n v="9"/>
    <n v="4181"/>
    <n v="5"/>
    <n v="1164"/>
    <n v="8"/>
    <n v="3344"/>
    <n v="6"/>
    <n v="1913"/>
    <n v="9"/>
    <n v="2909"/>
    <n v="0"/>
    <n v="0"/>
    <n v="0"/>
    <n v="0"/>
    <m/>
    <m/>
    <m/>
    <m/>
    <n v="6"/>
    <n v="93466"/>
    <n v="9"/>
    <n v="143172"/>
  </r>
  <r>
    <x v="13"/>
    <s v="Lamar State College-Orange"/>
    <m/>
    <n v="226107"/>
    <x v="8"/>
    <n v="40"/>
    <n v="149124"/>
    <n v="42"/>
    <n v="161449"/>
    <n v="40"/>
    <n v="212665"/>
    <n v="39"/>
    <n v="215523"/>
    <m/>
    <m/>
    <m/>
    <m/>
    <n v="41"/>
    <n v="132586"/>
    <n v="43"/>
    <n v="174452"/>
    <m/>
    <m/>
    <m/>
    <m/>
    <n v="40"/>
    <n v="1070"/>
    <n v="39"/>
    <n v="1039"/>
    <m/>
    <m/>
    <m/>
    <m/>
    <n v="0"/>
    <n v="0"/>
    <n v="0"/>
    <n v="0"/>
    <m/>
    <m/>
    <m/>
    <m/>
    <n v="41"/>
    <n v="495445"/>
    <n v="43"/>
    <n v="552463"/>
    <n v="7"/>
    <n v="22509"/>
    <n v="8"/>
    <n v="29954"/>
    <n v="7"/>
    <n v="41426"/>
    <n v="7"/>
    <n v="44452"/>
    <m/>
    <m/>
    <m/>
    <m/>
    <n v="7"/>
    <n v="41426"/>
    <n v="8"/>
    <n v="32075"/>
    <m/>
    <m/>
    <m/>
    <m/>
    <n v="7"/>
    <n v="188"/>
    <n v="7"/>
    <n v="186"/>
    <m/>
    <m/>
    <m/>
    <m/>
    <n v="0"/>
    <n v="0"/>
    <n v="0"/>
    <n v="0"/>
    <m/>
    <m/>
    <m/>
    <m/>
    <n v="7"/>
    <n v="105549"/>
    <n v="8"/>
    <n v="106667"/>
  </r>
  <r>
    <x v="13"/>
    <s v="Lamar State College-Port Arthur"/>
    <s v="Met the criteria for Two-Year 2 in 2010-11."/>
    <n v="226116"/>
    <x v="8"/>
    <n v="42"/>
    <n v="155753"/>
    <n v="40"/>
    <n v="142010"/>
    <n v="36"/>
    <n v="193513"/>
    <n v="36"/>
    <n v="186012"/>
    <m/>
    <m/>
    <m/>
    <m/>
    <n v="43"/>
    <n v="167097"/>
    <n v="40"/>
    <n v="151566"/>
    <m/>
    <m/>
    <m/>
    <m/>
    <n v="0"/>
    <n v="0"/>
    <n v="0"/>
    <n v="0"/>
    <m/>
    <m/>
    <m/>
    <m/>
    <n v="0"/>
    <n v="0"/>
    <n v="0"/>
    <n v="0"/>
    <m/>
    <m/>
    <m/>
    <m/>
    <n v="43"/>
    <n v="516363"/>
    <n v="40"/>
    <n v="479588"/>
    <n v="18"/>
    <n v="43097"/>
    <n v="34"/>
    <n v="97649"/>
    <n v="25"/>
    <n v="127866"/>
    <n v="30"/>
    <n v="124734"/>
    <m/>
    <m/>
    <m/>
    <m/>
    <n v="29"/>
    <n v="98609"/>
    <n v="34"/>
    <n v="100647"/>
    <m/>
    <m/>
    <m/>
    <m/>
    <n v="0"/>
    <n v="0"/>
    <n v="0"/>
    <n v="0"/>
    <m/>
    <m/>
    <m/>
    <m/>
    <n v="0"/>
    <n v="0"/>
    <n v="0"/>
    <n v="0"/>
    <m/>
    <m/>
    <m/>
    <m/>
    <n v="29"/>
    <n v="269572"/>
    <n v="34"/>
    <n v="323030"/>
  </r>
  <r>
    <x v="13"/>
    <s v="Northeast Lakeview College (ACCD)"/>
    <m/>
    <n v="222992"/>
    <x v="8"/>
    <m/>
    <m/>
    <n v="0"/>
    <n v="0"/>
    <m/>
    <m/>
    <m/>
    <m/>
    <m/>
    <m/>
    <m/>
    <m/>
    <m/>
    <m/>
    <m/>
    <m/>
    <m/>
    <m/>
    <m/>
    <m/>
    <m/>
    <m/>
    <n v="0"/>
    <n v="0"/>
    <m/>
    <m/>
    <m/>
    <m/>
    <m/>
    <m/>
    <n v="0"/>
    <n v="0"/>
    <m/>
    <m/>
    <m/>
    <m/>
    <n v="0"/>
    <n v="0"/>
    <n v="0"/>
    <n v="0"/>
    <m/>
    <m/>
    <n v="0"/>
    <n v="0"/>
    <m/>
    <m/>
    <m/>
    <m/>
    <m/>
    <m/>
    <m/>
    <m/>
    <m/>
    <m/>
    <m/>
    <m/>
    <m/>
    <m/>
    <m/>
    <m/>
    <m/>
    <m/>
    <n v="0"/>
    <n v="0"/>
    <m/>
    <m/>
    <m/>
    <m/>
    <m/>
    <m/>
    <n v="0"/>
    <n v="0"/>
    <m/>
    <m/>
    <m/>
    <m/>
    <n v="0"/>
    <n v="0"/>
    <n v="0"/>
    <n v="0"/>
  </r>
  <r>
    <x v="13"/>
    <s v="Northeast Texas Community College "/>
    <s v="Met criteria for Two-Year 2 in 2009-10 and 2010-11."/>
    <n v="227225"/>
    <x v="8"/>
    <n v="59"/>
    <n v="348263"/>
    <n v="50"/>
    <n v="231238"/>
    <n v="46"/>
    <n v="280839"/>
    <n v="50"/>
    <n v="320364"/>
    <n v="46"/>
    <n v="16455"/>
    <n v="50"/>
    <n v="16785"/>
    <n v="46"/>
    <n v="47197"/>
    <m/>
    <m/>
    <n v="46"/>
    <n v="44250"/>
    <n v="50"/>
    <n v="18522"/>
    <n v="0"/>
    <n v="0"/>
    <n v="0"/>
    <n v="0"/>
    <n v="46"/>
    <n v="15635"/>
    <n v="50"/>
    <n v="11844"/>
    <n v="3"/>
    <n v="2200"/>
    <n v="4"/>
    <n v="1799"/>
    <m/>
    <m/>
    <m/>
    <m/>
    <n v="59"/>
    <n v="754839"/>
    <n v="50"/>
    <n v="600552"/>
    <n v="19"/>
    <n v="103650"/>
    <n v="21"/>
    <n v="86382"/>
    <n v="19"/>
    <n v="170932"/>
    <n v="18"/>
    <n v="140928"/>
    <n v="19"/>
    <n v="8686"/>
    <n v="20"/>
    <n v="7577"/>
    <n v="19"/>
    <n v="20122"/>
    <n v="1"/>
    <n v="4056"/>
    <n v="19"/>
    <n v="6224"/>
    <n v="21"/>
    <n v="3687"/>
    <n v="0"/>
    <n v="0"/>
    <n v="0"/>
    <n v="0"/>
    <n v="19"/>
    <n v="4112"/>
    <n v="21"/>
    <n v="5616"/>
    <n v="1"/>
    <n v="1012"/>
    <n v="3"/>
    <n v="1719"/>
    <m/>
    <m/>
    <m/>
    <m/>
    <n v="19"/>
    <n v="314738"/>
    <n v="21"/>
    <n v="249965"/>
  </r>
  <r>
    <x v="13"/>
    <s v="Panola College"/>
    <m/>
    <n v="227386"/>
    <x v="8"/>
    <n v="52"/>
    <n v="151631"/>
    <n v="49"/>
    <n v="146000"/>
    <n v="52"/>
    <n v="328693"/>
    <n v="49"/>
    <n v="325348"/>
    <m/>
    <m/>
    <m/>
    <m/>
    <n v="52"/>
    <n v="193330"/>
    <n v="49"/>
    <n v="186149"/>
    <n v="52"/>
    <n v="9934"/>
    <n v="49"/>
    <n v="10123"/>
    <n v="0"/>
    <n v="0"/>
    <n v="0"/>
    <n v="0"/>
    <n v="52"/>
    <n v="6267"/>
    <n v="49"/>
    <n v="6684"/>
    <n v="2"/>
    <n v="712"/>
    <n v="1"/>
    <n v="412"/>
    <m/>
    <m/>
    <m/>
    <m/>
    <n v="52"/>
    <n v="690567"/>
    <n v="49"/>
    <n v="674716"/>
    <n v="13"/>
    <n v="44542"/>
    <n v="13"/>
    <n v="45402"/>
    <n v="13"/>
    <n v="93540"/>
    <n v="13"/>
    <n v="84788"/>
    <m/>
    <m/>
    <m/>
    <m/>
    <n v="13"/>
    <n v="56791"/>
    <n v="13"/>
    <n v="56614"/>
    <n v="13"/>
    <n v="2918"/>
    <n v="13"/>
    <n v="3079"/>
    <n v="0"/>
    <n v="0"/>
    <n v="0"/>
    <n v="0"/>
    <n v="13"/>
    <n v="1841"/>
    <n v="13"/>
    <n v="2033"/>
    <n v="1"/>
    <n v="328"/>
    <n v="1"/>
    <n v="428"/>
    <m/>
    <m/>
    <m/>
    <m/>
    <n v="13"/>
    <n v="199960"/>
    <n v="13"/>
    <n v="192344"/>
  </r>
  <r>
    <x v="13"/>
    <s v="Ranger College "/>
    <m/>
    <n v="227687"/>
    <x v="8"/>
    <n v="19"/>
    <n v="46445"/>
    <n v="15"/>
    <n v="28875"/>
    <n v="19"/>
    <n v="138700"/>
    <n v="15"/>
    <n v="129830"/>
    <m/>
    <m/>
    <m/>
    <m/>
    <m/>
    <m/>
    <m/>
    <m/>
    <n v="19"/>
    <n v="2717"/>
    <n v="15"/>
    <n v="2835"/>
    <n v="0"/>
    <n v="0"/>
    <n v="0"/>
    <n v="0"/>
    <n v="19"/>
    <n v="4218"/>
    <n v="15"/>
    <n v="4417"/>
    <n v="0"/>
    <n v="0"/>
    <n v="0"/>
    <n v="0"/>
    <m/>
    <m/>
    <m/>
    <m/>
    <n v="19"/>
    <n v="192080"/>
    <n v="15"/>
    <n v="165957"/>
    <n v="13"/>
    <n v="31772"/>
    <n v="20"/>
    <n v="48003"/>
    <n v="13"/>
    <n v="98800"/>
    <n v="20"/>
    <n v="211880"/>
    <m/>
    <m/>
    <m/>
    <m/>
    <m/>
    <m/>
    <m/>
    <m/>
    <n v="13"/>
    <n v="1547"/>
    <n v="20"/>
    <n v="3780"/>
    <n v="0"/>
    <n v="0"/>
    <n v="0"/>
    <n v="0"/>
    <n v="13"/>
    <n v="2509"/>
    <n v="20"/>
    <n v="7309"/>
    <n v="0"/>
    <n v="0"/>
    <n v="0"/>
    <n v="0"/>
    <m/>
    <m/>
    <m/>
    <m/>
    <n v="13"/>
    <n v="134628"/>
    <n v="20"/>
    <n v="270972"/>
  </r>
  <r>
    <x v="13"/>
    <s v="Southwest Collegiate Institute for the Deaf (HCJCD)"/>
    <m/>
    <n v="382911"/>
    <x v="8"/>
    <m/>
    <m/>
    <n v="0"/>
    <n v="0"/>
    <m/>
    <m/>
    <m/>
    <m/>
    <m/>
    <m/>
    <m/>
    <m/>
    <m/>
    <m/>
    <m/>
    <m/>
    <m/>
    <m/>
    <m/>
    <m/>
    <m/>
    <m/>
    <n v="0"/>
    <n v="0"/>
    <m/>
    <m/>
    <m/>
    <m/>
    <m/>
    <m/>
    <n v="0"/>
    <n v="0"/>
    <m/>
    <m/>
    <m/>
    <m/>
    <n v="0"/>
    <n v="0"/>
    <n v="0"/>
    <n v="0"/>
    <m/>
    <m/>
    <n v="0"/>
    <n v="0"/>
    <m/>
    <m/>
    <m/>
    <m/>
    <m/>
    <m/>
    <m/>
    <m/>
    <m/>
    <m/>
    <m/>
    <m/>
    <m/>
    <m/>
    <m/>
    <m/>
    <m/>
    <m/>
    <n v="0"/>
    <n v="0"/>
    <m/>
    <m/>
    <m/>
    <m/>
    <m/>
    <m/>
    <n v="0"/>
    <n v="0"/>
    <m/>
    <m/>
    <m/>
    <m/>
    <n v="0"/>
    <n v="0"/>
    <n v="0"/>
    <n v="0"/>
  </r>
  <r>
    <x v="13"/>
    <s v="Texas State Technical College-Marshall"/>
    <m/>
    <n v="408394"/>
    <x v="8"/>
    <m/>
    <m/>
    <n v="0"/>
    <n v="0"/>
    <m/>
    <m/>
    <m/>
    <m/>
    <m/>
    <m/>
    <m/>
    <m/>
    <m/>
    <m/>
    <m/>
    <m/>
    <m/>
    <m/>
    <m/>
    <m/>
    <m/>
    <m/>
    <n v="0"/>
    <n v="0"/>
    <m/>
    <m/>
    <m/>
    <m/>
    <m/>
    <m/>
    <n v="0"/>
    <n v="0"/>
    <m/>
    <m/>
    <m/>
    <m/>
    <n v="0"/>
    <n v="0"/>
    <n v="0"/>
    <n v="0"/>
    <n v="37"/>
    <n v="121215"/>
    <n v="40"/>
    <n v="130469"/>
    <n v="37"/>
    <n v="229818"/>
    <n v="40"/>
    <n v="242622"/>
    <m/>
    <m/>
    <m/>
    <m/>
    <n v="37"/>
    <n v="105032"/>
    <n v="40"/>
    <n v="111411"/>
    <n v="37"/>
    <n v="16940"/>
    <n v="40"/>
    <n v="17969"/>
    <n v="0"/>
    <n v="0"/>
    <n v="0"/>
    <n v="0"/>
    <n v="37"/>
    <n v="5082"/>
    <n v="40"/>
    <n v="5390"/>
    <n v="0"/>
    <n v="0"/>
    <n v="0"/>
    <n v="0"/>
    <m/>
    <m/>
    <m/>
    <m/>
    <n v="37"/>
    <n v="478087"/>
    <n v="40"/>
    <n v="507861"/>
  </r>
  <r>
    <x v="13"/>
    <s v="Texas State Technical College-West Texas"/>
    <m/>
    <n v="229328"/>
    <x v="8"/>
    <m/>
    <m/>
    <n v="0"/>
    <n v="0"/>
    <m/>
    <m/>
    <m/>
    <m/>
    <m/>
    <m/>
    <m/>
    <m/>
    <m/>
    <m/>
    <m/>
    <m/>
    <m/>
    <m/>
    <m/>
    <m/>
    <m/>
    <m/>
    <n v="0"/>
    <n v="0"/>
    <m/>
    <m/>
    <m/>
    <m/>
    <m/>
    <m/>
    <n v="0"/>
    <n v="0"/>
    <m/>
    <m/>
    <m/>
    <m/>
    <n v="0"/>
    <n v="0"/>
    <n v="0"/>
    <n v="0"/>
    <n v="89"/>
    <n v="270142"/>
    <n v="88"/>
    <n v="257042"/>
    <n v="89"/>
    <n v="482172"/>
    <n v="88"/>
    <n v="497389"/>
    <m/>
    <m/>
    <m/>
    <m/>
    <n v="89"/>
    <n v="249664"/>
    <n v="88"/>
    <n v="237746"/>
    <n v="89"/>
    <n v="40268"/>
    <n v="88"/>
    <n v="38346"/>
    <n v="0"/>
    <n v="0"/>
    <n v="0"/>
    <n v="0"/>
    <n v="89"/>
    <n v="12081"/>
    <n v="88"/>
    <n v="11503"/>
    <n v="0"/>
    <n v="0"/>
    <n v="0"/>
    <n v="0"/>
    <m/>
    <m/>
    <m/>
    <m/>
    <n v="89"/>
    <n v="1054327"/>
    <n v="88"/>
    <n v="1042026"/>
  </r>
  <r>
    <x v="13"/>
    <s v="Western Texas College "/>
    <m/>
    <n v="229832"/>
    <x v="8"/>
    <n v="33"/>
    <n v="115900"/>
    <n v="32"/>
    <n v="97443"/>
    <n v="33"/>
    <n v="230265"/>
    <n v="32"/>
    <n v="310218"/>
    <m/>
    <m/>
    <m/>
    <m/>
    <m/>
    <m/>
    <m/>
    <m/>
    <n v="1"/>
    <n v="650"/>
    <m/>
    <m/>
    <n v="0"/>
    <n v="0"/>
    <n v="0"/>
    <n v="0"/>
    <m/>
    <m/>
    <m/>
    <m/>
    <n v="0"/>
    <n v="0"/>
    <n v="0"/>
    <n v="0"/>
    <m/>
    <m/>
    <m/>
    <m/>
    <n v="33"/>
    <n v="346815"/>
    <n v="32"/>
    <n v="407661"/>
    <n v="12"/>
    <n v="63901"/>
    <n v="14"/>
    <n v="49501"/>
    <n v="12"/>
    <n v="85922"/>
    <n v="14"/>
    <n v="135720"/>
    <m/>
    <m/>
    <m/>
    <m/>
    <m/>
    <m/>
    <m/>
    <m/>
    <m/>
    <m/>
    <m/>
    <m/>
    <n v="0"/>
    <n v="0"/>
    <n v="0"/>
    <n v="0"/>
    <m/>
    <m/>
    <m/>
    <m/>
    <n v="0"/>
    <n v="0"/>
    <n v="0"/>
    <n v="0"/>
    <m/>
    <m/>
    <m/>
    <m/>
    <n v="12"/>
    <n v="149823"/>
    <n v="14"/>
    <n v="185221"/>
  </r>
  <r>
    <x v="13"/>
    <s v="Texas A &amp; M University - Central Texas"/>
    <s v="New fall 2009. Met the criteria for Four-Year 4 in 2010-11."/>
    <m/>
    <x v="12"/>
    <m/>
    <m/>
    <n v="0"/>
    <n v="0"/>
    <m/>
    <m/>
    <m/>
    <m/>
    <m/>
    <m/>
    <m/>
    <m/>
    <m/>
    <m/>
    <m/>
    <m/>
    <m/>
    <m/>
    <m/>
    <m/>
    <m/>
    <m/>
    <n v="0"/>
    <n v="0"/>
    <m/>
    <m/>
    <m/>
    <m/>
    <m/>
    <m/>
    <n v="0"/>
    <n v="0"/>
    <m/>
    <m/>
    <m/>
    <m/>
    <n v="0"/>
    <n v="0"/>
    <n v="0"/>
    <n v="0"/>
    <m/>
    <m/>
    <n v="0"/>
    <n v="0"/>
    <m/>
    <m/>
    <m/>
    <m/>
    <m/>
    <m/>
    <m/>
    <m/>
    <m/>
    <m/>
    <m/>
    <m/>
    <m/>
    <m/>
    <m/>
    <m/>
    <m/>
    <m/>
    <n v="0"/>
    <n v="0"/>
    <m/>
    <m/>
    <m/>
    <m/>
    <m/>
    <m/>
    <n v="0"/>
    <n v="0"/>
    <m/>
    <m/>
    <m/>
    <m/>
    <n v="0"/>
    <n v="0"/>
    <n v="0"/>
    <n v="0"/>
  </r>
  <r>
    <x v="13"/>
    <s v="Texas A &amp; M University - San Antonio"/>
    <s v="New fall 2009. Met the criteria for Four-Year 5 in 2010-11."/>
    <s v="870501"/>
    <x v="12"/>
    <m/>
    <m/>
    <n v="0"/>
    <n v="0"/>
    <m/>
    <m/>
    <m/>
    <m/>
    <m/>
    <m/>
    <m/>
    <m/>
    <m/>
    <m/>
    <m/>
    <m/>
    <m/>
    <m/>
    <m/>
    <m/>
    <m/>
    <m/>
    <n v="0"/>
    <n v="0"/>
    <m/>
    <m/>
    <m/>
    <m/>
    <m/>
    <m/>
    <n v="0"/>
    <n v="0"/>
    <m/>
    <m/>
    <m/>
    <m/>
    <n v="0"/>
    <n v="0"/>
    <n v="0"/>
    <n v="0"/>
    <m/>
    <m/>
    <n v="0"/>
    <n v="0"/>
    <m/>
    <m/>
    <m/>
    <m/>
    <m/>
    <m/>
    <m/>
    <m/>
    <m/>
    <m/>
    <m/>
    <m/>
    <m/>
    <m/>
    <m/>
    <m/>
    <m/>
    <m/>
    <n v="0"/>
    <n v="0"/>
    <m/>
    <m/>
    <m/>
    <m/>
    <m/>
    <m/>
    <n v="0"/>
    <n v="0"/>
    <m/>
    <m/>
    <m/>
    <m/>
    <n v="0"/>
    <n v="0"/>
    <n v="0"/>
    <n v="0"/>
  </r>
  <r>
    <x v="13"/>
    <s v="University of North Texas at Dallas"/>
    <s v="New fall 2009. No degrees yet granted."/>
    <m/>
    <x v="12"/>
    <m/>
    <m/>
    <n v="0"/>
    <n v="0"/>
    <m/>
    <m/>
    <m/>
    <m/>
    <m/>
    <m/>
    <m/>
    <m/>
    <m/>
    <m/>
    <m/>
    <m/>
    <m/>
    <m/>
    <m/>
    <m/>
    <m/>
    <m/>
    <n v="0"/>
    <n v="0"/>
    <m/>
    <m/>
    <m/>
    <m/>
    <m/>
    <m/>
    <n v="0"/>
    <n v="0"/>
    <m/>
    <m/>
    <m/>
    <m/>
    <n v="0"/>
    <n v="0"/>
    <n v="0"/>
    <n v="0"/>
    <m/>
    <m/>
    <n v="0"/>
    <n v="0"/>
    <m/>
    <m/>
    <m/>
    <m/>
    <m/>
    <m/>
    <m/>
    <m/>
    <m/>
    <m/>
    <m/>
    <m/>
    <m/>
    <m/>
    <m/>
    <m/>
    <m/>
    <m/>
    <n v="0"/>
    <n v="0"/>
    <m/>
    <m/>
    <m/>
    <m/>
    <m/>
    <m/>
    <n v="0"/>
    <n v="0"/>
    <m/>
    <m/>
    <m/>
    <m/>
    <n v="0"/>
    <n v="0"/>
    <n v="0"/>
    <n v="0"/>
  </r>
  <r>
    <x v="14"/>
    <s v="George Mason University "/>
    <m/>
    <n v="232186"/>
    <x v="0"/>
    <n v="1066"/>
    <n v="10196915"/>
    <n v="1076"/>
    <n v="9926302"/>
    <n v="1067"/>
    <n v="7921629"/>
    <n v="1073"/>
    <n v="7957147"/>
    <n v="151"/>
    <n v="173383"/>
    <n v="160"/>
    <n v="80043"/>
    <n v="1068"/>
    <n v="7017915"/>
    <n v="1076"/>
    <n v="7150164"/>
    <m/>
    <m/>
    <m/>
    <m/>
    <n v="1067"/>
    <n v="737509"/>
    <n v="1076"/>
    <n v="654424"/>
    <m/>
    <m/>
    <m/>
    <m/>
    <m/>
    <m/>
    <m/>
    <m/>
    <m/>
    <m/>
    <m/>
    <m/>
    <n v="1068"/>
    <n v="26047351"/>
    <n v="1076"/>
    <n v="25768080"/>
    <n v="69"/>
    <n v="860031"/>
    <n v="68"/>
    <n v="887255"/>
    <n v="69"/>
    <n v="545052"/>
    <n v="68"/>
    <n v="537135"/>
    <n v="16"/>
    <n v="22706"/>
    <n v="16"/>
    <n v="12537"/>
    <n v="69"/>
    <n v="481849"/>
    <n v="68"/>
    <n v="507153"/>
    <m/>
    <m/>
    <m/>
    <m/>
    <n v="69"/>
    <n v="63161"/>
    <n v="68"/>
    <n v="59401"/>
    <m/>
    <m/>
    <m/>
    <m/>
    <m/>
    <m/>
    <m/>
    <m/>
    <m/>
    <m/>
    <m/>
    <m/>
    <n v="69"/>
    <n v="1972799"/>
    <n v="68"/>
    <n v="2003481"/>
  </r>
  <r>
    <x v="14"/>
    <s v="Old Dominion University "/>
    <m/>
    <n v="232982"/>
    <x v="0"/>
    <n v="591"/>
    <n v="4508715"/>
    <n v="588"/>
    <n v="4568480"/>
    <n v="519"/>
    <n v="4253928"/>
    <n v="502"/>
    <n v="4392060"/>
    <m/>
    <m/>
    <m/>
    <m/>
    <n v="591"/>
    <n v="3166983"/>
    <n v="620"/>
    <n v="3334848"/>
    <m/>
    <m/>
    <m/>
    <m/>
    <n v="591"/>
    <n v="334706"/>
    <n v="620"/>
    <n v="352363"/>
    <m/>
    <m/>
    <m/>
    <m/>
    <n v="27"/>
    <n v="52212"/>
    <n v="27"/>
    <n v="52212"/>
    <m/>
    <m/>
    <m/>
    <m/>
    <n v="591"/>
    <n v="12316544"/>
    <n v="620"/>
    <n v="12699963"/>
    <n v="104"/>
    <n v="1136370"/>
    <n v="103"/>
    <n v="1213714"/>
    <n v="99"/>
    <n v="821472"/>
    <n v="95"/>
    <n v="818844"/>
    <m/>
    <m/>
    <m/>
    <m/>
    <n v="104"/>
    <n v="735038"/>
    <n v="103"/>
    <n v="753619"/>
    <m/>
    <m/>
    <m/>
    <m/>
    <n v="104"/>
    <n v="84107"/>
    <n v="103"/>
    <n v="89350"/>
    <m/>
    <m/>
    <m/>
    <m/>
    <n v="2"/>
    <n v="2598"/>
    <n v="2"/>
    <n v="2598"/>
    <m/>
    <m/>
    <m/>
    <m/>
    <n v="104"/>
    <n v="2779585"/>
    <n v="103"/>
    <n v="2878125"/>
  </r>
  <r>
    <x v="14"/>
    <s v="University of Virginia"/>
    <m/>
    <n v="234076"/>
    <x v="0"/>
    <n v="918"/>
    <n v="10393853"/>
    <n v="906"/>
    <n v="10147601"/>
    <n v="918"/>
    <n v="7578434"/>
    <n v="905"/>
    <n v="7566637"/>
    <n v="918"/>
    <n v="347396"/>
    <n v="865"/>
    <n v="300291"/>
    <n v="919"/>
    <n v="6323369"/>
    <n v="906"/>
    <n v="6316301"/>
    <m/>
    <m/>
    <m/>
    <m/>
    <n v="918"/>
    <n v="137088"/>
    <n v="906"/>
    <n v="119104"/>
    <m/>
    <m/>
    <m/>
    <m/>
    <m/>
    <m/>
    <m/>
    <m/>
    <m/>
    <m/>
    <m/>
    <m/>
    <n v="919"/>
    <n v="24780140"/>
    <n v="906"/>
    <n v="24449934"/>
    <n v="261"/>
    <n v="3606341"/>
    <n v="245"/>
    <n v="3151419"/>
    <n v="261"/>
    <n v="2347174"/>
    <n v="246"/>
    <n v="2219961"/>
    <n v="261"/>
    <n v="120626"/>
    <n v="229"/>
    <n v="92864"/>
    <n v="264"/>
    <n v="2053784"/>
    <n v="246"/>
    <n v="1905455"/>
    <m/>
    <m/>
    <m/>
    <m/>
    <n v="261"/>
    <n v="43923"/>
    <n v="246"/>
    <n v="32751"/>
    <m/>
    <m/>
    <m/>
    <m/>
    <m/>
    <m/>
    <m/>
    <m/>
    <m/>
    <m/>
    <m/>
    <m/>
    <n v="264"/>
    <n v="8171848"/>
    <n v="246"/>
    <n v="7402450"/>
  </r>
  <r>
    <x v="14"/>
    <s v="Virginia Tech "/>
    <m/>
    <n v="233921"/>
    <x v="0"/>
    <n v="1080"/>
    <n v="9810101"/>
    <n v="1059"/>
    <n v="7778569"/>
    <n v="1080"/>
    <n v="10123920"/>
    <n v="1059"/>
    <n v="10270182"/>
    <m/>
    <m/>
    <m/>
    <m/>
    <n v="1080"/>
    <n v="5329135"/>
    <n v="1059"/>
    <n v="5150224"/>
    <n v="1080"/>
    <n v="45067"/>
    <n v="1059"/>
    <n v="234699"/>
    <n v="1080"/>
    <n v="768677"/>
    <n v="1059"/>
    <n v="742293"/>
    <n v="1080"/>
    <n v="488175"/>
    <n v="1059"/>
    <n v="654995"/>
    <m/>
    <m/>
    <m/>
    <m/>
    <m/>
    <m/>
    <m/>
    <m/>
    <n v="1080"/>
    <n v="26565075"/>
    <n v="1059"/>
    <n v="24830962"/>
    <n v="284"/>
    <n v="3885769"/>
    <n v="247"/>
    <n v="2810436"/>
    <n v="284"/>
    <n v="2662216"/>
    <n v="247"/>
    <n v="2395406"/>
    <m/>
    <m/>
    <m/>
    <m/>
    <n v="284"/>
    <n v="1839581"/>
    <n v="247"/>
    <n v="1608505"/>
    <n v="284"/>
    <n v="17837"/>
    <n v="247"/>
    <n v="84781"/>
    <n v="284"/>
    <n v="304161"/>
    <n v="247"/>
    <n v="267852"/>
    <n v="284"/>
    <n v="193186"/>
    <n v="247"/>
    <n v="236347"/>
    <m/>
    <m/>
    <m/>
    <m/>
    <m/>
    <m/>
    <m/>
    <m/>
    <n v="284"/>
    <n v="8902750"/>
    <n v="247"/>
    <n v="7403327"/>
  </r>
  <r>
    <x v="14"/>
    <s v="College of William &amp; Mary"/>
    <m/>
    <n v="231624"/>
    <x v="1"/>
    <n v="564"/>
    <n v="5124649"/>
    <n v="565"/>
    <n v="5127622"/>
    <n v="509"/>
    <n v="4208556"/>
    <n v="507"/>
    <n v="4323108"/>
    <n v="458"/>
    <n v="151921"/>
    <n v="462"/>
    <n v="48263"/>
    <n v="563"/>
    <n v="3409647"/>
    <n v="564"/>
    <n v="3409219"/>
    <m/>
    <m/>
    <m/>
    <m/>
    <n v="562"/>
    <n v="382285"/>
    <n v="565"/>
    <n v="494545"/>
    <m/>
    <m/>
    <m/>
    <m/>
    <m/>
    <m/>
    <m/>
    <m/>
    <n v="361"/>
    <n v="173280"/>
    <n v="431"/>
    <n v="103440"/>
    <n v="564"/>
    <n v="13450338"/>
    <n v="565"/>
    <n v="13506197"/>
    <n v="48"/>
    <n v="563543"/>
    <n v="49"/>
    <n v="532494"/>
    <n v="45"/>
    <n v="390888"/>
    <n v="45"/>
    <n v="394908"/>
    <n v="43"/>
    <n v="24313"/>
    <n v="41"/>
    <n v="5340"/>
    <n v="50"/>
    <n v="374228"/>
    <n v="49"/>
    <n v="362695"/>
    <m/>
    <m/>
    <m/>
    <m/>
    <n v="50"/>
    <n v="41996"/>
    <n v="49"/>
    <n v="51421"/>
    <m/>
    <m/>
    <m/>
    <m/>
    <m/>
    <m/>
    <m/>
    <m/>
    <n v="41"/>
    <n v="19680"/>
    <n v="41"/>
    <n v="9840"/>
    <n v="50"/>
    <n v="1414648"/>
    <n v="49"/>
    <n v="1356698"/>
  </r>
  <r>
    <x v="14"/>
    <s v="Virginia Commonwealth University"/>
    <m/>
    <n v="234030"/>
    <x v="1"/>
    <n v="653"/>
    <n v="5242859"/>
    <n v="705"/>
    <n v="4219840"/>
    <n v="653"/>
    <n v="5161759"/>
    <n v="705"/>
    <n v="5896697"/>
    <n v="653"/>
    <n v="372105"/>
    <n v="705"/>
    <n v="110783"/>
    <n v="653"/>
    <n v="3372794"/>
    <n v="705"/>
    <n v="3681029"/>
    <n v="653"/>
    <n v="38165"/>
    <n v="705"/>
    <n v="21008"/>
    <n v="653"/>
    <n v="376875"/>
    <n v="705"/>
    <n v="166175"/>
    <n v="653"/>
    <n v="190823"/>
    <n v="705"/>
    <n v="196389"/>
    <m/>
    <m/>
    <m/>
    <m/>
    <m/>
    <m/>
    <m/>
    <m/>
    <n v="653"/>
    <n v="14755380"/>
    <n v="705"/>
    <n v="14291921"/>
    <n v="443"/>
    <n v="4604110"/>
    <n v="401"/>
    <n v="3090792"/>
    <n v="443"/>
    <n v="4532891"/>
    <n v="401"/>
    <n v="4318995"/>
    <n v="443"/>
    <n v="326770"/>
    <n v="401"/>
    <n v="8143"/>
    <n v="443"/>
    <n v="2961880"/>
    <n v="401"/>
    <n v="2696145"/>
    <n v="443"/>
    <n v="33515"/>
    <n v="401"/>
    <n v="40571"/>
    <n v="443"/>
    <n v="330960"/>
    <n v="401"/>
    <n v="121714"/>
    <n v="443"/>
    <n v="167575"/>
    <n v="401"/>
    <n v="143844"/>
    <m/>
    <m/>
    <m/>
    <m/>
    <m/>
    <m/>
    <m/>
    <m/>
    <n v="443"/>
    <n v="12957701"/>
    <n v="401"/>
    <n v="10420204"/>
  </r>
  <r>
    <x v="14"/>
    <s v="James Madison University  "/>
    <m/>
    <n v="232423"/>
    <x v="2"/>
    <n v="803"/>
    <n v="6560032"/>
    <n v="808"/>
    <n v="6476899"/>
    <n v="803"/>
    <n v="6306762"/>
    <n v="808"/>
    <n v="6564192"/>
    <n v="803"/>
    <n v="536129"/>
    <n v="808"/>
    <n v="352973"/>
    <n v="803"/>
    <n v="4082637"/>
    <n v="808"/>
    <n v="4072359"/>
    <n v="803"/>
    <n v="13651"/>
    <n v="808"/>
    <n v="55392"/>
    <n v="803"/>
    <n v="423542"/>
    <n v="808"/>
    <n v="545503"/>
    <n v="803"/>
    <n v="277838"/>
    <n v="808"/>
    <n v="274720"/>
    <m/>
    <m/>
    <m/>
    <m/>
    <m/>
    <m/>
    <m/>
    <m/>
    <n v="803"/>
    <n v="18200591"/>
    <n v="808"/>
    <n v="18342038"/>
    <n v="103"/>
    <n v="1189538"/>
    <n v="98"/>
    <n v="1172357"/>
    <n v="103"/>
    <n v="808962"/>
    <n v="98"/>
    <n v="796152"/>
    <n v="103"/>
    <n v="98527"/>
    <n v="98"/>
    <n v="64006"/>
    <n v="103"/>
    <n v="715195"/>
    <n v="98"/>
    <n v="699588"/>
    <n v="103"/>
    <n v="1751"/>
    <n v="98"/>
    <n v="2548"/>
    <n v="103"/>
    <n v="77836"/>
    <n v="98"/>
    <n v="98919"/>
    <n v="103"/>
    <n v="35638"/>
    <n v="98"/>
    <n v="33320"/>
    <m/>
    <m/>
    <m/>
    <m/>
    <m/>
    <m/>
    <m/>
    <m/>
    <n v="103"/>
    <n v="2927447"/>
    <n v="98"/>
    <n v="2866890"/>
  </r>
  <r>
    <x v="14"/>
    <s v="Norfolk State University "/>
    <m/>
    <n v="232937"/>
    <x v="2"/>
    <n v="234"/>
    <n v="1651508"/>
    <n v="232"/>
    <n v="1524249"/>
    <n v="234"/>
    <n v="1629420"/>
    <n v="232"/>
    <n v="1677360"/>
    <n v="234"/>
    <n v="151293"/>
    <n v="232"/>
    <n v="99673"/>
    <n v="234"/>
    <n v="933520"/>
    <n v="232"/>
    <n v="931827"/>
    <m/>
    <m/>
    <m/>
    <m/>
    <m/>
    <m/>
    <m/>
    <m/>
    <m/>
    <m/>
    <m/>
    <m/>
    <m/>
    <m/>
    <m/>
    <m/>
    <m/>
    <m/>
    <m/>
    <m/>
    <n v="234"/>
    <n v="4365741"/>
    <n v="232"/>
    <n v="4233109"/>
    <n v="36"/>
    <n v="330147"/>
    <n v="37"/>
    <n v="313115"/>
    <n v="36"/>
    <n v="282828"/>
    <n v="37"/>
    <n v="293940"/>
    <n v="36"/>
    <n v="30232"/>
    <n v="37"/>
    <n v="20089"/>
    <n v="36"/>
    <n v="184952"/>
    <n v="37"/>
    <n v="185430"/>
    <m/>
    <m/>
    <m/>
    <m/>
    <m/>
    <m/>
    <m/>
    <m/>
    <m/>
    <m/>
    <m/>
    <m/>
    <m/>
    <m/>
    <m/>
    <m/>
    <m/>
    <m/>
    <m/>
    <m/>
    <n v="36"/>
    <n v="828159"/>
    <n v="37"/>
    <n v="812574"/>
  </r>
  <r>
    <x v="14"/>
    <s v="Radford University"/>
    <m/>
    <n v="233277"/>
    <x v="3"/>
    <n v="382"/>
    <n v="2638460"/>
    <n v="386"/>
    <n v="2654508"/>
    <n v="353"/>
    <n v="2897771"/>
    <n v="357"/>
    <n v="2991566"/>
    <m/>
    <m/>
    <m/>
    <m/>
    <n v="382"/>
    <n v="1881302"/>
    <n v="386"/>
    <n v="1889958"/>
    <m/>
    <m/>
    <m/>
    <m/>
    <n v="382"/>
    <n v="194310"/>
    <n v="386"/>
    <n v="251994"/>
    <m/>
    <m/>
    <m/>
    <m/>
    <m/>
    <m/>
    <m/>
    <m/>
    <m/>
    <m/>
    <m/>
    <m/>
    <n v="382"/>
    <n v="7611843"/>
    <n v="386"/>
    <n v="7788026"/>
    <n v="5"/>
    <n v="46682"/>
    <n v="7"/>
    <n v="67147"/>
    <n v="5"/>
    <n v="40068"/>
    <n v="6"/>
    <n v="45912"/>
    <m/>
    <m/>
    <m/>
    <m/>
    <n v="5"/>
    <n v="32052"/>
    <n v="7"/>
    <n v="46745"/>
    <m/>
    <m/>
    <m/>
    <m/>
    <n v="5"/>
    <n v="3310"/>
    <n v="7"/>
    <n v="6233"/>
    <m/>
    <m/>
    <m/>
    <m/>
    <m/>
    <m/>
    <m/>
    <m/>
    <m/>
    <m/>
    <m/>
    <m/>
    <n v="5"/>
    <n v="122112"/>
    <n v="7"/>
    <n v="166037"/>
  </r>
  <r>
    <x v="14"/>
    <s v="Virginia State University "/>
    <m/>
    <n v="234155"/>
    <x v="3"/>
    <n v="210"/>
    <n v="1465366"/>
    <n v="188"/>
    <n v="1319492"/>
    <n v="193"/>
    <n v="1561608"/>
    <n v="173"/>
    <n v="1414102"/>
    <m/>
    <m/>
    <m/>
    <m/>
    <n v="210"/>
    <n v="1039056"/>
    <n v="188"/>
    <n v="901836"/>
    <m/>
    <m/>
    <m/>
    <m/>
    <n v="210"/>
    <n v="107301"/>
    <n v="188"/>
    <n v="109792"/>
    <m/>
    <m/>
    <m/>
    <m/>
    <m/>
    <m/>
    <m/>
    <m/>
    <m/>
    <m/>
    <m/>
    <m/>
    <n v="210"/>
    <n v="4173331"/>
    <n v="188"/>
    <n v="3745222"/>
    <n v="37"/>
    <n v="359024"/>
    <n v="59"/>
    <n v="414621"/>
    <n v="35"/>
    <n v="264156"/>
    <n v="55"/>
    <n v="449570"/>
    <m/>
    <m/>
    <m/>
    <m/>
    <n v="37"/>
    <n v="243919"/>
    <n v="59"/>
    <n v="283023"/>
    <m/>
    <m/>
    <m/>
    <m/>
    <n v="37"/>
    <n v="25189"/>
    <n v="59"/>
    <n v="34456"/>
    <m/>
    <m/>
    <m/>
    <m/>
    <m/>
    <m/>
    <m/>
    <m/>
    <m/>
    <m/>
    <m/>
    <m/>
    <n v="37"/>
    <n v="892288"/>
    <n v="59"/>
    <n v="1181670"/>
  </r>
  <r>
    <x v="14"/>
    <s v="Christopher Newport University"/>
    <m/>
    <n v="231712"/>
    <x v="4"/>
    <n v="234"/>
    <n v="1706812"/>
    <n v="243"/>
    <n v="1747066"/>
    <n v="216"/>
    <n v="1825620"/>
    <n v="223"/>
    <n v="1908012"/>
    <n v="78"/>
    <n v="53597"/>
    <n v="148"/>
    <n v="382634"/>
    <n v="234"/>
    <n v="1221587"/>
    <n v="243"/>
    <n v="1242832"/>
    <m/>
    <m/>
    <m/>
    <m/>
    <n v="234"/>
    <n v="126151"/>
    <n v="243"/>
    <n v="165711"/>
    <m/>
    <m/>
    <m/>
    <m/>
    <m/>
    <m/>
    <m/>
    <m/>
    <m/>
    <m/>
    <m/>
    <m/>
    <n v="234"/>
    <n v="4933767"/>
    <n v="243"/>
    <n v="5446255"/>
    <m/>
    <m/>
    <m/>
    <m/>
    <m/>
    <m/>
    <m/>
    <m/>
    <m/>
    <m/>
    <m/>
    <m/>
    <m/>
    <m/>
    <m/>
    <m/>
    <m/>
    <m/>
    <m/>
    <m/>
    <m/>
    <m/>
    <m/>
    <m/>
    <m/>
    <m/>
    <m/>
    <m/>
    <m/>
    <m/>
    <m/>
    <m/>
    <m/>
    <m/>
    <m/>
    <m/>
    <n v="0"/>
    <n v="0"/>
    <n v="0"/>
    <n v="0"/>
  </r>
  <r>
    <x v="14"/>
    <s v="Longwood University "/>
    <s v="Reclassified: met criteria for SREB Four-Year 4 in 2008-09, 2009-10 and 2010-11."/>
    <n v="232566"/>
    <x v="3"/>
    <n v="204"/>
    <n v="1309452"/>
    <n v="211"/>
    <n v="1383143"/>
    <n v="193"/>
    <n v="1550520"/>
    <n v="199"/>
    <n v="1623324"/>
    <n v="69"/>
    <n v="42653"/>
    <n v="78"/>
    <n v="30978"/>
    <n v="207"/>
    <n v="948392"/>
    <n v="214"/>
    <n v="988842"/>
    <m/>
    <m/>
    <m/>
    <m/>
    <n v="205"/>
    <n v="96682"/>
    <n v="211"/>
    <n v="130222"/>
    <m/>
    <m/>
    <m/>
    <m/>
    <m/>
    <m/>
    <m/>
    <m/>
    <m/>
    <m/>
    <m/>
    <m/>
    <n v="207"/>
    <n v="3947699"/>
    <n v="214"/>
    <n v="4156509"/>
    <m/>
    <m/>
    <m/>
    <m/>
    <m/>
    <m/>
    <m/>
    <m/>
    <m/>
    <m/>
    <m/>
    <m/>
    <m/>
    <m/>
    <m/>
    <m/>
    <m/>
    <m/>
    <m/>
    <m/>
    <m/>
    <m/>
    <m/>
    <m/>
    <m/>
    <m/>
    <m/>
    <m/>
    <m/>
    <m/>
    <m/>
    <m/>
    <m/>
    <m/>
    <m/>
    <m/>
    <n v="0"/>
    <n v="0"/>
    <n v="0"/>
    <n v="0"/>
  </r>
  <r>
    <x v="14"/>
    <s v="University of Mary Washington "/>
    <m/>
    <n v="232681"/>
    <x v="4"/>
    <n v="216"/>
    <n v="1766692"/>
    <n v="216"/>
    <n v="1723402"/>
    <n v="194"/>
    <n v="1540956"/>
    <n v="195"/>
    <n v="1554192"/>
    <n v="185"/>
    <n v="30361"/>
    <n v="187"/>
    <n v="30852"/>
    <n v="216"/>
    <n v="1107154"/>
    <n v="216"/>
    <n v="1099291"/>
    <m/>
    <m/>
    <m/>
    <m/>
    <n v="216"/>
    <n v="115100"/>
    <n v="216"/>
    <n v="147322"/>
    <m/>
    <m/>
    <m/>
    <m/>
    <m/>
    <m/>
    <m/>
    <m/>
    <m/>
    <m/>
    <m/>
    <m/>
    <n v="216"/>
    <n v="4560263"/>
    <n v="216"/>
    <n v="4555059"/>
    <n v="26"/>
    <n v="241715"/>
    <n v="23"/>
    <n v="207002"/>
    <n v="21"/>
    <n v="140304"/>
    <n v="20"/>
    <n v="143604"/>
    <n v="22"/>
    <n v="3863"/>
    <n v="23"/>
    <n v="3638"/>
    <n v="26"/>
    <n v="148243"/>
    <n v="23"/>
    <n v="128012"/>
    <m/>
    <m/>
    <m/>
    <m/>
    <n v="26"/>
    <n v="15731"/>
    <n v="23"/>
    <n v="17068"/>
    <m/>
    <m/>
    <m/>
    <m/>
    <m/>
    <m/>
    <m/>
    <m/>
    <m/>
    <m/>
    <m/>
    <m/>
    <n v="26"/>
    <n v="549856"/>
    <n v="23"/>
    <n v="499324"/>
  </r>
  <r>
    <x v="14"/>
    <s v="University of Virginia's College at Wise "/>
    <m/>
    <n v="233897"/>
    <x v="5"/>
    <n v="93"/>
    <n v="559239"/>
    <n v="89"/>
    <n v="536181"/>
    <n v="89"/>
    <n v="754116"/>
    <n v="83"/>
    <n v="692328"/>
    <m/>
    <m/>
    <m/>
    <m/>
    <n v="93"/>
    <n v="404042"/>
    <n v="89"/>
    <n v="393095"/>
    <m/>
    <m/>
    <m/>
    <m/>
    <n v="93"/>
    <n v="52816"/>
    <n v="89"/>
    <n v="51385"/>
    <m/>
    <m/>
    <m/>
    <m/>
    <m/>
    <m/>
    <m/>
    <m/>
    <m/>
    <m/>
    <m/>
    <m/>
    <n v="93"/>
    <n v="1770213"/>
    <n v="89"/>
    <n v="1672989"/>
    <m/>
    <m/>
    <n v="2"/>
    <n v="17399"/>
    <m/>
    <m/>
    <n v="2"/>
    <n v="23376"/>
    <m/>
    <m/>
    <m/>
    <m/>
    <m/>
    <m/>
    <n v="2"/>
    <n v="12798"/>
    <m/>
    <m/>
    <m/>
    <m/>
    <m/>
    <m/>
    <n v="2"/>
    <n v="1673"/>
    <m/>
    <m/>
    <m/>
    <m/>
    <m/>
    <m/>
    <m/>
    <m/>
    <m/>
    <m/>
    <m/>
    <m/>
    <n v="0"/>
    <n v="0"/>
    <n v="2"/>
    <n v="55246"/>
  </r>
  <r>
    <x v="14"/>
    <s v="J.S. Reynolds Community College"/>
    <m/>
    <n v="232414"/>
    <x v="6"/>
    <m/>
    <m/>
    <m/>
    <m/>
    <m/>
    <m/>
    <m/>
    <m/>
    <m/>
    <m/>
    <m/>
    <m/>
    <m/>
    <m/>
    <m/>
    <m/>
    <m/>
    <m/>
    <m/>
    <m/>
    <m/>
    <m/>
    <m/>
    <m/>
    <m/>
    <m/>
    <m/>
    <m/>
    <m/>
    <m/>
    <m/>
    <m/>
    <m/>
    <m/>
    <m/>
    <m/>
    <n v="0"/>
    <n v="0"/>
    <n v="0"/>
    <n v="0"/>
    <m/>
    <m/>
    <m/>
    <m/>
    <m/>
    <m/>
    <m/>
    <m/>
    <m/>
    <m/>
    <m/>
    <m/>
    <m/>
    <m/>
    <m/>
    <m/>
    <m/>
    <m/>
    <m/>
    <m/>
    <m/>
    <m/>
    <m/>
    <m/>
    <m/>
    <m/>
    <m/>
    <m/>
    <m/>
    <m/>
    <m/>
    <m/>
    <m/>
    <m/>
    <m/>
    <m/>
    <n v="0"/>
    <n v="0"/>
    <n v="0"/>
    <n v="0"/>
  </r>
  <r>
    <x v="14"/>
    <s v="Northern Virginia Community College "/>
    <m/>
    <n v="232946"/>
    <x v="6"/>
    <m/>
    <m/>
    <m/>
    <m/>
    <m/>
    <m/>
    <m/>
    <m/>
    <m/>
    <m/>
    <m/>
    <m/>
    <m/>
    <m/>
    <m/>
    <m/>
    <m/>
    <m/>
    <m/>
    <m/>
    <m/>
    <m/>
    <m/>
    <m/>
    <m/>
    <m/>
    <m/>
    <m/>
    <m/>
    <m/>
    <m/>
    <m/>
    <m/>
    <m/>
    <m/>
    <m/>
    <n v="0"/>
    <n v="0"/>
    <n v="0"/>
    <n v="0"/>
    <m/>
    <m/>
    <m/>
    <m/>
    <m/>
    <m/>
    <m/>
    <m/>
    <m/>
    <m/>
    <m/>
    <m/>
    <m/>
    <m/>
    <m/>
    <m/>
    <m/>
    <m/>
    <m/>
    <m/>
    <m/>
    <m/>
    <m/>
    <m/>
    <m/>
    <m/>
    <m/>
    <m/>
    <m/>
    <m/>
    <m/>
    <m/>
    <m/>
    <m/>
    <m/>
    <m/>
    <n v="0"/>
    <n v="0"/>
    <n v="0"/>
    <n v="0"/>
  </r>
  <r>
    <x v="14"/>
    <s v="Thomas Nelson Community College "/>
    <m/>
    <n v="233754"/>
    <x v="6"/>
    <m/>
    <m/>
    <m/>
    <m/>
    <m/>
    <m/>
    <m/>
    <m/>
    <m/>
    <m/>
    <m/>
    <m/>
    <m/>
    <m/>
    <m/>
    <m/>
    <m/>
    <m/>
    <m/>
    <m/>
    <m/>
    <m/>
    <m/>
    <m/>
    <m/>
    <m/>
    <m/>
    <m/>
    <m/>
    <m/>
    <m/>
    <m/>
    <m/>
    <m/>
    <m/>
    <m/>
    <n v="0"/>
    <n v="0"/>
    <n v="0"/>
    <n v="0"/>
    <m/>
    <m/>
    <m/>
    <m/>
    <m/>
    <m/>
    <m/>
    <m/>
    <m/>
    <m/>
    <m/>
    <m/>
    <m/>
    <m/>
    <m/>
    <m/>
    <m/>
    <m/>
    <m/>
    <m/>
    <m/>
    <m/>
    <m/>
    <m/>
    <m/>
    <m/>
    <m/>
    <m/>
    <m/>
    <m/>
    <m/>
    <m/>
    <m/>
    <m/>
    <m/>
    <m/>
    <n v="0"/>
    <n v="0"/>
    <n v="0"/>
    <n v="0"/>
  </r>
  <r>
    <x v="14"/>
    <s v="Tidewater Community College "/>
    <m/>
    <n v="233772"/>
    <x v="6"/>
    <m/>
    <m/>
    <m/>
    <m/>
    <m/>
    <m/>
    <m/>
    <m/>
    <m/>
    <m/>
    <m/>
    <m/>
    <m/>
    <m/>
    <m/>
    <m/>
    <m/>
    <m/>
    <m/>
    <m/>
    <m/>
    <m/>
    <m/>
    <m/>
    <m/>
    <m/>
    <m/>
    <m/>
    <m/>
    <m/>
    <m/>
    <m/>
    <m/>
    <m/>
    <m/>
    <m/>
    <n v="0"/>
    <n v="0"/>
    <n v="0"/>
    <n v="0"/>
    <m/>
    <m/>
    <m/>
    <m/>
    <m/>
    <m/>
    <m/>
    <m/>
    <m/>
    <m/>
    <m/>
    <m/>
    <m/>
    <m/>
    <m/>
    <m/>
    <m/>
    <m/>
    <m/>
    <m/>
    <m/>
    <m/>
    <m/>
    <m/>
    <m/>
    <m/>
    <m/>
    <m/>
    <m/>
    <m/>
    <m/>
    <m/>
    <m/>
    <m/>
    <m/>
    <m/>
    <n v="0"/>
    <n v="0"/>
    <n v="0"/>
    <n v="0"/>
  </r>
  <r>
    <x v="14"/>
    <s v="Blue Ridge Community College "/>
    <m/>
    <n v="231536"/>
    <x v="7"/>
    <m/>
    <m/>
    <m/>
    <m/>
    <m/>
    <m/>
    <m/>
    <m/>
    <m/>
    <m/>
    <m/>
    <m/>
    <m/>
    <m/>
    <m/>
    <m/>
    <m/>
    <m/>
    <m/>
    <m/>
    <m/>
    <m/>
    <m/>
    <m/>
    <m/>
    <m/>
    <m/>
    <m/>
    <m/>
    <m/>
    <m/>
    <m/>
    <m/>
    <m/>
    <m/>
    <m/>
    <n v="0"/>
    <n v="0"/>
    <n v="0"/>
    <n v="0"/>
    <m/>
    <m/>
    <m/>
    <m/>
    <m/>
    <m/>
    <m/>
    <m/>
    <m/>
    <m/>
    <m/>
    <m/>
    <m/>
    <m/>
    <m/>
    <m/>
    <m/>
    <m/>
    <m/>
    <m/>
    <m/>
    <m/>
    <m/>
    <m/>
    <m/>
    <m/>
    <m/>
    <m/>
    <m/>
    <m/>
    <m/>
    <m/>
    <m/>
    <m/>
    <m/>
    <m/>
    <n v="0"/>
    <n v="0"/>
    <n v="0"/>
    <n v="0"/>
  </r>
  <r>
    <x v="14"/>
    <s v="Central Virginia Community College "/>
    <m/>
    <n v="231697"/>
    <x v="7"/>
    <m/>
    <m/>
    <m/>
    <m/>
    <m/>
    <m/>
    <m/>
    <m/>
    <m/>
    <m/>
    <m/>
    <m/>
    <m/>
    <m/>
    <m/>
    <m/>
    <m/>
    <m/>
    <m/>
    <m/>
    <m/>
    <m/>
    <m/>
    <m/>
    <m/>
    <m/>
    <m/>
    <m/>
    <m/>
    <m/>
    <m/>
    <m/>
    <m/>
    <m/>
    <m/>
    <m/>
    <n v="0"/>
    <n v="0"/>
    <n v="0"/>
    <n v="0"/>
    <m/>
    <m/>
    <m/>
    <m/>
    <m/>
    <m/>
    <m/>
    <m/>
    <m/>
    <m/>
    <m/>
    <m/>
    <m/>
    <m/>
    <m/>
    <m/>
    <m/>
    <m/>
    <m/>
    <m/>
    <m/>
    <m/>
    <m/>
    <m/>
    <m/>
    <m/>
    <m/>
    <m/>
    <m/>
    <m/>
    <m/>
    <m/>
    <m/>
    <m/>
    <m/>
    <m/>
    <n v="0"/>
    <n v="0"/>
    <n v="0"/>
    <n v="0"/>
  </r>
  <r>
    <x v="14"/>
    <s v="Danville Community College "/>
    <m/>
    <n v="231882"/>
    <x v="7"/>
    <m/>
    <m/>
    <m/>
    <m/>
    <m/>
    <m/>
    <m/>
    <m/>
    <m/>
    <m/>
    <m/>
    <m/>
    <m/>
    <m/>
    <m/>
    <m/>
    <m/>
    <m/>
    <m/>
    <m/>
    <m/>
    <m/>
    <m/>
    <m/>
    <m/>
    <m/>
    <m/>
    <m/>
    <m/>
    <m/>
    <m/>
    <m/>
    <m/>
    <m/>
    <m/>
    <m/>
    <n v="0"/>
    <n v="0"/>
    <n v="0"/>
    <n v="0"/>
    <m/>
    <m/>
    <m/>
    <m/>
    <m/>
    <m/>
    <m/>
    <m/>
    <m/>
    <m/>
    <m/>
    <m/>
    <m/>
    <m/>
    <m/>
    <m/>
    <m/>
    <m/>
    <m/>
    <m/>
    <m/>
    <m/>
    <m/>
    <m/>
    <m/>
    <m/>
    <m/>
    <m/>
    <m/>
    <m/>
    <m/>
    <m/>
    <m/>
    <m/>
    <m/>
    <m/>
    <n v="0"/>
    <n v="0"/>
    <n v="0"/>
    <n v="0"/>
  </r>
  <r>
    <x v="14"/>
    <s v="Germanna Community College"/>
    <m/>
    <n v="232195"/>
    <x v="7"/>
    <m/>
    <m/>
    <m/>
    <m/>
    <m/>
    <m/>
    <m/>
    <m/>
    <m/>
    <m/>
    <m/>
    <m/>
    <m/>
    <m/>
    <m/>
    <m/>
    <m/>
    <m/>
    <m/>
    <m/>
    <m/>
    <m/>
    <m/>
    <m/>
    <m/>
    <m/>
    <m/>
    <m/>
    <m/>
    <m/>
    <m/>
    <m/>
    <m/>
    <m/>
    <m/>
    <m/>
    <n v="0"/>
    <n v="0"/>
    <n v="0"/>
    <n v="0"/>
    <m/>
    <m/>
    <m/>
    <m/>
    <m/>
    <m/>
    <m/>
    <m/>
    <m/>
    <m/>
    <m/>
    <m/>
    <m/>
    <m/>
    <m/>
    <m/>
    <m/>
    <m/>
    <m/>
    <m/>
    <m/>
    <m/>
    <m/>
    <m/>
    <m/>
    <m/>
    <m/>
    <m/>
    <m/>
    <m/>
    <m/>
    <m/>
    <m/>
    <m/>
    <m/>
    <m/>
    <n v="0"/>
    <n v="0"/>
    <n v="0"/>
    <n v="0"/>
  </r>
  <r>
    <x v="14"/>
    <s v="John Tyler Community College"/>
    <m/>
    <n v="232450"/>
    <x v="7"/>
    <m/>
    <m/>
    <m/>
    <m/>
    <m/>
    <m/>
    <m/>
    <m/>
    <m/>
    <m/>
    <m/>
    <m/>
    <m/>
    <m/>
    <m/>
    <m/>
    <m/>
    <m/>
    <m/>
    <m/>
    <m/>
    <m/>
    <m/>
    <m/>
    <m/>
    <m/>
    <m/>
    <m/>
    <m/>
    <m/>
    <m/>
    <m/>
    <m/>
    <m/>
    <m/>
    <m/>
    <n v="0"/>
    <n v="0"/>
    <n v="0"/>
    <n v="0"/>
    <m/>
    <m/>
    <m/>
    <m/>
    <m/>
    <m/>
    <m/>
    <m/>
    <m/>
    <m/>
    <m/>
    <m/>
    <m/>
    <m/>
    <m/>
    <m/>
    <m/>
    <m/>
    <m/>
    <m/>
    <m/>
    <m/>
    <m/>
    <m/>
    <m/>
    <m/>
    <m/>
    <m/>
    <m/>
    <m/>
    <m/>
    <m/>
    <m/>
    <m/>
    <m/>
    <m/>
    <n v="0"/>
    <n v="0"/>
    <n v="0"/>
    <n v="0"/>
  </r>
  <r>
    <x v="14"/>
    <s v="Lord Fairfax Community College  "/>
    <m/>
    <n v="232575"/>
    <x v="7"/>
    <m/>
    <m/>
    <m/>
    <m/>
    <m/>
    <m/>
    <m/>
    <m/>
    <m/>
    <m/>
    <m/>
    <m/>
    <m/>
    <m/>
    <m/>
    <m/>
    <m/>
    <m/>
    <m/>
    <m/>
    <m/>
    <m/>
    <m/>
    <m/>
    <m/>
    <m/>
    <m/>
    <m/>
    <m/>
    <m/>
    <m/>
    <m/>
    <m/>
    <m/>
    <m/>
    <m/>
    <n v="0"/>
    <n v="0"/>
    <n v="0"/>
    <n v="0"/>
    <m/>
    <m/>
    <m/>
    <m/>
    <m/>
    <m/>
    <m/>
    <m/>
    <m/>
    <m/>
    <m/>
    <m/>
    <m/>
    <m/>
    <m/>
    <m/>
    <m/>
    <m/>
    <m/>
    <m/>
    <m/>
    <m/>
    <m/>
    <m/>
    <m/>
    <m/>
    <m/>
    <m/>
    <m/>
    <m/>
    <m/>
    <m/>
    <m/>
    <m/>
    <m/>
    <m/>
    <n v="0"/>
    <n v="0"/>
    <n v="0"/>
    <n v="0"/>
  </r>
  <r>
    <x v="14"/>
    <s v="New River Community College "/>
    <m/>
    <n v="232867"/>
    <x v="7"/>
    <m/>
    <m/>
    <m/>
    <m/>
    <m/>
    <m/>
    <m/>
    <m/>
    <m/>
    <m/>
    <m/>
    <m/>
    <m/>
    <m/>
    <m/>
    <m/>
    <m/>
    <m/>
    <m/>
    <m/>
    <m/>
    <m/>
    <m/>
    <m/>
    <m/>
    <m/>
    <m/>
    <m/>
    <m/>
    <m/>
    <m/>
    <m/>
    <m/>
    <m/>
    <m/>
    <m/>
    <n v="0"/>
    <n v="0"/>
    <n v="0"/>
    <n v="0"/>
    <m/>
    <m/>
    <m/>
    <m/>
    <m/>
    <m/>
    <m/>
    <m/>
    <m/>
    <m/>
    <m/>
    <m/>
    <m/>
    <m/>
    <m/>
    <m/>
    <m/>
    <m/>
    <m/>
    <m/>
    <m/>
    <m/>
    <m/>
    <m/>
    <m/>
    <m/>
    <m/>
    <m/>
    <m/>
    <m/>
    <m/>
    <m/>
    <m/>
    <m/>
    <m/>
    <m/>
    <n v="0"/>
    <n v="0"/>
    <n v="0"/>
    <n v="0"/>
  </r>
  <r>
    <x v="14"/>
    <s v="Piedmont Virginia Community College "/>
    <m/>
    <n v="233116"/>
    <x v="7"/>
    <m/>
    <m/>
    <m/>
    <m/>
    <m/>
    <m/>
    <m/>
    <m/>
    <m/>
    <m/>
    <m/>
    <m/>
    <m/>
    <m/>
    <m/>
    <m/>
    <m/>
    <m/>
    <m/>
    <m/>
    <m/>
    <m/>
    <m/>
    <m/>
    <m/>
    <m/>
    <m/>
    <m/>
    <m/>
    <m/>
    <m/>
    <m/>
    <m/>
    <m/>
    <m/>
    <m/>
    <n v="0"/>
    <n v="0"/>
    <n v="0"/>
    <n v="0"/>
    <m/>
    <m/>
    <m/>
    <m/>
    <m/>
    <m/>
    <m/>
    <m/>
    <m/>
    <m/>
    <m/>
    <m/>
    <m/>
    <m/>
    <m/>
    <m/>
    <m/>
    <m/>
    <m/>
    <m/>
    <m/>
    <m/>
    <m/>
    <m/>
    <m/>
    <m/>
    <m/>
    <m/>
    <m/>
    <m/>
    <m/>
    <m/>
    <m/>
    <m/>
    <m/>
    <m/>
    <n v="0"/>
    <n v="0"/>
    <n v="0"/>
    <n v="0"/>
  </r>
  <r>
    <x v="14"/>
    <s v="Southside Virginia Community College  "/>
    <m/>
    <n v="233639"/>
    <x v="7"/>
    <m/>
    <m/>
    <m/>
    <m/>
    <m/>
    <m/>
    <m/>
    <m/>
    <m/>
    <m/>
    <m/>
    <m/>
    <m/>
    <m/>
    <m/>
    <m/>
    <m/>
    <m/>
    <m/>
    <m/>
    <m/>
    <m/>
    <m/>
    <m/>
    <m/>
    <m/>
    <m/>
    <m/>
    <m/>
    <m/>
    <m/>
    <m/>
    <m/>
    <m/>
    <m/>
    <m/>
    <n v="0"/>
    <n v="0"/>
    <n v="0"/>
    <n v="0"/>
    <m/>
    <m/>
    <m/>
    <m/>
    <m/>
    <m/>
    <m/>
    <m/>
    <m/>
    <m/>
    <m/>
    <m/>
    <m/>
    <m/>
    <m/>
    <m/>
    <m/>
    <m/>
    <m/>
    <m/>
    <m/>
    <m/>
    <m/>
    <m/>
    <m/>
    <m/>
    <m/>
    <m/>
    <m/>
    <m/>
    <m/>
    <m/>
    <m/>
    <m/>
    <m/>
    <m/>
    <n v="0"/>
    <n v="0"/>
    <n v="0"/>
    <n v="0"/>
  </r>
  <r>
    <x v="14"/>
    <s v="Southwest Virginia Community College "/>
    <m/>
    <n v="233648"/>
    <x v="7"/>
    <m/>
    <m/>
    <m/>
    <m/>
    <m/>
    <m/>
    <m/>
    <m/>
    <m/>
    <m/>
    <m/>
    <m/>
    <m/>
    <m/>
    <m/>
    <m/>
    <m/>
    <m/>
    <m/>
    <m/>
    <m/>
    <m/>
    <m/>
    <m/>
    <m/>
    <m/>
    <m/>
    <m/>
    <m/>
    <m/>
    <m/>
    <m/>
    <m/>
    <m/>
    <m/>
    <m/>
    <n v="0"/>
    <n v="0"/>
    <n v="0"/>
    <n v="0"/>
    <m/>
    <m/>
    <m/>
    <m/>
    <m/>
    <m/>
    <m/>
    <m/>
    <m/>
    <m/>
    <m/>
    <m/>
    <m/>
    <m/>
    <m/>
    <m/>
    <m/>
    <m/>
    <m/>
    <m/>
    <m/>
    <m/>
    <m/>
    <m/>
    <m/>
    <m/>
    <m/>
    <m/>
    <m/>
    <m/>
    <m/>
    <m/>
    <m/>
    <m/>
    <m/>
    <m/>
    <n v="0"/>
    <n v="0"/>
    <n v="0"/>
    <n v="0"/>
  </r>
  <r>
    <x v="14"/>
    <s v="Virginia Western Community College "/>
    <s v="Met the criteria for Two-Year 1 in 2010-11."/>
    <n v="233949"/>
    <x v="7"/>
    <m/>
    <m/>
    <m/>
    <m/>
    <m/>
    <m/>
    <m/>
    <m/>
    <m/>
    <m/>
    <m/>
    <m/>
    <m/>
    <m/>
    <m/>
    <m/>
    <m/>
    <m/>
    <m/>
    <m/>
    <m/>
    <m/>
    <m/>
    <m/>
    <m/>
    <m/>
    <m/>
    <m/>
    <m/>
    <m/>
    <m/>
    <m/>
    <m/>
    <m/>
    <m/>
    <m/>
    <n v="0"/>
    <n v="0"/>
    <n v="0"/>
    <n v="0"/>
    <m/>
    <m/>
    <m/>
    <m/>
    <m/>
    <m/>
    <m/>
    <m/>
    <m/>
    <m/>
    <m/>
    <m/>
    <m/>
    <m/>
    <m/>
    <m/>
    <m/>
    <m/>
    <m/>
    <m/>
    <m/>
    <m/>
    <m/>
    <m/>
    <m/>
    <m/>
    <m/>
    <m/>
    <m/>
    <m/>
    <m/>
    <m/>
    <m/>
    <m/>
    <m/>
    <m/>
    <n v="0"/>
    <n v="0"/>
    <n v="0"/>
    <n v="0"/>
  </r>
  <r>
    <x v="14"/>
    <s v="D.S. Lancaster Community College "/>
    <m/>
    <n v="231873"/>
    <x v="8"/>
    <m/>
    <m/>
    <m/>
    <m/>
    <m/>
    <m/>
    <m/>
    <m/>
    <m/>
    <m/>
    <m/>
    <m/>
    <m/>
    <m/>
    <m/>
    <m/>
    <m/>
    <m/>
    <m/>
    <m/>
    <m/>
    <m/>
    <m/>
    <m/>
    <m/>
    <m/>
    <m/>
    <m/>
    <m/>
    <m/>
    <m/>
    <m/>
    <m/>
    <m/>
    <m/>
    <m/>
    <n v="0"/>
    <n v="0"/>
    <n v="0"/>
    <n v="0"/>
    <m/>
    <m/>
    <m/>
    <m/>
    <m/>
    <m/>
    <m/>
    <m/>
    <m/>
    <m/>
    <m/>
    <m/>
    <m/>
    <m/>
    <m/>
    <m/>
    <m/>
    <m/>
    <m/>
    <m/>
    <m/>
    <m/>
    <m/>
    <m/>
    <m/>
    <m/>
    <m/>
    <m/>
    <m/>
    <m/>
    <m/>
    <m/>
    <m/>
    <m/>
    <m/>
    <m/>
    <n v="0"/>
    <n v="0"/>
    <n v="0"/>
    <n v="0"/>
  </r>
  <r>
    <x v="14"/>
    <s v="Eastern Shore Community College  "/>
    <m/>
    <n v="232052"/>
    <x v="8"/>
    <m/>
    <m/>
    <m/>
    <m/>
    <m/>
    <m/>
    <m/>
    <m/>
    <m/>
    <m/>
    <m/>
    <m/>
    <m/>
    <m/>
    <m/>
    <m/>
    <m/>
    <m/>
    <m/>
    <m/>
    <m/>
    <m/>
    <m/>
    <m/>
    <m/>
    <m/>
    <m/>
    <m/>
    <m/>
    <m/>
    <m/>
    <m/>
    <m/>
    <m/>
    <m/>
    <m/>
    <n v="0"/>
    <n v="0"/>
    <n v="0"/>
    <n v="0"/>
    <m/>
    <m/>
    <m/>
    <m/>
    <m/>
    <m/>
    <m/>
    <m/>
    <m/>
    <m/>
    <m/>
    <m/>
    <m/>
    <m/>
    <m/>
    <m/>
    <m/>
    <m/>
    <m/>
    <m/>
    <m/>
    <m/>
    <m/>
    <m/>
    <m/>
    <m/>
    <m/>
    <m/>
    <m/>
    <m/>
    <m/>
    <m/>
    <m/>
    <m/>
    <m/>
    <m/>
    <n v="0"/>
    <n v="0"/>
    <n v="0"/>
    <n v="0"/>
  </r>
  <r>
    <x v="14"/>
    <s v="Mountain Empire Community College"/>
    <s v="Met the criteria for Two-Year 2 in 2010-11."/>
    <n v="232788"/>
    <x v="8"/>
    <m/>
    <m/>
    <m/>
    <m/>
    <m/>
    <m/>
    <m/>
    <m/>
    <m/>
    <m/>
    <m/>
    <m/>
    <m/>
    <m/>
    <m/>
    <m/>
    <m/>
    <m/>
    <m/>
    <m/>
    <m/>
    <m/>
    <m/>
    <m/>
    <m/>
    <m/>
    <m/>
    <m/>
    <m/>
    <m/>
    <m/>
    <m/>
    <m/>
    <m/>
    <m/>
    <m/>
    <n v="0"/>
    <n v="0"/>
    <n v="0"/>
    <n v="0"/>
    <m/>
    <m/>
    <m/>
    <m/>
    <m/>
    <m/>
    <m/>
    <m/>
    <m/>
    <m/>
    <m/>
    <m/>
    <m/>
    <m/>
    <m/>
    <m/>
    <m/>
    <m/>
    <m/>
    <m/>
    <m/>
    <m/>
    <m/>
    <m/>
    <m/>
    <m/>
    <m/>
    <m/>
    <m/>
    <m/>
    <m/>
    <m/>
    <m/>
    <m/>
    <m/>
    <m/>
    <n v="0"/>
    <n v="0"/>
    <n v="0"/>
    <n v="0"/>
  </r>
  <r>
    <x v="14"/>
    <s v="Patrick Henry Community College "/>
    <s v="Met the criteria for Two-Year 2 in 2009-10 and 2010-11."/>
    <n v="233019"/>
    <x v="8"/>
    <m/>
    <m/>
    <m/>
    <m/>
    <m/>
    <m/>
    <m/>
    <m/>
    <m/>
    <m/>
    <m/>
    <m/>
    <m/>
    <m/>
    <m/>
    <m/>
    <m/>
    <m/>
    <m/>
    <m/>
    <m/>
    <m/>
    <m/>
    <m/>
    <m/>
    <m/>
    <m/>
    <m/>
    <m/>
    <m/>
    <m/>
    <m/>
    <m/>
    <m/>
    <m/>
    <m/>
    <n v="0"/>
    <n v="0"/>
    <n v="0"/>
    <n v="0"/>
    <m/>
    <m/>
    <m/>
    <m/>
    <m/>
    <m/>
    <m/>
    <m/>
    <m/>
    <m/>
    <m/>
    <m/>
    <m/>
    <m/>
    <m/>
    <m/>
    <m/>
    <m/>
    <m/>
    <m/>
    <m/>
    <m/>
    <m/>
    <m/>
    <m/>
    <m/>
    <m/>
    <m/>
    <m/>
    <m/>
    <m/>
    <m/>
    <m/>
    <m/>
    <m/>
    <m/>
    <n v="0"/>
    <n v="0"/>
    <n v="0"/>
    <n v="0"/>
  </r>
  <r>
    <x v="14"/>
    <s v="Paul D. Camp Community College  "/>
    <m/>
    <n v="233037"/>
    <x v="8"/>
    <m/>
    <m/>
    <m/>
    <m/>
    <m/>
    <m/>
    <m/>
    <m/>
    <m/>
    <m/>
    <m/>
    <m/>
    <m/>
    <m/>
    <m/>
    <m/>
    <m/>
    <m/>
    <m/>
    <m/>
    <m/>
    <m/>
    <m/>
    <m/>
    <m/>
    <m/>
    <m/>
    <m/>
    <m/>
    <m/>
    <m/>
    <m/>
    <m/>
    <m/>
    <m/>
    <m/>
    <n v="0"/>
    <n v="0"/>
    <n v="0"/>
    <n v="0"/>
    <m/>
    <m/>
    <m/>
    <m/>
    <m/>
    <m/>
    <m/>
    <m/>
    <m/>
    <m/>
    <m/>
    <m/>
    <m/>
    <m/>
    <m/>
    <m/>
    <m/>
    <m/>
    <m/>
    <m/>
    <m/>
    <m/>
    <m/>
    <m/>
    <m/>
    <m/>
    <m/>
    <m/>
    <m/>
    <m/>
    <m/>
    <m/>
    <m/>
    <m/>
    <m/>
    <m/>
    <n v="0"/>
    <n v="0"/>
    <n v="0"/>
    <n v="0"/>
  </r>
  <r>
    <x v="14"/>
    <s v="Rappahannock Community College  "/>
    <m/>
    <n v="233310"/>
    <x v="8"/>
    <m/>
    <m/>
    <m/>
    <m/>
    <m/>
    <m/>
    <m/>
    <m/>
    <m/>
    <m/>
    <m/>
    <m/>
    <m/>
    <m/>
    <m/>
    <m/>
    <m/>
    <m/>
    <m/>
    <m/>
    <m/>
    <m/>
    <m/>
    <m/>
    <m/>
    <m/>
    <m/>
    <m/>
    <m/>
    <m/>
    <m/>
    <m/>
    <m/>
    <m/>
    <m/>
    <m/>
    <n v="0"/>
    <n v="0"/>
    <n v="0"/>
    <n v="0"/>
    <m/>
    <m/>
    <m/>
    <m/>
    <m/>
    <m/>
    <m/>
    <m/>
    <m/>
    <m/>
    <m/>
    <m/>
    <m/>
    <m/>
    <m/>
    <m/>
    <m/>
    <m/>
    <m/>
    <m/>
    <m/>
    <m/>
    <m/>
    <m/>
    <m/>
    <m/>
    <m/>
    <m/>
    <m/>
    <m/>
    <m/>
    <m/>
    <m/>
    <m/>
    <m/>
    <m/>
    <n v="0"/>
    <n v="0"/>
    <n v="0"/>
    <n v="0"/>
  </r>
  <r>
    <x v="14"/>
    <s v="Virginia Highlands Community College "/>
    <m/>
    <n v="233903"/>
    <x v="8"/>
    <m/>
    <m/>
    <m/>
    <m/>
    <m/>
    <m/>
    <m/>
    <m/>
    <m/>
    <m/>
    <m/>
    <m/>
    <m/>
    <m/>
    <m/>
    <m/>
    <m/>
    <m/>
    <m/>
    <m/>
    <m/>
    <m/>
    <m/>
    <m/>
    <m/>
    <m/>
    <m/>
    <m/>
    <m/>
    <m/>
    <m/>
    <m/>
    <m/>
    <m/>
    <m/>
    <m/>
    <n v="0"/>
    <n v="0"/>
    <n v="0"/>
    <n v="0"/>
    <m/>
    <m/>
    <m/>
    <m/>
    <m/>
    <m/>
    <m/>
    <m/>
    <m/>
    <m/>
    <m/>
    <m/>
    <m/>
    <m/>
    <m/>
    <m/>
    <m/>
    <m/>
    <m/>
    <m/>
    <m/>
    <m/>
    <m/>
    <m/>
    <m/>
    <m/>
    <m/>
    <m/>
    <m/>
    <m/>
    <m/>
    <m/>
    <m/>
    <m/>
    <m/>
    <m/>
    <n v="0"/>
    <n v="0"/>
    <n v="0"/>
    <n v="0"/>
  </r>
  <r>
    <x v="14"/>
    <s v="Wytheville Community College "/>
    <s v="Met the criteria for Two-Year 2 in 2009-10 and 2010-11."/>
    <n v="234377"/>
    <x v="8"/>
    <m/>
    <m/>
    <m/>
    <m/>
    <m/>
    <m/>
    <m/>
    <m/>
    <m/>
    <m/>
    <m/>
    <m/>
    <m/>
    <m/>
    <m/>
    <m/>
    <m/>
    <m/>
    <m/>
    <m/>
    <m/>
    <m/>
    <m/>
    <m/>
    <m/>
    <m/>
    <m/>
    <m/>
    <m/>
    <m/>
    <m/>
    <m/>
    <m/>
    <m/>
    <m/>
    <m/>
    <n v="0"/>
    <n v="0"/>
    <n v="0"/>
    <n v="0"/>
    <m/>
    <m/>
    <m/>
    <m/>
    <m/>
    <m/>
    <m/>
    <m/>
    <m/>
    <m/>
    <m/>
    <m/>
    <m/>
    <m/>
    <m/>
    <m/>
    <m/>
    <m/>
    <m/>
    <m/>
    <m/>
    <m/>
    <m/>
    <m/>
    <m/>
    <m/>
    <m/>
    <m/>
    <m/>
    <m/>
    <m/>
    <m/>
    <m/>
    <m/>
    <m/>
    <m/>
    <n v="0"/>
    <n v="0"/>
    <n v="0"/>
    <n v="0"/>
  </r>
  <r>
    <x v="14"/>
    <s v="Richard Bland College "/>
    <m/>
    <n v="233338"/>
    <x v="14"/>
    <n v="32"/>
    <n v="192520"/>
    <n v="32"/>
    <n v="175841"/>
    <n v="32"/>
    <n v="250044"/>
    <n v="32"/>
    <n v="250284"/>
    <n v="33"/>
    <n v="18290"/>
    <n v="33"/>
    <n v="11856"/>
    <n v="33"/>
    <n v="139921"/>
    <n v="33"/>
    <n v="137419"/>
    <m/>
    <m/>
    <m/>
    <m/>
    <n v="33"/>
    <n v="14449"/>
    <n v="33"/>
    <n v="18323"/>
    <m/>
    <m/>
    <m/>
    <m/>
    <m/>
    <m/>
    <m/>
    <m/>
    <m/>
    <m/>
    <m/>
    <m/>
    <n v="33"/>
    <n v="615224"/>
    <n v="33"/>
    <n v="593723"/>
    <m/>
    <m/>
    <m/>
    <m/>
    <m/>
    <m/>
    <m/>
    <m/>
    <m/>
    <m/>
    <m/>
    <m/>
    <m/>
    <m/>
    <m/>
    <m/>
    <m/>
    <m/>
    <m/>
    <m/>
    <m/>
    <m/>
    <m/>
    <m/>
    <m/>
    <m/>
    <m/>
    <m/>
    <m/>
    <m/>
    <m/>
    <m/>
    <m/>
    <m/>
    <m/>
    <m/>
    <n v="0"/>
    <n v="0"/>
    <n v="0"/>
    <n v="0"/>
  </r>
  <r>
    <x v="14"/>
    <s v="All Community Colleges except R.Bland"/>
    <m/>
    <s v="All CC x Bland"/>
    <x v="15"/>
    <n v="1972"/>
    <n v="12742356"/>
    <n v="2043"/>
    <n v="13134723"/>
    <n v="1972"/>
    <n v="12559668"/>
    <n v="2043"/>
    <n v="13011867"/>
    <m/>
    <m/>
    <m/>
    <m/>
    <n v="1972"/>
    <n v="8680224"/>
    <n v="2043"/>
    <n v="8947521"/>
    <m/>
    <m/>
    <m/>
    <m/>
    <n v="1972"/>
    <n v="930446"/>
    <n v="2043"/>
    <n v="959088"/>
    <m/>
    <m/>
    <m/>
    <m/>
    <m/>
    <m/>
    <m/>
    <m/>
    <m/>
    <m/>
    <m/>
    <m/>
    <n v="1972"/>
    <n v="34912694"/>
    <n v="2043"/>
    <n v="36053199"/>
    <n v="199"/>
    <n v="1474286"/>
    <n v="183"/>
    <n v="1365695"/>
    <n v="199"/>
    <n v="1267431"/>
    <n v="183"/>
    <n v="1165527"/>
    <m/>
    <m/>
    <m/>
    <m/>
    <n v="199"/>
    <n v="1000684"/>
    <n v="183"/>
    <n v="926716"/>
    <m/>
    <m/>
    <m/>
    <m/>
    <n v="199"/>
    <n v="107653"/>
    <n v="183"/>
    <n v="99724"/>
    <m/>
    <m/>
    <m/>
    <m/>
    <m/>
    <m/>
    <m/>
    <m/>
    <m/>
    <m/>
    <m/>
    <m/>
    <n v="199"/>
    <n v="3850054"/>
    <n v="183"/>
    <n v="3557662"/>
  </r>
  <r>
    <x v="15"/>
    <s v="West Virginia University"/>
    <m/>
    <n v="238032"/>
    <x v="0"/>
    <n v="796"/>
    <n v="3490460"/>
    <n v="799"/>
    <n v="3541082"/>
    <n v="796"/>
    <n v="4758488"/>
    <n v="799"/>
    <n v="5031913"/>
    <m/>
    <m/>
    <m/>
    <m/>
    <n v="796"/>
    <n v="4465601"/>
    <n v="799"/>
    <n v="4482370"/>
    <m/>
    <m/>
    <m/>
    <m/>
    <n v="796"/>
    <n v="51294.239999999998"/>
    <n v="799"/>
    <n v="51487.56"/>
    <n v="796"/>
    <n v="332731"/>
    <n v="799"/>
    <n v="333980"/>
    <m/>
    <m/>
    <m/>
    <m/>
    <m/>
    <m/>
    <m/>
    <m/>
    <n v="796"/>
    <n v="13098574.24"/>
    <n v="799"/>
    <n v="13440832.559999999"/>
    <n v="151"/>
    <n v="961568"/>
    <n v="0"/>
    <n v="1098993"/>
    <n v="151"/>
    <n v="968514"/>
    <n v="165"/>
    <n v="1131744"/>
    <m/>
    <m/>
    <m/>
    <m/>
    <n v="151"/>
    <n v="1251397"/>
    <n v="165"/>
    <n v="0"/>
    <m/>
    <m/>
    <m/>
    <m/>
    <n v="151"/>
    <n v="9730"/>
    <n v="165"/>
    <n v="10632.6"/>
    <n v="151"/>
    <n v="93241"/>
    <n v="165"/>
    <n v="0"/>
    <m/>
    <m/>
    <m/>
    <m/>
    <m/>
    <m/>
    <m/>
    <m/>
    <n v="151"/>
    <n v="3284450"/>
    <n v="165"/>
    <n v="2241369.6"/>
  </r>
  <r>
    <x v="15"/>
    <s v="Marshall University "/>
    <m/>
    <n v="237525"/>
    <x v="2"/>
    <n v="444"/>
    <n v="1694809"/>
    <n v="451"/>
    <n v="1719820"/>
    <n v="444"/>
    <n v="3071592"/>
    <n v="451"/>
    <n v="2781024"/>
    <m/>
    <m/>
    <m/>
    <m/>
    <n v="444"/>
    <n v="2049984"/>
    <n v="451"/>
    <n v="2094413.5574999999"/>
    <m/>
    <m/>
    <m/>
    <m/>
    <n v="444"/>
    <n v="28611.360000000001"/>
    <n v="451"/>
    <n v="29062.44"/>
    <n v="444"/>
    <n v="152744"/>
    <n v="451"/>
    <n v="156054.34349999999"/>
    <m/>
    <m/>
    <m/>
    <m/>
    <m/>
    <m/>
    <m/>
    <m/>
    <n v="444"/>
    <n v="6997740.3599999994"/>
    <n v="451"/>
    <n v="6780374.341"/>
    <n v="25"/>
    <n v="152877"/>
    <n v="27"/>
    <n v="158978"/>
    <n v="25"/>
    <n v="182100"/>
    <n v="27"/>
    <n v="169470"/>
    <m/>
    <m/>
    <m/>
    <m/>
    <n v="25"/>
    <n v="172435"/>
    <n v="27"/>
    <n v="189416.67749999999"/>
    <m/>
    <m/>
    <m/>
    <m/>
    <n v="25"/>
    <n v="1611"/>
    <n v="27"/>
    <n v="1739.8799999999999"/>
    <n v="25"/>
    <n v="12848"/>
    <n v="27"/>
    <n v="14113.3995"/>
    <m/>
    <m/>
    <m/>
    <m/>
    <m/>
    <m/>
    <m/>
    <m/>
    <n v="25"/>
    <n v="521871"/>
    <n v="27"/>
    <n v="533717.95699999994"/>
  </r>
  <r>
    <x v="15"/>
    <s v="Fairmont State University"/>
    <m/>
    <n v="237367"/>
    <x v="4"/>
    <n v="149"/>
    <n v="571266"/>
    <n v="146"/>
    <n v="554450"/>
    <n v="149"/>
    <n v="1056857"/>
    <n v="146"/>
    <n v="867696"/>
    <m/>
    <m/>
    <m/>
    <m/>
    <n v="149"/>
    <n v="665262"/>
    <n v="146"/>
    <n v="654682.10399999993"/>
    <m/>
    <m/>
    <m/>
    <m/>
    <n v="149"/>
    <n v="9601.56"/>
    <n v="146"/>
    <n v="9408.24"/>
    <n v="149"/>
    <n v="49569"/>
    <n v="146"/>
    <n v="48780.235199999988"/>
    <m/>
    <m/>
    <m/>
    <m/>
    <m/>
    <m/>
    <m/>
    <m/>
    <n v="149"/>
    <n v="2352555.56"/>
    <n v="146"/>
    <n v="2135016.5792"/>
    <n v="19"/>
    <n v="75886"/>
    <n v="17"/>
    <n v="68131"/>
    <n v="19"/>
    <n v="123595"/>
    <n v="17"/>
    <n v="108048"/>
    <m/>
    <m/>
    <m/>
    <m/>
    <n v="19"/>
    <n v="107431"/>
    <n v="17"/>
    <n v="96538.715999999986"/>
    <m/>
    <m/>
    <m/>
    <m/>
    <n v="19"/>
    <n v="1224"/>
    <n v="17"/>
    <n v="1095.48"/>
    <n v="19"/>
    <n v="8005"/>
    <n v="17"/>
    <n v="7193.0807999999997"/>
    <m/>
    <m/>
    <m/>
    <m/>
    <m/>
    <m/>
    <m/>
    <m/>
    <n v="19"/>
    <n v="316141"/>
    <n v="17"/>
    <n v="281006.27679999999"/>
  </r>
  <r>
    <x v="15"/>
    <s v="Bluefield State College "/>
    <m/>
    <n v="237215"/>
    <x v="5"/>
    <n v="71"/>
    <n v="246015"/>
    <n v="71"/>
    <n v="248666"/>
    <n v="71"/>
    <n v="309915"/>
    <n v="71"/>
    <n v="307711"/>
    <m/>
    <m/>
    <m/>
    <m/>
    <n v="71"/>
    <n v="307966"/>
    <n v="71"/>
    <n v="311018.55299999996"/>
    <m/>
    <m/>
    <m/>
    <m/>
    <n v="71"/>
    <n v="4575.24"/>
    <n v="71"/>
    <n v="4575.24"/>
    <n v="71"/>
    <n v="22946"/>
    <n v="71"/>
    <n v="23173.931399999998"/>
    <m/>
    <m/>
    <m/>
    <m/>
    <m/>
    <m/>
    <m/>
    <m/>
    <n v="71"/>
    <n v="891417.24"/>
    <n v="71"/>
    <n v="895144.72439999995"/>
    <n v="5"/>
    <n v="35195"/>
    <n v="5"/>
    <n v="35218"/>
    <n v="5"/>
    <n v="20005"/>
    <n v="5"/>
    <n v="20088"/>
    <m/>
    <m/>
    <m/>
    <m/>
    <n v="5"/>
    <n v="29020"/>
    <n v="5"/>
    <n v="25680.285"/>
    <m/>
    <m/>
    <m/>
    <m/>
    <n v="5"/>
    <n v="322"/>
    <n v="5"/>
    <n v="322.2"/>
    <n v="5"/>
    <n v="2162"/>
    <n v="5"/>
    <n v="1913.4329999999998"/>
    <m/>
    <m/>
    <m/>
    <m/>
    <m/>
    <m/>
    <m/>
    <m/>
    <n v="5"/>
    <n v="86704"/>
    <n v="5"/>
    <n v="83221.918000000005"/>
  </r>
  <r>
    <x v="15"/>
    <s v="Concord University "/>
    <m/>
    <n v="237330"/>
    <x v="5"/>
    <n v="105"/>
    <n v="375690"/>
    <n v="107"/>
    <n v="368532"/>
    <n v="105"/>
    <n v="691845"/>
    <n v="107"/>
    <n v="463656"/>
    <m/>
    <m/>
    <m/>
    <m/>
    <n v="105"/>
    <n v="423305"/>
    <n v="107"/>
    <n v="445348.49850000005"/>
    <m/>
    <m/>
    <m/>
    <m/>
    <n v="105"/>
    <n v="6766.2"/>
    <n v="107"/>
    <n v="6895.08"/>
    <n v="105"/>
    <n v="31540"/>
    <n v="107"/>
    <n v="33182.829299999998"/>
    <m/>
    <m/>
    <m/>
    <m/>
    <m/>
    <m/>
    <m/>
    <m/>
    <n v="105"/>
    <n v="1529146.2"/>
    <n v="107"/>
    <n v="1317614.4078000002"/>
    <n v="4"/>
    <n v="20564"/>
    <n v="5"/>
    <n v="22679"/>
    <n v="4"/>
    <n v="26928"/>
    <n v="5"/>
    <n v="33420"/>
    <m/>
    <m/>
    <m/>
    <m/>
    <n v="4"/>
    <n v="25155"/>
    <n v="5"/>
    <n v="29931.39"/>
    <m/>
    <m/>
    <m/>
    <m/>
    <n v="4"/>
    <n v="258"/>
    <n v="5"/>
    <n v="322.2"/>
    <n v="4"/>
    <n v="1874"/>
    <n v="5"/>
    <n v="2230.1819999999998"/>
    <m/>
    <m/>
    <m/>
    <m/>
    <m/>
    <m/>
    <m/>
    <m/>
    <n v="4"/>
    <n v="74779"/>
    <n v="5"/>
    <n v="88582.771999999997"/>
  </r>
  <r>
    <x v="15"/>
    <s v="Glenville State College "/>
    <m/>
    <n v="237385"/>
    <x v="5"/>
    <n v="57"/>
    <n v="198588"/>
    <n v="63"/>
    <n v="223597"/>
    <n v="57"/>
    <n v="343596"/>
    <n v="63"/>
    <n v="370182"/>
    <m/>
    <m/>
    <m/>
    <m/>
    <n v="57"/>
    <n v="212073"/>
    <n v="63"/>
    <n v="236936.25899999999"/>
    <m/>
    <m/>
    <m/>
    <m/>
    <n v="57"/>
    <n v="3673.08"/>
    <n v="63"/>
    <n v="4059.72"/>
    <n v="57"/>
    <n v="15802"/>
    <n v="63"/>
    <n v="17654.074199999999"/>
    <m/>
    <m/>
    <m/>
    <m/>
    <m/>
    <m/>
    <m/>
    <m/>
    <n v="57"/>
    <n v="773732.08000000007"/>
    <n v="63"/>
    <n v="852429.05319999997"/>
    <n v="3"/>
    <n v="17916"/>
    <n v="4"/>
    <n v="18271"/>
    <n v="3"/>
    <n v="17886"/>
    <n v="4"/>
    <n v="17886"/>
    <m/>
    <m/>
    <m/>
    <m/>
    <n v="3"/>
    <n v="13987"/>
    <n v="4"/>
    <n v="16781.957999999999"/>
    <m/>
    <m/>
    <m/>
    <m/>
    <n v="3"/>
    <n v="193"/>
    <n v="4"/>
    <n v="257.76"/>
    <n v="3"/>
    <n v="1042"/>
    <n v="4"/>
    <n v="1250.4203999999997"/>
    <m/>
    <m/>
    <m/>
    <m/>
    <m/>
    <m/>
    <m/>
    <m/>
    <n v="3"/>
    <n v="51024"/>
    <n v="4"/>
    <n v="54447.138399999996"/>
  </r>
  <r>
    <x v="15"/>
    <s v="Shepherd University "/>
    <s v="Reclassified: met the criteria for Four-Year 5 in 2008-09, 2009-10 and 2010-11."/>
    <n v="237792"/>
    <x v="4"/>
    <n v="120"/>
    <n v="456240"/>
    <n v="121"/>
    <n v="469997"/>
    <n v="120"/>
    <n v="754320"/>
    <n v="121"/>
    <n v="633624"/>
    <m/>
    <m/>
    <m/>
    <m/>
    <n v="120"/>
    <n v="539756"/>
    <n v="121"/>
    <n v="553279.51800000004"/>
    <m/>
    <m/>
    <m/>
    <m/>
    <n v="120"/>
    <n v="7732.8"/>
    <n v="121"/>
    <n v="7797.24"/>
    <n v="120"/>
    <n v="40217"/>
    <n v="121"/>
    <n v="41224.748399999997"/>
    <m/>
    <m/>
    <m/>
    <m/>
    <m/>
    <m/>
    <m/>
    <m/>
    <n v="120"/>
    <n v="1798265.8"/>
    <n v="121"/>
    <n v="1705922.5064000001"/>
    <n v="4"/>
    <n v="18180"/>
    <n v="4"/>
    <n v="18607"/>
    <n v="4"/>
    <n v="31308"/>
    <n v="4"/>
    <n v="23244"/>
    <m/>
    <m/>
    <m/>
    <m/>
    <n v="4"/>
    <n v="23522"/>
    <n v="4"/>
    <n v="24088.32"/>
    <m/>
    <m/>
    <m/>
    <m/>
    <n v="4"/>
    <n v="258"/>
    <n v="4"/>
    <n v="257.76"/>
    <n v="4"/>
    <n v="1753"/>
    <n v="4"/>
    <n v="1794.8159999999998"/>
    <m/>
    <m/>
    <m/>
    <m/>
    <m/>
    <m/>
    <m/>
    <m/>
    <n v="4"/>
    <n v="75021"/>
    <n v="4"/>
    <n v="67991.896000000008"/>
  </r>
  <r>
    <x v="15"/>
    <s v="West Liberty University"/>
    <m/>
    <n v="237932"/>
    <x v="5"/>
    <n v="107"/>
    <n v="310514"/>
    <n v="109"/>
    <n v="326506"/>
    <n v="107"/>
    <n v="635580"/>
    <n v="109"/>
    <n v="507764"/>
    <m/>
    <m/>
    <m/>
    <m/>
    <n v="107"/>
    <n v="413523"/>
    <n v="109"/>
    <n v="438496.69949999999"/>
    <m/>
    <m/>
    <m/>
    <m/>
    <n v="107"/>
    <n v="6895.08"/>
    <n v="109"/>
    <n v="7023.96"/>
    <n v="107"/>
    <n v="30812"/>
    <n v="109"/>
    <n v="32672.303099999994"/>
    <m/>
    <m/>
    <m/>
    <m/>
    <m/>
    <m/>
    <m/>
    <m/>
    <n v="107"/>
    <n v="1397324.08"/>
    <n v="109"/>
    <n v="1312462.9626"/>
    <n v="10"/>
    <n v="28570"/>
    <n v="9"/>
    <n v="21674"/>
    <n v="10"/>
    <n v="32256"/>
    <n v="9"/>
    <n v="27648"/>
    <m/>
    <m/>
    <m/>
    <m/>
    <n v="10"/>
    <n v="46422"/>
    <n v="9"/>
    <n v="42037.055999999997"/>
    <m/>
    <m/>
    <m/>
    <m/>
    <n v="10"/>
    <n v="644"/>
    <n v="9"/>
    <n v="579.96"/>
    <n v="10"/>
    <n v="3459"/>
    <n v="9"/>
    <n v="3132.1727999999994"/>
    <m/>
    <m/>
    <m/>
    <m/>
    <m/>
    <m/>
    <m/>
    <m/>
    <n v="10"/>
    <n v="111351"/>
    <n v="9"/>
    <n v="95071.188800000004"/>
  </r>
  <r>
    <x v="15"/>
    <s v="West Virginia State University "/>
    <m/>
    <n v="237899"/>
    <x v="5"/>
    <n v="119"/>
    <n v="368781"/>
    <n v="118"/>
    <n v="351770"/>
    <n v="119"/>
    <n v="696388"/>
    <n v="118"/>
    <n v="608136"/>
    <m/>
    <m/>
    <m/>
    <m/>
    <n v="119"/>
    <n v="476477"/>
    <n v="118"/>
    <n v="473267.55599999998"/>
    <m/>
    <m/>
    <m/>
    <m/>
    <n v="119"/>
    <n v="7668.36"/>
    <n v="118"/>
    <n v="7603.92"/>
    <n v="119"/>
    <n v="35502"/>
    <n v="118"/>
    <n v="35263.072799999994"/>
    <m/>
    <m/>
    <m/>
    <m/>
    <m/>
    <m/>
    <m/>
    <m/>
    <n v="119"/>
    <n v="1584816.3599999999"/>
    <n v="118"/>
    <n v="1476040.5488"/>
    <n v="2"/>
    <n v="7288"/>
    <n v="2"/>
    <n v="7602"/>
    <n v="2"/>
    <n v="17952"/>
    <n v="2"/>
    <n v="18572"/>
    <m/>
    <m/>
    <m/>
    <m/>
    <n v="2"/>
    <n v="9292"/>
    <n v="2"/>
    <n v="9693.1620000000003"/>
    <m/>
    <m/>
    <m/>
    <m/>
    <n v="2"/>
    <n v="129"/>
    <n v="2"/>
    <n v="128.88"/>
    <n v="2"/>
    <n v="692"/>
    <n v="2"/>
    <n v="722.23559999999986"/>
    <m/>
    <m/>
    <m/>
    <m/>
    <m/>
    <m/>
    <m/>
    <m/>
    <n v="2"/>
    <n v="35353"/>
    <n v="2"/>
    <n v="36718.277600000001"/>
  </r>
  <r>
    <x v="15"/>
    <s v="West Virginia University Institute of Technology"/>
    <m/>
    <n v="237950"/>
    <x v="5"/>
    <n v="80"/>
    <n v="282640"/>
    <n v="84"/>
    <n v="304695"/>
    <n v="80"/>
    <n v="428160"/>
    <n v="84"/>
    <n v="521100"/>
    <m/>
    <m/>
    <m/>
    <m/>
    <n v="80"/>
    <n v="361068"/>
    <n v="84"/>
    <n v="380194.29"/>
    <m/>
    <m/>
    <m/>
    <m/>
    <n v="80"/>
    <n v="5155.2"/>
    <n v="84"/>
    <n v="5412.96"/>
    <n v="80"/>
    <n v="26903"/>
    <n v="84"/>
    <n v="28328.201999999994"/>
    <m/>
    <m/>
    <m/>
    <m/>
    <m/>
    <m/>
    <m/>
    <m/>
    <n v="80"/>
    <n v="1103926.2"/>
    <n v="84"/>
    <n v="1239730.452"/>
    <n v="7"/>
    <n v="24626"/>
    <n v="6"/>
    <n v="21577"/>
    <n v="7"/>
    <n v="39368"/>
    <n v="6"/>
    <n v="33744"/>
    <m/>
    <m/>
    <m/>
    <m/>
    <n v="7"/>
    <n v="31396"/>
    <n v="6"/>
    <n v="27510.165000000001"/>
    <m/>
    <m/>
    <m/>
    <m/>
    <n v="7"/>
    <n v="451"/>
    <n v="6"/>
    <n v="386.64"/>
    <n v="7"/>
    <n v="2339"/>
    <n v="6"/>
    <n v="2049.7769999999996"/>
    <m/>
    <m/>
    <m/>
    <m/>
    <m/>
    <m/>
    <m/>
    <m/>
    <n v="7"/>
    <n v="98180"/>
    <n v="6"/>
    <n v="85267.581999999995"/>
  </r>
  <r>
    <x v="15"/>
    <s v="Potomac State College of West Virginia University"/>
    <m/>
    <n v="237701"/>
    <x v="11"/>
    <n v="41"/>
    <n v="116235"/>
    <n v="41"/>
    <n v="117183"/>
    <n v="41"/>
    <n v="106559"/>
    <n v="41"/>
    <n v="107418"/>
    <m/>
    <m/>
    <m/>
    <m/>
    <n v="41"/>
    <n v="149338"/>
    <n v="41"/>
    <n v="154413.03149999998"/>
    <m/>
    <m/>
    <m/>
    <m/>
    <n v="41"/>
    <n v="2642.04"/>
    <n v="41"/>
    <n v="2642.04"/>
    <n v="41"/>
    <n v="11127"/>
    <n v="41"/>
    <n v="11505.284699999998"/>
    <m/>
    <m/>
    <m/>
    <m/>
    <m/>
    <m/>
    <m/>
    <m/>
    <n v="41"/>
    <n v="385901.04000000004"/>
    <n v="41"/>
    <n v="393161.35619999998"/>
    <m/>
    <m/>
    <m/>
    <m/>
    <m/>
    <m/>
    <m/>
    <m/>
    <m/>
    <m/>
    <m/>
    <m/>
    <m/>
    <m/>
    <m/>
    <n v="0"/>
    <m/>
    <m/>
    <m/>
    <m/>
    <m/>
    <m/>
    <n v="0"/>
    <n v="0"/>
    <m/>
    <m/>
    <n v="0"/>
    <n v="0"/>
    <m/>
    <m/>
    <m/>
    <m/>
    <m/>
    <m/>
    <m/>
    <m/>
    <n v="0"/>
    <n v="0"/>
    <n v="0"/>
    <n v="0"/>
  </r>
  <r>
    <x v="15"/>
    <s v="West Virginia University at Parkersburg"/>
    <m/>
    <n v="237686"/>
    <x v="11"/>
    <n v="80"/>
    <n v="222400"/>
    <n v="85"/>
    <n v="261860"/>
    <n v="80"/>
    <n v="437600"/>
    <n v="85"/>
    <n v="501890"/>
    <m/>
    <m/>
    <m/>
    <m/>
    <n v="80"/>
    <n v="284910"/>
    <n v="85"/>
    <n v="296201.88"/>
    <m/>
    <m/>
    <m/>
    <m/>
    <n v="80"/>
    <n v="5155.2"/>
    <n v="85"/>
    <n v="5477.4"/>
    <n v="80"/>
    <n v="21229"/>
    <n v="85"/>
    <n v="22069.943999999996"/>
    <m/>
    <m/>
    <m/>
    <m/>
    <m/>
    <m/>
    <m/>
    <m/>
    <n v="80"/>
    <n v="971294.2"/>
    <n v="85"/>
    <n v="1087499.2239999999"/>
    <n v="6"/>
    <n v="23292"/>
    <n v="7"/>
    <n v="19910"/>
    <n v="6"/>
    <n v="30012"/>
    <n v="7"/>
    <n v="25510"/>
    <m/>
    <m/>
    <m/>
    <m/>
    <n v="6"/>
    <n v="28783"/>
    <n v="7"/>
    <n v="32370.975000000002"/>
    <m/>
    <m/>
    <m/>
    <m/>
    <n v="6"/>
    <n v="387"/>
    <n v="7"/>
    <n v="451.08"/>
    <n v="6"/>
    <n v="2145"/>
    <n v="7"/>
    <n v="2411.9549999999995"/>
    <m/>
    <m/>
    <m/>
    <m/>
    <m/>
    <m/>
    <m/>
    <m/>
    <n v="6"/>
    <n v="84619"/>
    <n v="7"/>
    <n v="80654.010000000009"/>
  </r>
  <r>
    <x v="15"/>
    <s v="Blue Ridge Community &amp; Technical College"/>
    <m/>
    <n v="446774"/>
    <x v="8"/>
    <n v="19"/>
    <n v="45125"/>
    <n v="23"/>
    <n v="56598"/>
    <n v="19"/>
    <n v="184756"/>
    <n v="23"/>
    <n v="56796"/>
    <m/>
    <m/>
    <m/>
    <m/>
    <n v="19"/>
    <n v="65091"/>
    <n v="23"/>
    <n v="77750.545499999993"/>
    <m/>
    <m/>
    <m/>
    <m/>
    <n v="19"/>
    <n v="1224.3599999999999"/>
    <n v="23"/>
    <n v="1482.12"/>
    <n v="19"/>
    <n v="4850"/>
    <n v="23"/>
    <n v="5793.1778999999988"/>
    <m/>
    <m/>
    <m/>
    <m/>
    <m/>
    <m/>
    <m/>
    <m/>
    <n v="19"/>
    <n v="301046.36"/>
    <n v="23"/>
    <n v="198419.84340000001"/>
    <n v="16"/>
    <n v="45520"/>
    <n v="18"/>
    <n v="41883"/>
    <n v="16"/>
    <n v="44200"/>
    <n v="18"/>
    <n v="55250"/>
    <m/>
    <m/>
    <m/>
    <m/>
    <n v="16"/>
    <n v="58262"/>
    <n v="18"/>
    <n v="66224.061000000002"/>
    <m/>
    <m/>
    <m/>
    <m/>
    <n v="16"/>
    <n v="1031"/>
    <n v="18"/>
    <n v="1159.92"/>
    <n v="16"/>
    <n v="4341"/>
    <n v="18"/>
    <n v="4934.3417999999992"/>
    <m/>
    <m/>
    <m/>
    <m/>
    <m/>
    <m/>
    <m/>
    <m/>
    <n v="16"/>
    <n v="153354"/>
    <n v="18"/>
    <n v="169451.32279999999"/>
  </r>
  <r>
    <x v="15"/>
    <s v="Bridgemont Community &amp; Technical College"/>
    <m/>
    <n v="445674"/>
    <x v="8"/>
    <n v="25"/>
    <n v="74375"/>
    <n v="27"/>
    <n v="86800"/>
    <n v="25"/>
    <n v="191500"/>
    <n v="27"/>
    <n v="221200"/>
    <m/>
    <m/>
    <m/>
    <m/>
    <n v="25"/>
    <n v="92402"/>
    <n v="27"/>
    <n v="114804.621"/>
    <m/>
    <m/>
    <m/>
    <m/>
    <n v="25"/>
    <n v="1611"/>
    <n v="27"/>
    <n v="1739.8799999999999"/>
    <n v="25"/>
    <n v="6885"/>
    <n v="27"/>
    <n v="8554.0697999999993"/>
    <m/>
    <m/>
    <m/>
    <m/>
    <m/>
    <m/>
    <m/>
    <m/>
    <n v="25"/>
    <n v="366773"/>
    <n v="27"/>
    <n v="433098.57079999999"/>
    <n v="7"/>
    <n v="20664"/>
    <n v="8"/>
    <n v="27901"/>
    <n v="7"/>
    <n v="5978"/>
    <n v="8"/>
    <n v="7830"/>
    <m/>
    <m/>
    <m/>
    <m/>
    <n v="7"/>
    <n v="34761"/>
    <n v="8"/>
    <n v="41748.192000000003"/>
    <m/>
    <m/>
    <m/>
    <m/>
    <n v="7"/>
    <n v="451"/>
    <n v="8"/>
    <n v="515.52"/>
    <n v="7"/>
    <n v="2590"/>
    <n v="8"/>
    <n v="3110.6495999999997"/>
    <m/>
    <m/>
    <m/>
    <m/>
    <m/>
    <m/>
    <m/>
    <m/>
    <n v="7"/>
    <n v="64444"/>
    <n v="8"/>
    <n v="81105.361600000004"/>
  </r>
  <r>
    <x v="15"/>
    <s v="Eastern West Virginia Community &amp; Technical College"/>
    <m/>
    <n v="438708"/>
    <x v="8"/>
    <m/>
    <m/>
    <m/>
    <m/>
    <m/>
    <m/>
    <m/>
    <m/>
    <m/>
    <m/>
    <m/>
    <m/>
    <m/>
    <m/>
    <m/>
    <n v="0"/>
    <m/>
    <m/>
    <m/>
    <m/>
    <m/>
    <s v=" "/>
    <m/>
    <n v="0"/>
    <m/>
    <m/>
    <m/>
    <n v="0"/>
    <m/>
    <m/>
    <m/>
    <m/>
    <m/>
    <m/>
    <m/>
    <m/>
    <n v="0"/>
    <n v="0"/>
    <n v="0"/>
    <n v="0"/>
    <n v="3"/>
    <n v="6828"/>
    <n v="5"/>
    <n v="2760"/>
    <n v="3"/>
    <n v="8112"/>
    <n v="5"/>
    <n v="13520"/>
    <m/>
    <m/>
    <m/>
    <m/>
    <n v="3"/>
    <n v="8862"/>
    <n v="5"/>
    <n v="17402.602500000001"/>
    <m/>
    <m/>
    <m/>
    <m/>
    <n v="3"/>
    <n v="193"/>
    <n v="5"/>
    <n v="322.2"/>
    <n v="3"/>
    <n v="660"/>
    <n v="5"/>
    <n v="1296.6644999999999"/>
    <m/>
    <m/>
    <m/>
    <m/>
    <m/>
    <m/>
    <m/>
    <m/>
    <n v="3"/>
    <n v="24655"/>
    <n v="5"/>
    <n v="35301.467000000004"/>
  </r>
  <r>
    <x v="15"/>
    <s v="Kanawha Valley Community &amp; Technical College"/>
    <m/>
    <n v="445018"/>
    <x v="8"/>
    <n v="31"/>
    <n v="95874"/>
    <n v="36"/>
    <n v="105458"/>
    <n v="31"/>
    <n v="221557"/>
    <n v="36"/>
    <n v="160056"/>
    <m/>
    <m/>
    <m/>
    <m/>
    <n v="31"/>
    <n v="116268"/>
    <n v="36"/>
    <n v="135808.00200000001"/>
    <m/>
    <m/>
    <m/>
    <m/>
    <n v="31"/>
    <n v="1997.64"/>
    <n v="36"/>
    <n v="2319.84"/>
    <n v="31"/>
    <n v="8663"/>
    <n v="36"/>
    <n v="10119.027599999999"/>
    <m/>
    <m/>
    <m/>
    <m/>
    <m/>
    <m/>
    <m/>
    <m/>
    <n v="31"/>
    <n v="444359.64"/>
    <n v="36"/>
    <n v="413760.86959999998"/>
    <n v="9"/>
    <n v="27369"/>
    <n v="8"/>
    <n v="17556"/>
    <n v="9"/>
    <n v="60102"/>
    <n v="8"/>
    <n v="22614"/>
    <m/>
    <m/>
    <m/>
    <m/>
    <n v="9"/>
    <n v="38920"/>
    <n v="8"/>
    <n v="33617.159999999996"/>
    <m/>
    <m/>
    <m/>
    <m/>
    <n v="9"/>
    <n v="580"/>
    <n v="8"/>
    <n v="515.52"/>
    <n v="9"/>
    <n v="2900"/>
    <n v="8"/>
    <n v="2504.8079999999995"/>
    <m/>
    <m/>
    <m/>
    <m/>
    <m/>
    <m/>
    <m/>
    <m/>
    <n v="9"/>
    <n v="129871"/>
    <n v="8"/>
    <n v="76807.487999999998"/>
  </r>
  <r>
    <x v="15"/>
    <s v="Mountwest Community &amp; Technical College"/>
    <s v="Formerly Marshall Community &amp; Technical College"/>
    <n v="444954"/>
    <x v="8"/>
    <n v="48"/>
    <n v="162192"/>
    <n v="48"/>
    <n v="153188"/>
    <n v="48"/>
    <n v="276720"/>
    <n v="48"/>
    <n v="253558"/>
    <m/>
    <m/>
    <m/>
    <m/>
    <n v="48"/>
    <n v="181705"/>
    <n v="48"/>
    <n v="181297.65599999999"/>
    <m/>
    <m/>
    <m/>
    <m/>
    <n v="48"/>
    <n v="3093.12"/>
    <n v="48"/>
    <n v="3093.12"/>
    <n v="48"/>
    <n v="13539"/>
    <n v="48"/>
    <n v="13508.452799999999"/>
    <m/>
    <m/>
    <m/>
    <m/>
    <m/>
    <m/>
    <m/>
    <m/>
    <n v="48"/>
    <n v="637249.12"/>
    <n v="48"/>
    <n v="604645.22879999992"/>
    <n v="7"/>
    <n v="19419.12"/>
    <n v="5"/>
    <n v="13594"/>
    <n v="7"/>
    <n v="52360"/>
    <n v="5"/>
    <n v="37402"/>
    <m/>
    <m/>
    <m/>
    <m/>
    <n v="7"/>
    <n v="24759"/>
    <n v="5"/>
    <n v="17655.052499999998"/>
    <m/>
    <m/>
    <m/>
    <m/>
    <n v="7"/>
    <n v="451"/>
    <n v="5"/>
    <n v="322.2"/>
    <n v="7"/>
    <n v="1845"/>
    <n v="5"/>
    <n v="1315.4745"/>
    <m/>
    <m/>
    <m/>
    <m/>
    <m/>
    <m/>
    <m/>
    <m/>
    <n v="7"/>
    <n v="98834.12"/>
    <n v="5"/>
    <n v="70288.726999999999"/>
  </r>
  <r>
    <x v="15"/>
    <s v="New River Community &amp; Technical College"/>
    <s v="Met criteria for Two-Year 2 in 2010-11."/>
    <n v="447582"/>
    <x v="8"/>
    <n v="33"/>
    <n v="104016"/>
    <n v="34"/>
    <n v="119273"/>
    <n v="33"/>
    <n v="122958"/>
    <n v="34"/>
    <n v="136849"/>
    <m/>
    <m/>
    <m/>
    <m/>
    <n v="33"/>
    <n v="115531"/>
    <n v="34"/>
    <n v="124730.955"/>
    <m/>
    <m/>
    <m/>
    <m/>
    <n v="33"/>
    <n v="2126.52"/>
    <n v="34"/>
    <n v="2190.96"/>
    <n v="33"/>
    <n v="8608"/>
    <n v="34"/>
    <n v="9293.6789999999983"/>
    <m/>
    <m/>
    <m/>
    <m/>
    <m/>
    <m/>
    <m/>
    <m/>
    <n v="33"/>
    <n v="353239.52"/>
    <n v="34"/>
    <n v="392337.59400000004"/>
    <n v="6"/>
    <n v="18684"/>
    <n v="10"/>
    <n v="29297"/>
    <n v="6"/>
    <n v="16836"/>
    <n v="10"/>
    <n v="33875"/>
    <m/>
    <m/>
    <m/>
    <m/>
    <n v="6"/>
    <n v="23825"/>
    <n v="10"/>
    <n v="37644.119999999995"/>
    <m/>
    <m/>
    <m/>
    <m/>
    <n v="6"/>
    <n v="387"/>
    <n v="10"/>
    <n v="644.4"/>
    <n v="6"/>
    <n v="1775"/>
    <n v="10"/>
    <n v="2804.8559999999998"/>
    <m/>
    <m/>
    <m/>
    <m/>
    <m/>
    <m/>
    <m/>
    <m/>
    <n v="6"/>
    <n v="61507"/>
    <n v="10"/>
    <n v="104265.37599999999"/>
  </r>
  <r>
    <x v="15"/>
    <s v="Pierpont Community &amp; Technical College"/>
    <s v="Met criteria for Two-Year 2 in 2010-11."/>
    <n v="443492"/>
    <x v="8"/>
    <n v="47"/>
    <n v="151387"/>
    <n v="49"/>
    <n v="153281"/>
    <n v="47"/>
    <n v="316686"/>
    <n v="49"/>
    <n v="260544"/>
    <m/>
    <m/>
    <m/>
    <m/>
    <n v="47"/>
    <n v="184223"/>
    <n v="49"/>
    <n v="187068.89250000002"/>
    <m/>
    <m/>
    <m/>
    <m/>
    <n v="47"/>
    <n v="3028.68"/>
    <n v="49"/>
    <n v="3157.56"/>
    <n v="47"/>
    <n v="13726"/>
    <n v="49"/>
    <n v="13938.466499999999"/>
    <m/>
    <m/>
    <m/>
    <m/>
    <m/>
    <m/>
    <m/>
    <m/>
    <n v="47"/>
    <n v="669050.67999999993"/>
    <n v="49"/>
    <n v="617989.91899999999"/>
    <n v="15"/>
    <n v="60906.6"/>
    <n v="13"/>
    <n v="52122"/>
    <n v="15"/>
    <n v="48342"/>
    <n v="13"/>
    <n v="50712"/>
    <m/>
    <m/>
    <m/>
    <m/>
    <n v="15"/>
    <n v="77656"/>
    <n v="13"/>
    <n v="68278.392000000007"/>
    <m/>
    <m/>
    <m/>
    <m/>
    <n v="15"/>
    <n v="967"/>
    <n v="13"/>
    <n v="837.72"/>
    <n v="15"/>
    <n v="5786"/>
    <n v="13"/>
    <n v="5087.409599999999"/>
    <m/>
    <m/>
    <m/>
    <m/>
    <m/>
    <m/>
    <m/>
    <m/>
    <n v="15"/>
    <n v="193657.60000000001"/>
    <n v="13"/>
    <n v="177037.52160000001"/>
  </r>
  <r>
    <x v="15"/>
    <s v="Southern West Virginia Community &amp; Technical College "/>
    <m/>
    <n v="237817"/>
    <x v="8"/>
    <n v="80"/>
    <n v="211000"/>
    <n v="75"/>
    <n v="183437"/>
    <n v="80"/>
    <n v="510000"/>
    <n v="75"/>
    <n v="407220"/>
    <m/>
    <m/>
    <m/>
    <m/>
    <n v="80"/>
    <n v="267279"/>
    <n v="75"/>
    <n v="252633.59999999998"/>
    <m/>
    <m/>
    <m/>
    <m/>
    <n v="80"/>
    <n v="5155.2"/>
    <n v="75"/>
    <n v="4833"/>
    <n v="80"/>
    <n v="19915"/>
    <n v="75"/>
    <n v="18823.68"/>
    <m/>
    <m/>
    <m/>
    <m/>
    <m/>
    <m/>
    <m/>
    <m/>
    <n v="80"/>
    <n v="1013349.2"/>
    <n v="75"/>
    <n v="866947.28"/>
    <m/>
    <n v="0"/>
    <n v="1"/>
    <n v="3213"/>
    <m/>
    <m/>
    <n v="1"/>
    <n v="9523"/>
    <m/>
    <m/>
    <m/>
    <m/>
    <m/>
    <m/>
    <n v="1"/>
    <n v="3014.712"/>
    <m/>
    <m/>
    <m/>
    <m/>
    <m/>
    <m/>
    <n v="1"/>
    <n v="64.44"/>
    <m/>
    <m/>
    <n v="1"/>
    <n v="224.62559999999996"/>
    <m/>
    <m/>
    <m/>
    <m/>
    <m/>
    <m/>
    <m/>
    <m/>
    <n v="0"/>
    <n v="0"/>
    <n v="1"/>
    <n v="16039.777599999999"/>
  </r>
  <r>
    <x v="15"/>
    <s v="West Virginia Northern Community College"/>
    <s v="Met the critieria for Two-Year 2 in 2009-10 and 2010-11."/>
    <n v="238014"/>
    <x v="8"/>
    <n v="62"/>
    <n v="167400"/>
    <n v="61"/>
    <n v="164157"/>
    <n v="62"/>
    <n v="371132"/>
    <n v="61"/>
    <n v="375748"/>
    <m/>
    <m/>
    <m/>
    <m/>
    <n v="62"/>
    <n v="208047"/>
    <n v="61"/>
    <n v="210263.15700000001"/>
    <m/>
    <m/>
    <m/>
    <m/>
    <n v="62"/>
    <n v="3995.28"/>
    <n v="61"/>
    <n v="3930.8399999999997"/>
    <n v="62"/>
    <n v="15502"/>
    <n v="61"/>
    <n v="15666.666599999997"/>
    <m/>
    <m/>
    <m/>
    <m/>
    <m/>
    <m/>
    <m/>
    <m/>
    <n v="62"/>
    <n v="766076.28"/>
    <n v="61"/>
    <n v="769765.66359999997"/>
    <m/>
    <n v="0"/>
    <n v="1"/>
    <n v="3213"/>
    <m/>
    <m/>
    <n v="1"/>
    <n v="9523"/>
    <m/>
    <m/>
    <m/>
    <m/>
    <m/>
    <m/>
    <n v="1"/>
    <n v="2409.75"/>
    <m/>
    <m/>
    <m/>
    <m/>
    <m/>
    <m/>
    <n v="1"/>
    <n v="64.44"/>
    <m/>
    <m/>
    <n v="1"/>
    <n v="179.54999999999998"/>
    <m/>
    <m/>
    <m/>
    <m/>
    <m/>
    <m/>
    <m/>
    <m/>
    <n v="0"/>
    <n v="0"/>
    <n v="1"/>
    <n v="15389.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3"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V515" firstHeaderRow="1" firstDataRow="3" firstDataCol="2"/>
  <pivotFields count="116">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9">
        <item x="0"/>
        <item x="1"/>
        <item x="2"/>
        <item x="3"/>
        <item x="4"/>
        <item x="5"/>
        <item x="11"/>
        <item x="6"/>
        <item x="7"/>
        <item x="8"/>
        <item m="1" x="17"/>
        <item x="9"/>
        <item x="10"/>
        <item m="1" x="16"/>
        <item x="13"/>
        <item x="12"/>
        <item x="14"/>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8">
        <item n="Four-Year" x="0"/>
        <item n="Two-Year" x="2"/>
        <item x="1"/>
        <item n="Technical Institutes" x="3"/>
        <item h="1" x="4"/>
        <item x="5"/>
        <item x="6"/>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510">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rowItems>
  <colFields count="2">
    <field x="110"/>
    <field x="4"/>
  </colFields>
  <colItems count="20">
    <i>
      <x/>
      <x/>
    </i>
    <i r="1">
      <x v="1"/>
    </i>
    <i r="1">
      <x v="2"/>
    </i>
    <i r="1">
      <x v="3"/>
    </i>
    <i r="1">
      <x v="4"/>
    </i>
    <i r="1">
      <x v="5"/>
    </i>
    <i t="default">
      <x/>
    </i>
    <i>
      <x v="1"/>
      <x v="6"/>
    </i>
    <i r="1">
      <x v="7"/>
    </i>
    <i r="1">
      <x v="8"/>
    </i>
    <i r="1">
      <x v="9"/>
    </i>
    <i t="default">
      <x v="1"/>
    </i>
    <i>
      <x v="3"/>
      <x v="11"/>
    </i>
    <i r="1">
      <x v="12"/>
    </i>
    <i r="1">
      <x v="14"/>
    </i>
    <i t="default">
      <x v="3"/>
    </i>
    <i>
      <x v="5"/>
      <x v="16"/>
    </i>
    <i t="default">
      <x v="5"/>
    </i>
    <i>
      <x v="6"/>
      <x v="17"/>
    </i>
    <i t="default">
      <x v="6"/>
    </i>
  </colItems>
  <dataFields count="30">
    <dataField name=" Old Retirement" fld="115" baseField="0" baseItem="0" numFmtId="164"/>
    <dataField name=" New Retirement" fld="114" baseField="0" baseItem="0" numFmtId="164"/>
    <dataField name=" % Change Retirement" fld="100" baseField="0" baseItem="0" numFmtId="164"/>
    <dataField name=" Old Health" fld="113" baseField="0" baseItem="0" numFmtId="164"/>
    <dataField name=" New Health" fld="112" baseField="0" baseItem="0" numFmtId="164"/>
    <dataField name=" % Change Health" fld="101" baseField="0" baseItem="0" numFmtId="164"/>
    <dataField name=" Old Disability" fld="111" baseField="0" baseItem="0" numFmtId="164"/>
    <dataField name=" New Disability" fld="85" baseField="0" baseItem="0" numFmtId="164"/>
    <dataField name=" % Change Disability" fld="102" baseField="0" baseItem="0" numFmtId="164"/>
    <dataField name=" Old Social Security" fld="86" baseField="0" baseItem="0" numFmtId="164"/>
    <dataField name=" New Social Security" fld="87" baseField="0" baseItem="0" numFmtId="164"/>
    <dataField name=" % Change Social Security" fld="103" baseField="0" baseItem="0" numFmtId="164"/>
    <dataField name=" Old Unemployment" fld="88" baseField="0" baseItem="0" numFmtId="164"/>
    <dataField name=" New Unemployment" fld="89" baseField="0" baseItem="0" numFmtId="164"/>
    <dataField name=" % Change Unemployment" fld="104" baseField="0" baseItem="0" numFmtId="164"/>
    <dataField name=" Old Life Insurance" fld="90" baseField="0" baseItem="0" numFmtId="164"/>
    <dataField name=" New Life Insurance" fld="91" baseField="0" baseItem="0" numFmtId="164"/>
    <dataField name=" % Change Life Insurance" fld="105" baseField="0" baseItem="0" numFmtId="164"/>
    <dataField name=" Old Worker's Comp" fld="92" baseField="0" baseItem="0" numFmtId="164"/>
    <dataField name=" New Worker's Comp" fld="93" baseField="0" baseItem="0" numFmtId="164"/>
    <dataField name=" % Change Worker's Comp" fld="106" baseField="0" baseItem="0" numFmtId="164"/>
    <dataField name=" Old Tuition Plans" fld="94" baseField="0" baseItem="0" numFmtId="164"/>
    <dataField name=" New Tuition Plans" fld="95" baseField="0" baseItem="0" numFmtId="164"/>
    <dataField name=" % Change Tuition Plans" fld="107" baseField="0" baseItem="0" numFmtId="164"/>
    <dataField name=" Old Other" fld="96" baseField="0" baseItem="0" numFmtId="164"/>
    <dataField name=" New Other" fld="97" baseField="0" baseItem="0" numFmtId="164"/>
    <dataField name=" % Change Other" fld="108" baseField="0" baseItem="0" numFmtId="164"/>
    <dataField name=" Old Total" fld="98" baseField="0" baseItem="0" numFmtId="164"/>
    <dataField name=" New Total" fld="99" baseField="0" baseItem="0" numFmtId="164"/>
    <dataField name=" % Change Total" fld="109" baseField="0" baseItem="0" numFmtId="164"/>
  </dataFields>
  <formats count="288">
    <format dxfId="477">
      <pivotArea outline="0" fieldPosition="0">
        <references count="3">
          <reference field="4294967294" count="2" selected="0">
            <x v="12"/>
            <x v="13"/>
          </reference>
          <reference field="0" count="1" selected="0">
            <x v="3"/>
          </reference>
          <reference field="110" count="1" selected="0" defaultSubtotal="1">
            <x v="1"/>
          </reference>
        </references>
      </pivotArea>
    </format>
    <format dxfId="476">
      <pivotArea outline="0" fieldPosition="0">
        <references count="4">
          <reference field="4294967294" count="1" selected="0">
            <x v="12"/>
          </reference>
          <reference field="0" count="1" selected="0">
            <x v="3"/>
          </reference>
          <reference field="4" count="1" selected="0">
            <x v="6"/>
          </reference>
          <reference field="110" count="1" selected="0">
            <x v="1"/>
          </reference>
        </references>
      </pivotArea>
    </format>
    <format dxfId="475">
      <pivotArea outline="0" fieldPosition="0">
        <references count="4">
          <reference field="4294967294" count="1" selected="0">
            <x v="7"/>
          </reference>
          <reference field="0" count="1" selected="0">
            <x v="14"/>
          </reference>
          <reference field="4" count="1" selected="0">
            <x v="5"/>
          </reference>
          <reference field="110" count="1" selected="0">
            <x v="0"/>
          </reference>
        </references>
      </pivotArea>
    </format>
    <format dxfId="474">
      <pivotArea outline="0" fieldPosition="0">
        <references count="4">
          <reference field="4294967294" count="1" selected="0">
            <x v="17"/>
          </reference>
          <reference field="0" count="1" selected="0">
            <x v="14"/>
          </reference>
          <reference field="4" count="1" selected="0">
            <x v="2"/>
          </reference>
          <reference field="110" count="1" selected="0">
            <x v="0"/>
          </reference>
        </references>
      </pivotArea>
    </format>
    <format dxfId="473">
      <pivotArea outline="0" fieldPosition="0">
        <references count="4">
          <reference field="4294967294" count="1" selected="0">
            <x v="7"/>
          </reference>
          <reference field="0" count="1" selected="0">
            <x v="14"/>
          </reference>
          <reference field="4" count="1" selected="0">
            <x v="5"/>
          </reference>
          <reference field="110" count="1" selected="0">
            <x v="0"/>
          </reference>
        </references>
      </pivotArea>
    </format>
    <format dxfId="472">
      <pivotArea outline="0" fieldPosition="0">
        <references count="4">
          <reference field="4294967294" count="1" selected="0">
            <x v="4"/>
          </reference>
          <reference field="0" count="1" selected="0">
            <x v="2"/>
          </reference>
          <reference field="4" count="1" selected="0">
            <x v="3"/>
          </reference>
          <reference field="110" count="1" selected="0">
            <x v="0"/>
          </reference>
        </references>
      </pivotArea>
    </format>
    <format dxfId="471">
      <pivotArea outline="0" fieldPosition="0">
        <references count="4">
          <reference field="4294967294" count="1" selected="0">
            <x v="10"/>
          </reference>
          <reference field="0" count="1" selected="0">
            <x v="2"/>
          </reference>
          <reference field="4" count="1" selected="0">
            <x v="3"/>
          </reference>
          <reference field="110" count="1" selected="0">
            <x v="0"/>
          </reference>
        </references>
      </pivotArea>
    </format>
    <format dxfId="470">
      <pivotArea outline="0" fieldPosition="0">
        <references count="4">
          <reference field="4294967294" count="1" selected="0">
            <x v="16"/>
          </reference>
          <reference field="0" count="1" selected="0">
            <x v="2"/>
          </reference>
          <reference field="4" count="1" selected="0">
            <x v="3"/>
          </reference>
          <reference field="110" count="1" selected="0">
            <x v="0"/>
          </reference>
        </references>
      </pivotArea>
    </format>
    <format dxfId="469">
      <pivotArea outline="0" fieldPosition="0">
        <references count="4">
          <reference field="4294967294" count="1" selected="0">
            <x v="29"/>
          </reference>
          <reference field="0" count="1" selected="0">
            <x v="2"/>
          </reference>
          <reference field="4" count="1" selected="0">
            <x v="3"/>
          </reference>
          <reference field="110" count="1" selected="0">
            <x v="0"/>
          </reference>
        </references>
      </pivotArea>
    </format>
    <format dxfId="468">
      <pivotArea type="all" dataOnly="0" outline="0" fieldPosition="0"/>
    </format>
    <format dxfId="467">
      <pivotArea type="all" dataOnly="0" outline="0" fieldPosition="0"/>
    </format>
    <format dxfId="466">
      <pivotArea type="all" dataOnly="0" outline="0" fieldPosition="0"/>
    </format>
    <format dxfId="465">
      <pivotArea outline="0" fieldPosition="0">
        <references count="4">
          <reference field="4294967294" count="1" selected="0">
            <x v="5"/>
          </reference>
          <reference field="0" count="1" selected="0">
            <x v="0"/>
          </reference>
          <reference field="4" count="1" selected="0">
            <x v="0"/>
          </reference>
          <reference field="110" count="1" selected="0">
            <x v="0"/>
          </reference>
        </references>
      </pivotArea>
    </format>
    <format dxfId="464">
      <pivotArea outline="0" fieldPosition="0">
        <references count="4">
          <reference field="4294967294" count="1" selected="0">
            <x v="8"/>
          </reference>
          <reference field="0" count="1" selected="0">
            <x v="0"/>
          </reference>
          <reference field="4" count="1" selected="0">
            <x v="0"/>
          </reference>
          <reference field="110" count="1" selected="0">
            <x v="0"/>
          </reference>
        </references>
      </pivotArea>
    </format>
    <format dxfId="463">
      <pivotArea outline="0" fieldPosition="0">
        <references count="4">
          <reference field="4294967294" count="1" selected="0">
            <x v="11"/>
          </reference>
          <reference field="0" count="1" selected="0">
            <x v="0"/>
          </reference>
          <reference field="4" count="1" selected="0">
            <x v="0"/>
          </reference>
          <reference field="110" count="1" selected="0">
            <x v="0"/>
          </reference>
        </references>
      </pivotArea>
    </format>
    <format dxfId="462">
      <pivotArea outline="0" fieldPosition="0">
        <references count="4">
          <reference field="4294967294" count="1" selected="0">
            <x v="14"/>
          </reference>
          <reference field="0" count="1" selected="0">
            <x v="0"/>
          </reference>
          <reference field="4" count="1" selected="0">
            <x v="0"/>
          </reference>
          <reference field="110" count="1" selected="0">
            <x v="0"/>
          </reference>
        </references>
      </pivotArea>
    </format>
    <format dxfId="461">
      <pivotArea outline="0" fieldPosition="0">
        <references count="4">
          <reference field="4294967294" count="1" selected="0">
            <x v="17"/>
          </reference>
          <reference field="0" count="1" selected="0">
            <x v="0"/>
          </reference>
          <reference field="4" count="1" selected="0">
            <x v="0"/>
          </reference>
          <reference field="110" count="1" selected="0">
            <x v="0"/>
          </reference>
        </references>
      </pivotArea>
    </format>
    <format dxfId="460">
      <pivotArea outline="0" fieldPosition="0">
        <references count="4">
          <reference field="4294967294" count="1" selected="0">
            <x v="20"/>
          </reference>
          <reference field="0" count="1" selected="0">
            <x v="0"/>
          </reference>
          <reference field="4" count="1" selected="0">
            <x v="0"/>
          </reference>
          <reference field="110" count="1" selected="0">
            <x v="0"/>
          </reference>
        </references>
      </pivotArea>
    </format>
    <format dxfId="459">
      <pivotArea outline="0" fieldPosition="0">
        <references count="4">
          <reference field="4294967294" count="1" selected="0">
            <x v="23"/>
          </reference>
          <reference field="0" count="1" selected="0">
            <x v="0"/>
          </reference>
          <reference field="4" count="1" selected="0">
            <x v="0"/>
          </reference>
          <reference field="110" count="1" selected="0">
            <x v="0"/>
          </reference>
        </references>
      </pivotArea>
    </format>
    <format dxfId="458">
      <pivotArea outline="0" fieldPosition="0">
        <references count="4">
          <reference field="4294967294" count="1" selected="0">
            <x v="26"/>
          </reference>
          <reference field="0" count="1" selected="0">
            <x v="0"/>
          </reference>
          <reference field="4" count="1" selected="0">
            <x v="0"/>
          </reference>
          <reference field="110" count="1" selected="0">
            <x v="0"/>
          </reference>
        </references>
      </pivotArea>
    </format>
    <format dxfId="457">
      <pivotArea outline="0" fieldPosition="0">
        <references count="4">
          <reference field="4294967294" count="1" selected="0">
            <x v="29"/>
          </reference>
          <reference field="0" count="1" selected="0">
            <x v="0"/>
          </reference>
          <reference field="4" count="1" selected="0">
            <x v="0"/>
          </reference>
          <reference field="110" count="1" selected="0">
            <x v="0"/>
          </reference>
        </references>
      </pivotArea>
    </format>
    <format dxfId="456">
      <pivotArea outline="0" fieldPosition="0">
        <references count="4">
          <reference field="4294967294" count="1" selected="0">
            <x v="0"/>
          </reference>
          <reference field="0" count="1" selected="0">
            <x v="1"/>
          </reference>
          <reference field="4" count="1" selected="0">
            <x v="0"/>
          </reference>
          <reference field="110" count="1" selected="0">
            <x v="0"/>
          </reference>
        </references>
      </pivotArea>
    </format>
    <format dxfId="455">
      <pivotArea outline="0" fieldPosition="0">
        <references count="4">
          <reference field="4294967294" count="1" selected="0">
            <x v="0"/>
          </reference>
          <reference field="0" count="1" selected="0">
            <x v="2"/>
          </reference>
          <reference field="4" count="1" selected="0">
            <x v="0"/>
          </reference>
          <reference field="110" count="1" selected="0">
            <x v="0"/>
          </reference>
        </references>
      </pivotArea>
    </format>
    <format dxfId="454">
      <pivotArea outline="0" fieldPosition="0">
        <references count="4">
          <reference field="4294967294" count="1" selected="0">
            <x v="0"/>
          </reference>
          <reference field="0" count="1" selected="0">
            <x v="3"/>
          </reference>
          <reference field="4" count="1" selected="0">
            <x v="0"/>
          </reference>
          <reference field="110" count="1" selected="0">
            <x v="0"/>
          </reference>
        </references>
      </pivotArea>
    </format>
    <format dxfId="453">
      <pivotArea outline="0" fieldPosition="0">
        <references count="4">
          <reference field="4294967294" count="1" selected="0">
            <x v="0"/>
          </reference>
          <reference field="0" count="1" selected="0">
            <x v="4"/>
          </reference>
          <reference field="4" count="1" selected="0">
            <x v="0"/>
          </reference>
          <reference field="110" count="1" selected="0">
            <x v="0"/>
          </reference>
        </references>
      </pivotArea>
    </format>
    <format dxfId="452">
      <pivotArea outline="0" fieldPosition="0">
        <references count="4">
          <reference field="4294967294" count="1" selected="0">
            <x v="0"/>
          </reference>
          <reference field="0" count="1" selected="0">
            <x v="5"/>
          </reference>
          <reference field="4" count="1" selected="0">
            <x v="0"/>
          </reference>
          <reference field="110" count="1" selected="0">
            <x v="0"/>
          </reference>
        </references>
      </pivotArea>
    </format>
    <format dxfId="451">
      <pivotArea outline="0" fieldPosition="0">
        <references count="4">
          <reference field="4294967294" count="1" selected="0">
            <x v="0"/>
          </reference>
          <reference field="0" count="1" selected="0">
            <x v="6"/>
          </reference>
          <reference field="4" count="1" selected="0">
            <x v="0"/>
          </reference>
          <reference field="110" count="1" selected="0">
            <x v="0"/>
          </reference>
        </references>
      </pivotArea>
    </format>
    <format dxfId="450">
      <pivotArea outline="0" fieldPosition="0">
        <references count="4">
          <reference field="4294967294" count="1" selected="0">
            <x v="0"/>
          </reference>
          <reference field="0" count="1" selected="0">
            <x v="7"/>
          </reference>
          <reference field="4" count="1" selected="0">
            <x v="0"/>
          </reference>
          <reference field="110" count="1" selected="0">
            <x v="0"/>
          </reference>
        </references>
      </pivotArea>
    </format>
    <format dxfId="449">
      <pivotArea outline="0" fieldPosition="0">
        <references count="4">
          <reference field="4294967294" count="1" selected="0">
            <x v="0"/>
          </reference>
          <reference field="0" count="1" selected="0">
            <x v="8"/>
          </reference>
          <reference field="4" count="1" selected="0">
            <x v="0"/>
          </reference>
          <reference field="110" count="1" selected="0">
            <x v="0"/>
          </reference>
        </references>
      </pivotArea>
    </format>
    <format dxfId="448">
      <pivotArea outline="0" fieldPosition="0">
        <references count="4">
          <reference field="4294967294" count="1" selected="0">
            <x v="0"/>
          </reference>
          <reference field="0" count="1" selected="0">
            <x v="9"/>
          </reference>
          <reference field="4" count="1" selected="0">
            <x v="0"/>
          </reference>
          <reference field="110" count="1" selected="0">
            <x v="0"/>
          </reference>
        </references>
      </pivotArea>
    </format>
    <format dxfId="447">
      <pivotArea outline="0" fieldPosition="0">
        <references count="4">
          <reference field="4294967294" count="1" selected="0">
            <x v="0"/>
          </reference>
          <reference field="0" count="1" selected="0">
            <x v="10"/>
          </reference>
          <reference field="4" count="1" selected="0">
            <x v="0"/>
          </reference>
          <reference field="110" count="1" selected="0">
            <x v="0"/>
          </reference>
        </references>
      </pivotArea>
    </format>
    <format dxfId="446">
      <pivotArea outline="0" fieldPosition="0">
        <references count="4">
          <reference field="4294967294" count="1" selected="0">
            <x v="0"/>
          </reference>
          <reference field="0" count="1" selected="0">
            <x v="11"/>
          </reference>
          <reference field="4" count="1" selected="0">
            <x v="0"/>
          </reference>
          <reference field="110" count="1" selected="0">
            <x v="0"/>
          </reference>
        </references>
      </pivotArea>
    </format>
    <format dxfId="445">
      <pivotArea outline="0" fieldPosition="0">
        <references count="4">
          <reference field="4294967294" count="1" selected="0">
            <x v="0"/>
          </reference>
          <reference field="0" count="1" selected="0">
            <x v="12"/>
          </reference>
          <reference field="4" count="1" selected="0">
            <x v="0"/>
          </reference>
          <reference field="110" count="1" selected="0">
            <x v="0"/>
          </reference>
        </references>
      </pivotArea>
    </format>
    <format dxfId="444">
      <pivotArea outline="0" fieldPosition="0">
        <references count="4">
          <reference field="4294967294" count="1" selected="0">
            <x v="0"/>
          </reference>
          <reference field="0" count="1" selected="0">
            <x v="13"/>
          </reference>
          <reference field="4" count="1" selected="0">
            <x v="0"/>
          </reference>
          <reference field="110" count="1" selected="0">
            <x v="0"/>
          </reference>
        </references>
      </pivotArea>
    </format>
    <format dxfId="443">
      <pivotArea outline="0" fieldPosition="0">
        <references count="4">
          <reference field="4294967294" count="1" selected="0">
            <x v="0"/>
          </reference>
          <reference field="0" count="1" selected="0">
            <x v="14"/>
          </reference>
          <reference field="4" count="1" selected="0">
            <x v="0"/>
          </reference>
          <reference field="110" count="1" selected="0">
            <x v="0"/>
          </reference>
        </references>
      </pivotArea>
    </format>
    <format dxfId="442">
      <pivotArea outline="0" fieldPosition="0">
        <references count="4">
          <reference field="4294967294" count="1" selected="0">
            <x v="0"/>
          </reference>
          <reference field="0" count="1" selected="0">
            <x v="15"/>
          </reference>
          <reference field="4" count="1" selected="0">
            <x v="0"/>
          </reference>
          <reference field="110" count="1" selected="0">
            <x v="0"/>
          </reference>
        </references>
      </pivotArea>
    </format>
    <format dxfId="441">
      <pivotArea field="110" grandRow="1" outline="0" axis="axisCol" fieldPosition="0">
        <references count="3">
          <reference field="4294967294" count="1" selected="0">
            <x v="0"/>
          </reference>
          <reference field="4" count="1" selected="0">
            <x v="0"/>
          </reference>
          <reference field="110" count="1" selected="0">
            <x v="0"/>
          </reference>
        </references>
      </pivotArea>
    </format>
    <format dxfId="440">
      <pivotArea outline="0" fieldPosition="0">
        <references count="4">
          <reference field="4294967294" count="1" selected="0">
            <x v="8"/>
          </reference>
          <reference field="0" count="1" selected="0">
            <x v="3"/>
          </reference>
          <reference field="4" count="1" selected="0">
            <x v="0"/>
          </reference>
          <reference field="110" count="1" selected="0">
            <x v="0"/>
          </reference>
        </references>
      </pivotArea>
    </format>
    <format dxfId="439">
      <pivotArea outline="0" fieldPosition="0">
        <references count="4">
          <reference field="4294967294" count="1" selected="0">
            <x v="11"/>
          </reference>
          <reference field="0" count="1" selected="0">
            <x v="3"/>
          </reference>
          <reference field="4" count="1" selected="0">
            <x v="0"/>
          </reference>
          <reference field="110" count="1" selected="0">
            <x v="0"/>
          </reference>
        </references>
      </pivotArea>
    </format>
    <format dxfId="438">
      <pivotArea outline="0" fieldPosition="0">
        <references count="4">
          <reference field="4294967294" count="1" selected="0">
            <x v="14"/>
          </reference>
          <reference field="0" count="1" selected="0">
            <x v="3"/>
          </reference>
          <reference field="4" count="1" selected="0">
            <x v="0"/>
          </reference>
          <reference field="110" count="1" selected="0">
            <x v="0"/>
          </reference>
        </references>
      </pivotArea>
    </format>
    <format dxfId="437">
      <pivotArea outline="0" fieldPosition="0">
        <references count="4">
          <reference field="4294967294" count="1" selected="0">
            <x v="17"/>
          </reference>
          <reference field="0" count="1" selected="0">
            <x v="3"/>
          </reference>
          <reference field="4" count="1" selected="0">
            <x v="0"/>
          </reference>
          <reference field="110" count="1" selected="0">
            <x v="0"/>
          </reference>
        </references>
      </pivotArea>
    </format>
    <format dxfId="436">
      <pivotArea outline="0" fieldPosition="0">
        <references count="4">
          <reference field="4294967294" count="1" selected="0">
            <x v="20"/>
          </reference>
          <reference field="0" count="1" selected="0">
            <x v="3"/>
          </reference>
          <reference field="4" count="1" selected="0">
            <x v="0"/>
          </reference>
          <reference field="110" count="1" selected="0">
            <x v="0"/>
          </reference>
        </references>
      </pivotArea>
    </format>
    <format dxfId="435">
      <pivotArea outline="0" fieldPosition="0">
        <references count="4">
          <reference field="4294967294" count="1" selected="0">
            <x v="23"/>
          </reference>
          <reference field="0" count="1" selected="0">
            <x v="3"/>
          </reference>
          <reference field="4" count="1" selected="0">
            <x v="0"/>
          </reference>
          <reference field="110" count="1" selected="0">
            <x v="0"/>
          </reference>
        </references>
      </pivotArea>
    </format>
    <format dxfId="434">
      <pivotArea outline="0" fieldPosition="0">
        <references count="4">
          <reference field="4294967294" count="1" selected="0">
            <x v="26"/>
          </reference>
          <reference field="0" count="1" selected="0">
            <x v="3"/>
          </reference>
          <reference field="4" count="1" selected="0">
            <x v="0"/>
          </reference>
          <reference field="110" count="1" selected="0">
            <x v="0"/>
          </reference>
        </references>
      </pivotArea>
    </format>
    <format dxfId="433">
      <pivotArea outline="0" fieldPosition="0">
        <references count="4">
          <reference field="4294967294" count="1" selected="0">
            <x v="29"/>
          </reference>
          <reference field="0" count="1" selected="0">
            <x v="3"/>
          </reference>
          <reference field="4" count="1" selected="0">
            <x v="0"/>
          </reference>
          <reference field="110" count="1" selected="0">
            <x v="0"/>
          </reference>
        </references>
      </pivotArea>
    </format>
    <format dxfId="432">
      <pivotArea outline="0" fieldPosition="0">
        <references count="4">
          <reference field="4294967294" count="1" selected="0">
            <x v="17"/>
          </reference>
          <reference field="0" count="1" selected="0">
            <x v="15"/>
          </reference>
          <reference field="4" count="1" selected="0">
            <x v="0"/>
          </reference>
          <reference field="110" count="1" selected="0">
            <x v="0"/>
          </reference>
        </references>
      </pivotArea>
    </format>
    <format dxfId="431">
      <pivotArea outline="0" fieldPosition="0">
        <references count="4">
          <reference field="4294967294" count="1" selected="0">
            <x v="17"/>
          </reference>
          <reference field="0" count="1" selected="0">
            <x v="15"/>
          </reference>
          <reference field="4" count="1" selected="0">
            <x v="2"/>
          </reference>
          <reference field="110" count="1" selected="0">
            <x v="0"/>
          </reference>
        </references>
      </pivotArea>
    </format>
    <format dxfId="430">
      <pivotArea outline="0" fieldPosition="0">
        <references count="4">
          <reference field="4294967294" count="1" selected="0">
            <x v="17"/>
          </reference>
          <reference field="0" count="1" selected="0">
            <x v="15"/>
          </reference>
          <reference field="4" count="1" selected="0">
            <x v="5"/>
          </reference>
          <reference field="110" count="1" selected="0">
            <x v="0"/>
          </reference>
        </references>
      </pivotArea>
    </format>
    <format dxfId="429">
      <pivotArea outline="0" fieldPosition="0">
        <references count="3">
          <reference field="4294967294" count="1" selected="0">
            <x v="17"/>
          </reference>
          <reference field="0" count="1" selected="0">
            <x v="15"/>
          </reference>
          <reference field="110" count="1" selected="0" defaultSubtotal="1">
            <x v="0"/>
          </reference>
        </references>
      </pivotArea>
    </format>
    <format dxfId="428">
      <pivotArea outline="0" fieldPosition="0">
        <references count="4">
          <reference field="4294967294" count="1" selected="0">
            <x v="17"/>
          </reference>
          <reference field="0" count="1" selected="0">
            <x v="15"/>
          </reference>
          <reference field="4" count="1" selected="0">
            <x v="6"/>
          </reference>
          <reference field="110" count="1" selected="0">
            <x v="1"/>
          </reference>
        </references>
      </pivotArea>
    </format>
    <format dxfId="427">
      <pivotArea outline="0" fieldPosition="0">
        <references count="4">
          <reference field="4294967294" count="1" selected="0">
            <x v="17"/>
          </reference>
          <reference field="0" count="1" selected="0">
            <x v="15"/>
          </reference>
          <reference field="4" count="1" selected="0">
            <x v="9"/>
          </reference>
          <reference field="110" count="1" selected="0">
            <x v="1"/>
          </reference>
        </references>
      </pivotArea>
    </format>
    <format dxfId="426">
      <pivotArea outline="0" fieldPosition="0">
        <references count="3">
          <reference field="4294967294" count="1" selected="0">
            <x v="17"/>
          </reference>
          <reference field="0" count="1" selected="0">
            <x v="15"/>
          </reference>
          <reference field="110" count="1" selected="0" defaultSubtotal="1">
            <x v="1"/>
          </reference>
        </references>
      </pivotArea>
    </format>
    <format dxfId="425">
      <pivotArea outline="0" collapsedLevelsAreSubtotals="1" fieldPosition="0">
        <references count="2">
          <reference field="4294967294" count="1" selected="0">
            <x v="29"/>
          </reference>
          <reference field="0" count="1" selected="0">
            <x v="0"/>
          </reference>
        </references>
      </pivotArea>
    </format>
    <format dxfId="424">
      <pivotArea dataOnly="0" labelOnly="1" outline="0" offset="IV256" fieldPosition="0">
        <references count="1">
          <reference field="0" count="1">
            <x v="0"/>
          </reference>
        </references>
      </pivotArea>
    </format>
    <format dxfId="423">
      <pivotArea dataOnly="0" labelOnly="1" outline="0" fieldPosition="0">
        <references count="2">
          <reference field="4294967294" count="1">
            <x v="29"/>
          </reference>
          <reference field="0" count="1" selected="0">
            <x v="0"/>
          </reference>
        </references>
      </pivotArea>
    </format>
    <format dxfId="422">
      <pivotArea outline="0" collapsedLevelsAreSubtotals="1" fieldPosition="0">
        <references count="2">
          <reference field="4294967294" count="1" selected="0">
            <x v="29"/>
          </reference>
          <reference field="0" count="1" selected="0">
            <x v="1"/>
          </reference>
        </references>
      </pivotArea>
    </format>
    <format dxfId="421">
      <pivotArea dataOnly="0" labelOnly="1" outline="0" offset="IV256" fieldPosition="0">
        <references count="1">
          <reference field="0" count="1">
            <x v="1"/>
          </reference>
        </references>
      </pivotArea>
    </format>
    <format dxfId="420">
      <pivotArea dataOnly="0" labelOnly="1" outline="0" fieldPosition="0">
        <references count="2">
          <reference field="4294967294" count="1">
            <x v="29"/>
          </reference>
          <reference field="0" count="1" selected="0">
            <x v="1"/>
          </reference>
        </references>
      </pivotArea>
    </format>
    <format dxfId="419">
      <pivotArea outline="0" collapsedLevelsAreSubtotals="1" fieldPosition="0">
        <references count="2">
          <reference field="4294967294" count="1" selected="0">
            <x v="29"/>
          </reference>
          <reference field="0" count="1" selected="0">
            <x v="2"/>
          </reference>
        </references>
      </pivotArea>
    </format>
    <format dxfId="418">
      <pivotArea dataOnly="0" labelOnly="1" outline="0" offset="IV256" fieldPosition="0">
        <references count="1">
          <reference field="0" count="1">
            <x v="2"/>
          </reference>
        </references>
      </pivotArea>
    </format>
    <format dxfId="417">
      <pivotArea dataOnly="0" labelOnly="1" outline="0" fieldPosition="0">
        <references count="2">
          <reference field="4294967294" count="1">
            <x v="29"/>
          </reference>
          <reference field="0" count="1" selected="0">
            <x v="2"/>
          </reference>
        </references>
      </pivotArea>
    </format>
    <format dxfId="416">
      <pivotArea outline="0" collapsedLevelsAreSubtotals="1" fieldPosition="0">
        <references count="2">
          <reference field="4294967294" count="1" selected="0">
            <x v="29"/>
          </reference>
          <reference field="0" count="1" selected="0">
            <x v="3"/>
          </reference>
        </references>
      </pivotArea>
    </format>
    <format dxfId="415">
      <pivotArea dataOnly="0" labelOnly="1" outline="0" offset="IV256" fieldPosition="0">
        <references count="1">
          <reference field="0" count="1">
            <x v="3"/>
          </reference>
        </references>
      </pivotArea>
    </format>
    <format dxfId="414">
      <pivotArea dataOnly="0" labelOnly="1" outline="0" fieldPosition="0">
        <references count="2">
          <reference field="4294967294" count="1">
            <x v="29"/>
          </reference>
          <reference field="0" count="1" selected="0">
            <x v="3"/>
          </reference>
        </references>
      </pivotArea>
    </format>
    <format dxfId="413">
      <pivotArea outline="0" collapsedLevelsAreSubtotals="1" fieldPosition="0">
        <references count="2">
          <reference field="4294967294" count="1" selected="0">
            <x v="29"/>
          </reference>
          <reference field="0" count="1" selected="0">
            <x v="4"/>
          </reference>
        </references>
      </pivotArea>
    </format>
    <format dxfId="412">
      <pivotArea dataOnly="0" labelOnly="1" outline="0" offset="IV256" fieldPosition="0">
        <references count="1">
          <reference field="0" count="1">
            <x v="4"/>
          </reference>
        </references>
      </pivotArea>
    </format>
    <format dxfId="411">
      <pivotArea dataOnly="0" labelOnly="1" outline="0" fieldPosition="0">
        <references count="2">
          <reference field="4294967294" count="1">
            <x v="29"/>
          </reference>
          <reference field="0" count="1" selected="0">
            <x v="4"/>
          </reference>
        </references>
      </pivotArea>
    </format>
    <format dxfId="410">
      <pivotArea outline="0" collapsedLevelsAreSubtotals="1" fieldPosition="0">
        <references count="2">
          <reference field="4294967294" count="1" selected="0">
            <x v="29"/>
          </reference>
          <reference field="0" count="1" selected="0">
            <x v="5"/>
          </reference>
        </references>
      </pivotArea>
    </format>
    <format dxfId="409">
      <pivotArea dataOnly="0" labelOnly="1" outline="0" offset="IV256" fieldPosition="0">
        <references count="1">
          <reference field="0" count="1">
            <x v="5"/>
          </reference>
        </references>
      </pivotArea>
    </format>
    <format dxfId="408">
      <pivotArea dataOnly="0" labelOnly="1" outline="0" fieldPosition="0">
        <references count="2">
          <reference field="4294967294" count="1">
            <x v="29"/>
          </reference>
          <reference field="0" count="1" selected="0">
            <x v="5"/>
          </reference>
        </references>
      </pivotArea>
    </format>
    <format dxfId="407">
      <pivotArea outline="0" collapsedLevelsAreSubtotals="1" fieldPosition="0">
        <references count="2">
          <reference field="4294967294" count="1" selected="0">
            <x v="29"/>
          </reference>
          <reference field="0" count="1" selected="0">
            <x v="6"/>
          </reference>
        </references>
      </pivotArea>
    </format>
    <format dxfId="406">
      <pivotArea dataOnly="0" labelOnly="1" outline="0" offset="IV256" fieldPosition="0">
        <references count="1">
          <reference field="0" count="1">
            <x v="6"/>
          </reference>
        </references>
      </pivotArea>
    </format>
    <format dxfId="405">
      <pivotArea dataOnly="0" labelOnly="1" outline="0" fieldPosition="0">
        <references count="2">
          <reference field="4294967294" count="1">
            <x v="29"/>
          </reference>
          <reference field="0" count="1" selected="0">
            <x v="6"/>
          </reference>
        </references>
      </pivotArea>
    </format>
    <format dxfId="404">
      <pivotArea outline="0" collapsedLevelsAreSubtotals="1" fieldPosition="0">
        <references count="2">
          <reference field="4294967294" count="1" selected="0">
            <x v="29"/>
          </reference>
          <reference field="0" count="1" selected="0">
            <x v="7"/>
          </reference>
        </references>
      </pivotArea>
    </format>
    <format dxfId="403">
      <pivotArea dataOnly="0" labelOnly="1" outline="0" offset="IV256" fieldPosition="0">
        <references count="1">
          <reference field="0" count="1">
            <x v="7"/>
          </reference>
        </references>
      </pivotArea>
    </format>
    <format dxfId="402">
      <pivotArea dataOnly="0" labelOnly="1" outline="0" fieldPosition="0">
        <references count="2">
          <reference field="4294967294" count="1">
            <x v="29"/>
          </reference>
          <reference field="0" count="1" selected="0">
            <x v="7"/>
          </reference>
        </references>
      </pivotArea>
    </format>
    <format dxfId="401">
      <pivotArea outline="0" collapsedLevelsAreSubtotals="1" fieldPosition="0">
        <references count="2">
          <reference field="4294967294" count="1" selected="0">
            <x v="29"/>
          </reference>
          <reference field="0" count="1" selected="0">
            <x v="8"/>
          </reference>
        </references>
      </pivotArea>
    </format>
    <format dxfId="400">
      <pivotArea dataOnly="0" labelOnly="1" outline="0" offset="IV256" fieldPosition="0">
        <references count="1">
          <reference field="0" count="1">
            <x v="8"/>
          </reference>
        </references>
      </pivotArea>
    </format>
    <format dxfId="399">
      <pivotArea dataOnly="0" labelOnly="1" outline="0" fieldPosition="0">
        <references count="2">
          <reference field="4294967294" count="1">
            <x v="29"/>
          </reference>
          <reference field="0" count="1" selected="0">
            <x v="8"/>
          </reference>
        </references>
      </pivotArea>
    </format>
    <format dxfId="398">
      <pivotArea outline="0" collapsedLevelsAreSubtotals="1" fieldPosition="0">
        <references count="2">
          <reference field="4294967294" count="1" selected="0">
            <x v="29"/>
          </reference>
          <reference field="0" count="1" selected="0">
            <x v="9"/>
          </reference>
        </references>
      </pivotArea>
    </format>
    <format dxfId="397">
      <pivotArea dataOnly="0" labelOnly="1" outline="0" offset="IV256" fieldPosition="0">
        <references count="1">
          <reference field="0" count="1">
            <x v="9"/>
          </reference>
        </references>
      </pivotArea>
    </format>
    <format dxfId="396">
      <pivotArea dataOnly="0" labelOnly="1" outline="0" fieldPosition="0">
        <references count="2">
          <reference field="4294967294" count="1">
            <x v="29"/>
          </reference>
          <reference field="0" count="1" selected="0">
            <x v="9"/>
          </reference>
        </references>
      </pivotArea>
    </format>
    <format dxfId="395">
      <pivotArea outline="0" collapsedLevelsAreSubtotals="1" fieldPosition="0">
        <references count="2">
          <reference field="4294967294" count="1" selected="0">
            <x v="29"/>
          </reference>
          <reference field="0" count="1" selected="0">
            <x v="10"/>
          </reference>
        </references>
      </pivotArea>
    </format>
    <format dxfId="394">
      <pivotArea dataOnly="0" labelOnly="1" outline="0" offset="IV256" fieldPosition="0">
        <references count="1">
          <reference field="0" count="1">
            <x v="10"/>
          </reference>
        </references>
      </pivotArea>
    </format>
    <format dxfId="393">
      <pivotArea dataOnly="0" labelOnly="1" outline="0" fieldPosition="0">
        <references count="2">
          <reference field="4294967294" count="1">
            <x v="29"/>
          </reference>
          <reference field="0" count="1" selected="0">
            <x v="10"/>
          </reference>
        </references>
      </pivotArea>
    </format>
    <format dxfId="392">
      <pivotArea outline="0" collapsedLevelsAreSubtotals="1" fieldPosition="0">
        <references count="2">
          <reference field="4294967294" count="1" selected="0">
            <x v="29"/>
          </reference>
          <reference field="0" count="1" selected="0">
            <x v="11"/>
          </reference>
        </references>
      </pivotArea>
    </format>
    <format dxfId="391">
      <pivotArea dataOnly="0" labelOnly="1" outline="0" offset="IV256" fieldPosition="0">
        <references count="1">
          <reference field="0" count="1">
            <x v="11"/>
          </reference>
        </references>
      </pivotArea>
    </format>
    <format dxfId="390">
      <pivotArea dataOnly="0" labelOnly="1" outline="0" fieldPosition="0">
        <references count="2">
          <reference field="4294967294" count="1">
            <x v="29"/>
          </reference>
          <reference field="0" count="1" selected="0">
            <x v="11"/>
          </reference>
        </references>
      </pivotArea>
    </format>
    <format dxfId="389">
      <pivotArea outline="0" collapsedLevelsAreSubtotals="1" fieldPosition="0">
        <references count="2">
          <reference field="4294967294" count="1" selected="0">
            <x v="29"/>
          </reference>
          <reference field="0" count="1" selected="0">
            <x v="12"/>
          </reference>
        </references>
      </pivotArea>
    </format>
    <format dxfId="388">
      <pivotArea dataOnly="0" labelOnly="1" outline="0" offset="IV256" fieldPosition="0">
        <references count="1">
          <reference field="0" count="1">
            <x v="12"/>
          </reference>
        </references>
      </pivotArea>
    </format>
    <format dxfId="387">
      <pivotArea dataOnly="0" labelOnly="1" outline="0" fieldPosition="0">
        <references count="2">
          <reference field="4294967294" count="1">
            <x v="29"/>
          </reference>
          <reference field="0" count="1" selected="0">
            <x v="12"/>
          </reference>
        </references>
      </pivotArea>
    </format>
    <format dxfId="386">
      <pivotArea outline="0" collapsedLevelsAreSubtotals="1" fieldPosition="0">
        <references count="2">
          <reference field="4294967294" count="1" selected="0">
            <x v="29"/>
          </reference>
          <reference field="0" count="1" selected="0">
            <x v="13"/>
          </reference>
        </references>
      </pivotArea>
    </format>
    <format dxfId="385">
      <pivotArea dataOnly="0" labelOnly="1" outline="0" offset="IV256" fieldPosition="0">
        <references count="1">
          <reference field="0" count="1">
            <x v="13"/>
          </reference>
        </references>
      </pivotArea>
    </format>
    <format dxfId="384">
      <pivotArea dataOnly="0" labelOnly="1" outline="0" fieldPosition="0">
        <references count="2">
          <reference field="4294967294" count="1">
            <x v="29"/>
          </reference>
          <reference field="0" count="1" selected="0">
            <x v="13"/>
          </reference>
        </references>
      </pivotArea>
    </format>
    <format dxfId="383">
      <pivotArea outline="0" collapsedLevelsAreSubtotals="1" fieldPosition="0">
        <references count="2">
          <reference field="4294967294" count="1" selected="0">
            <x v="29"/>
          </reference>
          <reference field="0" count="1" selected="0">
            <x v="14"/>
          </reference>
        </references>
      </pivotArea>
    </format>
    <format dxfId="382">
      <pivotArea dataOnly="0" labelOnly="1" outline="0" offset="IV256" fieldPosition="0">
        <references count="1">
          <reference field="0" count="1">
            <x v="14"/>
          </reference>
        </references>
      </pivotArea>
    </format>
    <format dxfId="381">
      <pivotArea dataOnly="0" labelOnly="1" outline="0" fieldPosition="0">
        <references count="2">
          <reference field="4294967294" count="1">
            <x v="29"/>
          </reference>
          <reference field="0" count="1" selected="0">
            <x v="14"/>
          </reference>
        </references>
      </pivotArea>
    </format>
    <format dxfId="380">
      <pivotArea outline="0" collapsedLevelsAreSubtotals="1" fieldPosition="0">
        <references count="2">
          <reference field="4294967294" count="1" selected="0">
            <x v="29"/>
          </reference>
          <reference field="0" count="1" selected="0">
            <x v="15"/>
          </reference>
        </references>
      </pivotArea>
    </format>
    <format dxfId="379">
      <pivotArea dataOnly="0" labelOnly="1" outline="0" offset="IV256" fieldPosition="0">
        <references count="1">
          <reference field="0" count="1">
            <x v="15"/>
          </reference>
        </references>
      </pivotArea>
    </format>
    <format dxfId="378">
      <pivotArea dataOnly="0" labelOnly="1" outline="0" fieldPosition="0">
        <references count="2">
          <reference field="4294967294" count="1">
            <x v="29"/>
          </reference>
          <reference field="0" count="1" selected="0">
            <x v="15"/>
          </reference>
        </references>
      </pivotArea>
    </format>
    <format dxfId="377">
      <pivotArea type="all" dataOnly="0" outline="0" fieldPosition="0"/>
    </format>
    <format dxfId="376">
      <pivotArea type="all" dataOnly="0" outline="0" fieldPosition="0"/>
    </format>
    <format dxfId="375">
      <pivotArea outline="0" collapsedLevelsAreSubtotals="1" fieldPosition="0">
        <references count="3">
          <reference field="4294967294" count="3" selected="0">
            <x v="0"/>
            <x v="1"/>
            <x v="2"/>
          </reference>
          <reference field="0" count="1" selected="0">
            <x v="0"/>
          </reference>
          <reference field="110" count="4" selected="0" defaultSubtotal="1">
            <x v="0"/>
            <x v="1"/>
            <x v="2"/>
            <x v="3"/>
          </reference>
        </references>
      </pivotArea>
    </format>
    <format dxfId="374">
      <pivotArea dataOnly="0" labelOnly="1" outline="0" fieldPosition="0">
        <references count="2">
          <reference field="4294967294" count="3">
            <x v="0"/>
            <x v="1"/>
            <x v="2"/>
          </reference>
          <reference field="0" count="1" selected="0">
            <x v="0"/>
          </reference>
        </references>
      </pivotArea>
    </format>
    <format dxfId="373">
      <pivotArea field="0" dataOnly="0" labelOnly="1" grandRow="1" outline="0" axis="axisRow" fieldPosition="0">
        <references count="1">
          <reference field="4294967294" count="1" selected="0">
            <x v="0"/>
          </reference>
        </references>
      </pivotArea>
    </format>
    <format dxfId="372">
      <pivotArea field="0" dataOnly="0" labelOnly="1" grandRow="1" outline="0" axis="axisRow" fieldPosition="0">
        <references count="1">
          <reference field="4294967294" count="1" selected="0">
            <x v="1"/>
          </reference>
        </references>
      </pivotArea>
    </format>
    <format dxfId="371">
      <pivotArea field="0" dataOnly="0" labelOnly="1" grandRow="1" outline="0" axis="axisRow" fieldPosition="0">
        <references count="1">
          <reference field="4294967294" count="1" selected="0">
            <x v="2"/>
          </reference>
        </references>
      </pivotArea>
    </format>
    <format dxfId="370">
      <pivotArea field="0" dataOnly="0" labelOnly="1" grandRow="1" outline="0" axis="axisRow" fieldPosition="0">
        <references count="1">
          <reference field="4294967294" count="1" selected="0">
            <x v="3"/>
          </reference>
        </references>
      </pivotArea>
    </format>
    <format dxfId="369">
      <pivotArea field="0" dataOnly="0" labelOnly="1" grandRow="1" outline="0" axis="axisRow" fieldPosition="0">
        <references count="1">
          <reference field="4294967294" count="1" selected="0">
            <x v="4"/>
          </reference>
        </references>
      </pivotArea>
    </format>
    <format dxfId="368">
      <pivotArea field="0" dataOnly="0" labelOnly="1" grandRow="1" outline="0" axis="axisRow" fieldPosition="0">
        <references count="1">
          <reference field="4294967294" count="1" selected="0">
            <x v="5"/>
          </reference>
        </references>
      </pivotArea>
    </format>
    <format dxfId="367">
      <pivotArea field="0" dataOnly="0" labelOnly="1" grandRow="1" outline="0" axis="axisRow" fieldPosition="0">
        <references count="1">
          <reference field="4294967294" count="1" selected="0">
            <x v="6"/>
          </reference>
        </references>
      </pivotArea>
    </format>
    <format dxfId="366">
      <pivotArea field="0" dataOnly="0" labelOnly="1" grandRow="1" outline="0" axis="axisRow" fieldPosition="0">
        <references count="1">
          <reference field="4294967294" count="1" selected="0">
            <x v="7"/>
          </reference>
        </references>
      </pivotArea>
    </format>
    <format dxfId="365">
      <pivotArea field="0" dataOnly="0" labelOnly="1" grandRow="1" outline="0" axis="axisRow" fieldPosition="0">
        <references count="1">
          <reference field="4294967294" count="1" selected="0">
            <x v="8"/>
          </reference>
        </references>
      </pivotArea>
    </format>
    <format dxfId="364">
      <pivotArea field="0" dataOnly="0" labelOnly="1" grandRow="1" outline="0" axis="axisRow" fieldPosition="0">
        <references count="1">
          <reference field="4294967294" count="1" selected="0">
            <x v="9"/>
          </reference>
        </references>
      </pivotArea>
    </format>
    <format dxfId="363">
      <pivotArea field="0" dataOnly="0" labelOnly="1" grandRow="1" outline="0" axis="axisRow" fieldPosition="0">
        <references count="1">
          <reference field="4294967294" count="1" selected="0">
            <x v="10"/>
          </reference>
        </references>
      </pivotArea>
    </format>
    <format dxfId="362">
      <pivotArea field="0" dataOnly="0" labelOnly="1" grandRow="1" outline="0" axis="axisRow" fieldPosition="0">
        <references count="1">
          <reference field="4294967294" count="1" selected="0">
            <x v="11"/>
          </reference>
        </references>
      </pivotArea>
    </format>
    <format dxfId="361">
      <pivotArea field="0" dataOnly="0" labelOnly="1" grandRow="1" outline="0" axis="axisRow" fieldPosition="0">
        <references count="1">
          <reference field="4294967294" count="1" selected="0">
            <x v="12"/>
          </reference>
        </references>
      </pivotArea>
    </format>
    <format dxfId="360">
      <pivotArea field="0" dataOnly="0" labelOnly="1" grandRow="1" outline="0" axis="axisRow" fieldPosition="0">
        <references count="1">
          <reference field="4294967294" count="1" selected="0">
            <x v="13"/>
          </reference>
        </references>
      </pivotArea>
    </format>
    <format dxfId="359">
      <pivotArea field="0" dataOnly="0" labelOnly="1" grandRow="1" outline="0" axis="axisRow" fieldPosition="0">
        <references count="1">
          <reference field="4294967294" count="1" selected="0">
            <x v="14"/>
          </reference>
        </references>
      </pivotArea>
    </format>
    <format dxfId="358">
      <pivotArea field="0" dataOnly="0" labelOnly="1" grandRow="1" outline="0" axis="axisRow" fieldPosition="0">
        <references count="1">
          <reference field="4294967294" count="1" selected="0">
            <x v="15"/>
          </reference>
        </references>
      </pivotArea>
    </format>
    <format dxfId="357">
      <pivotArea field="0" dataOnly="0" labelOnly="1" grandRow="1" outline="0" axis="axisRow" fieldPosition="0">
        <references count="1">
          <reference field="4294967294" count="1" selected="0">
            <x v="16"/>
          </reference>
        </references>
      </pivotArea>
    </format>
    <format dxfId="356">
      <pivotArea field="0" dataOnly="0" labelOnly="1" grandRow="1" outline="0" axis="axisRow" fieldPosition="0">
        <references count="1">
          <reference field="4294967294" count="1" selected="0">
            <x v="17"/>
          </reference>
        </references>
      </pivotArea>
    </format>
    <format dxfId="355">
      <pivotArea field="0" dataOnly="0" labelOnly="1" grandRow="1" outline="0" axis="axisRow" fieldPosition="0">
        <references count="1">
          <reference field="4294967294" count="1" selected="0">
            <x v="18"/>
          </reference>
        </references>
      </pivotArea>
    </format>
    <format dxfId="354">
      <pivotArea field="0" dataOnly="0" labelOnly="1" grandRow="1" outline="0" axis="axisRow" fieldPosition="0">
        <references count="1">
          <reference field="4294967294" count="1" selected="0">
            <x v="19"/>
          </reference>
        </references>
      </pivotArea>
    </format>
    <format dxfId="353">
      <pivotArea field="0" dataOnly="0" labelOnly="1" grandRow="1" outline="0" axis="axisRow" fieldPosition="0">
        <references count="1">
          <reference field="4294967294" count="1" selected="0">
            <x v="20"/>
          </reference>
        </references>
      </pivotArea>
    </format>
    <format dxfId="352">
      <pivotArea field="0" dataOnly="0" labelOnly="1" grandRow="1" outline="0" axis="axisRow" fieldPosition="0">
        <references count="1">
          <reference field="4294967294" count="1" selected="0">
            <x v="21"/>
          </reference>
        </references>
      </pivotArea>
    </format>
    <format dxfId="351">
      <pivotArea field="0" dataOnly="0" labelOnly="1" grandRow="1" outline="0" axis="axisRow" fieldPosition="0">
        <references count="1">
          <reference field="4294967294" count="1" selected="0">
            <x v="22"/>
          </reference>
        </references>
      </pivotArea>
    </format>
    <format dxfId="350">
      <pivotArea field="0" dataOnly="0" labelOnly="1" grandRow="1" outline="0" axis="axisRow" fieldPosition="0">
        <references count="1">
          <reference field="4294967294" count="1" selected="0">
            <x v="23"/>
          </reference>
        </references>
      </pivotArea>
    </format>
    <format dxfId="349">
      <pivotArea field="0" dataOnly="0" labelOnly="1" grandRow="1" outline="0" axis="axisRow" fieldPosition="0">
        <references count="1">
          <reference field="4294967294" count="1" selected="0">
            <x v="24"/>
          </reference>
        </references>
      </pivotArea>
    </format>
    <format dxfId="348">
      <pivotArea field="0" dataOnly="0" labelOnly="1" grandRow="1" outline="0" axis="axisRow" fieldPosition="0">
        <references count="1">
          <reference field="4294967294" count="1" selected="0">
            <x v="25"/>
          </reference>
        </references>
      </pivotArea>
    </format>
    <format dxfId="347">
      <pivotArea field="0" dataOnly="0" labelOnly="1" grandRow="1" outline="0" axis="axisRow" fieldPosition="0">
        <references count="1">
          <reference field="4294967294" count="1" selected="0">
            <x v="26"/>
          </reference>
        </references>
      </pivotArea>
    </format>
    <format dxfId="346">
      <pivotArea field="0" dataOnly="0" labelOnly="1" grandRow="1" outline="0" axis="axisRow" fieldPosition="0">
        <references count="1">
          <reference field="4294967294" count="1" selected="0">
            <x v="27"/>
          </reference>
        </references>
      </pivotArea>
    </format>
    <format dxfId="345">
      <pivotArea field="0" dataOnly="0" labelOnly="1" grandRow="1" outline="0" axis="axisRow" fieldPosition="0">
        <references count="1">
          <reference field="4294967294" count="1" selected="0">
            <x v="28"/>
          </reference>
        </references>
      </pivotArea>
    </format>
    <format dxfId="344">
      <pivotArea field="0" dataOnly="0" labelOnly="1" grandRow="1" outline="0" axis="axisRow" fieldPosition="0">
        <references count="1">
          <reference field="4294967294" count="1" selected="0">
            <x v="29"/>
          </reference>
        </references>
      </pivotArea>
    </format>
    <format dxfId="343">
      <pivotArea outline="0" collapsedLevelsAreSubtotals="1" fieldPosition="0">
        <references count="4">
          <reference field="4294967294" count="1" selected="0">
            <x v="2"/>
          </reference>
          <reference field="0" count="1" selected="0">
            <x v="0"/>
          </reference>
          <reference field="4" count="1" selected="0">
            <x v="1"/>
          </reference>
          <reference field="110" count="1" selected="0">
            <x v="0"/>
          </reference>
        </references>
      </pivotArea>
    </format>
    <format dxfId="342">
      <pivotArea outline="0" collapsedLevelsAreSubtotals="1" fieldPosition="0">
        <references count="4">
          <reference field="4294967294" count="1" selected="0">
            <x v="2"/>
          </reference>
          <reference field="0" count="1" selected="0">
            <x v="0"/>
          </reference>
          <reference field="4" count="1" selected="0">
            <x v="2"/>
          </reference>
          <reference field="110" count="1" selected="0">
            <x v="0"/>
          </reference>
        </references>
      </pivotArea>
    </format>
    <format dxfId="341">
      <pivotArea outline="0" collapsedLevelsAreSubtotals="1" fieldPosition="0">
        <references count="4">
          <reference field="4294967294" count="1" selected="0">
            <x v="2"/>
          </reference>
          <reference field="0" count="1" selected="0">
            <x v="0"/>
          </reference>
          <reference field="4" count="1" selected="0">
            <x v="12"/>
          </reference>
          <reference field="110" count="1" selected="0">
            <x v="3"/>
          </reference>
        </references>
      </pivotArea>
    </format>
    <format dxfId="340">
      <pivotArea outline="0" collapsedLevelsAreSubtotals="1" fieldPosition="0">
        <references count="4">
          <reference field="4294967294" count="1" selected="0">
            <x v="2"/>
          </reference>
          <reference field="0" count="1" selected="0">
            <x v="0"/>
          </reference>
          <reference field="4" count="1" selected="0">
            <x v="11"/>
          </reference>
          <reference field="110" count="1" selected="0">
            <x v="3"/>
          </reference>
        </references>
      </pivotArea>
    </format>
    <format dxfId="339">
      <pivotArea outline="0" collapsedLevelsAreSubtotals="1" fieldPosition="0">
        <references count="4">
          <reference field="4294967294" count="1" selected="0">
            <x v="5"/>
          </reference>
          <reference field="0" count="1" selected="0">
            <x v="0"/>
          </reference>
          <reference field="4" count="1" selected="0">
            <x v="3"/>
          </reference>
          <reference field="110" count="1" selected="0">
            <x v="0"/>
          </reference>
        </references>
      </pivotArea>
    </format>
    <format dxfId="338">
      <pivotArea outline="0" collapsedLevelsAreSubtotals="1" fieldPosition="0">
        <references count="4">
          <reference field="4294967294" count="1" selected="0">
            <x v="5"/>
          </reference>
          <reference field="0" count="1" selected="0">
            <x v="0"/>
          </reference>
          <reference field="4" count="1" selected="0">
            <x v="1"/>
          </reference>
          <reference field="110" count="1" selected="0">
            <x v="0"/>
          </reference>
        </references>
      </pivotArea>
    </format>
    <format dxfId="337">
      <pivotArea outline="0" collapsedLevelsAreSubtotals="1" fieldPosition="0">
        <references count="4">
          <reference field="4294967294" count="1" selected="0">
            <x v="5"/>
          </reference>
          <reference field="0" count="1" selected="0">
            <x v="0"/>
          </reference>
          <reference field="4" count="1" selected="0">
            <x v="11"/>
          </reference>
          <reference field="110" count="1" selected="0">
            <x v="3"/>
          </reference>
        </references>
      </pivotArea>
    </format>
    <format dxfId="336">
      <pivotArea outline="0" collapsedLevelsAreSubtotals="1" fieldPosition="0">
        <references count="4">
          <reference field="4294967294" count="1" selected="0">
            <x v="11"/>
          </reference>
          <reference field="0" count="1" selected="0">
            <x v="0"/>
          </reference>
          <reference field="4" count="1" selected="0">
            <x v="12"/>
          </reference>
          <reference field="110" count="1" selected="0">
            <x v="3"/>
          </reference>
        </references>
      </pivotArea>
    </format>
    <format dxfId="335">
      <pivotArea outline="0" collapsedLevelsAreSubtotals="1" fieldPosition="0">
        <references count="4">
          <reference field="4294967294" count="1" selected="0">
            <x v="11"/>
          </reference>
          <reference field="0" count="1" selected="0">
            <x v="0"/>
          </reference>
          <reference field="4" count="1" selected="0">
            <x v="1"/>
          </reference>
          <reference field="110" count="1" selected="0">
            <x v="0"/>
          </reference>
        </references>
      </pivotArea>
    </format>
    <format dxfId="334">
      <pivotArea outline="0" collapsedLevelsAreSubtotals="1" fieldPosition="0">
        <references count="4">
          <reference field="4294967294" count="1" selected="0">
            <x v="11"/>
          </reference>
          <reference field="0" count="1" selected="0">
            <x v="0"/>
          </reference>
          <reference field="4" count="1" selected="0">
            <x v="5"/>
          </reference>
          <reference field="110" count="1" selected="0">
            <x v="0"/>
          </reference>
        </references>
      </pivotArea>
    </format>
    <format dxfId="333">
      <pivotArea outline="0" collapsedLevelsAreSubtotals="1" fieldPosition="0">
        <references count="4">
          <reference field="4294967294" count="1" selected="0">
            <x v="23"/>
          </reference>
          <reference field="0" count="1" selected="0">
            <x v="0"/>
          </reference>
          <reference field="4" count="1" selected="0">
            <x v="2"/>
          </reference>
          <reference field="110" count="1" selected="0">
            <x v="0"/>
          </reference>
        </references>
      </pivotArea>
    </format>
    <format dxfId="332">
      <pivotArea outline="0" collapsedLevelsAreSubtotals="1" fieldPosition="0">
        <references count="4">
          <reference field="4294967294" count="1" selected="0">
            <x v="23"/>
          </reference>
          <reference field="0" count="1" selected="0">
            <x v="0"/>
          </reference>
          <reference field="4" count="1" selected="0">
            <x v="2"/>
          </reference>
          <reference field="110" count="1" selected="0">
            <x v="0"/>
          </reference>
        </references>
      </pivotArea>
    </format>
    <format dxfId="331">
      <pivotArea outline="0" collapsedLevelsAreSubtotals="1" fieldPosition="0">
        <references count="4">
          <reference field="4294967294" count="1" selected="0">
            <x v="23"/>
          </reference>
          <reference field="0" count="1" selected="0">
            <x v="0"/>
          </reference>
          <reference field="4" count="2" selected="0">
            <x v="7"/>
            <x v="8"/>
          </reference>
          <reference field="110" count="1" selected="0">
            <x v="1"/>
          </reference>
        </references>
      </pivotArea>
    </format>
    <format dxfId="330">
      <pivotArea outline="0" collapsedLevelsAreSubtotals="1" fieldPosition="0">
        <references count="4">
          <reference field="4294967294" count="1" selected="0">
            <x v="23"/>
          </reference>
          <reference field="0" count="1" selected="0">
            <x v="0"/>
          </reference>
          <reference field="4" count="2" selected="0">
            <x v="7"/>
            <x v="8"/>
          </reference>
          <reference field="110" count="1" selected="0">
            <x v="1"/>
          </reference>
        </references>
      </pivotArea>
    </format>
    <format dxfId="329">
      <pivotArea outline="0" collapsedLevelsAreSubtotals="1" fieldPosition="0">
        <references count="4">
          <reference field="4294967294" count="1" selected="0">
            <x v="23"/>
          </reference>
          <reference field="0" count="1" selected="0">
            <x v="0"/>
          </reference>
          <reference field="4" count="1" selected="0">
            <x v="8"/>
          </reference>
          <reference field="110" count="1" selected="0">
            <x v="1"/>
          </reference>
        </references>
      </pivotArea>
    </format>
    <format dxfId="328">
      <pivotArea outline="0" collapsedLevelsAreSubtotals="1" fieldPosition="0">
        <references count="4">
          <reference field="4294967294" count="1" selected="0">
            <x v="23"/>
          </reference>
          <reference field="0" count="1" selected="0">
            <x v="0"/>
          </reference>
          <reference field="4" count="1" selected="0">
            <x v="12"/>
          </reference>
          <reference field="110" count="1" selected="0">
            <x v="3"/>
          </reference>
        </references>
      </pivotArea>
    </format>
    <format dxfId="327">
      <pivotArea outline="0" collapsedLevelsAreSubtotals="1" fieldPosition="0">
        <references count="4">
          <reference field="4294967294" count="1" selected="0">
            <x v="23"/>
          </reference>
          <reference field="0" count="1" selected="0">
            <x v="0"/>
          </reference>
          <reference field="4" count="1" selected="0">
            <x v="12"/>
          </reference>
          <reference field="110" count="1" selected="0">
            <x v="3"/>
          </reference>
        </references>
      </pivotArea>
    </format>
    <format dxfId="326">
      <pivotArea outline="0" collapsedLevelsAreSubtotals="1" fieldPosition="0">
        <references count="4">
          <reference field="4294967294" count="1" selected="0">
            <x v="23"/>
          </reference>
          <reference field="0" count="1" selected="0">
            <x v="0"/>
          </reference>
          <reference field="4" count="1" selected="0">
            <x v="11"/>
          </reference>
          <reference field="110" count="1" selected="0">
            <x v="3"/>
          </reference>
        </references>
      </pivotArea>
    </format>
    <format dxfId="325">
      <pivotArea outline="0" collapsedLevelsAreSubtotals="1" fieldPosition="0">
        <references count="4">
          <reference field="4294967294" count="1" selected="0">
            <x v="23"/>
          </reference>
          <reference field="0" count="1" selected="0">
            <x v="0"/>
          </reference>
          <reference field="4" count="1" selected="0">
            <x v="11"/>
          </reference>
          <reference field="110" count="1" selected="0">
            <x v="3"/>
          </reference>
        </references>
      </pivotArea>
    </format>
    <format dxfId="324">
      <pivotArea outline="0" collapsedLevelsAreSubtotals="1" fieldPosition="0">
        <references count="4">
          <reference field="4294967294" count="1" selected="0">
            <x v="26"/>
          </reference>
          <reference field="0" count="1" selected="0">
            <x v="0"/>
          </reference>
          <reference field="4" count="1" selected="0">
            <x v="0"/>
          </reference>
          <reference field="110" count="1" selected="0">
            <x v="0"/>
          </reference>
        </references>
      </pivotArea>
    </format>
    <format dxfId="323">
      <pivotArea outline="0" collapsedLevelsAreSubtotals="1" fieldPosition="0">
        <references count="4">
          <reference field="4294967294" count="1" selected="0">
            <x v="26"/>
          </reference>
          <reference field="0" count="1" selected="0">
            <x v="0"/>
          </reference>
          <reference field="4" count="1" selected="0">
            <x v="0"/>
          </reference>
          <reference field="110" count="1" selected="0">
            <x v="0"/>
          </reference>
        </references>
      </pivotArea>
    </format>
    <format dxfId="322">
      <pivotArea outline="0" collapsedLevelsAreSubtotals="1" fieldPosition="0">
        <references count="4">
          <reference field="4294967294" count="1" selected="0">
            <x v="26"/>
          </reference>
          <reference field="0" count="1" selected="0">
            <x v="0"/>
          </reference>
          <reference field="4" count="1" selected="0">
            <x v="4"/>
          </reference>
          <reference field="110" count="1" selected="0">
            <x v="0"/>
          </reference>
        </references>
      </pivotArea>
    </format>
    <format dxfId="321">
      <pivotArea outline="0" collapsedLevelsAreSubtotals="1" fieldPosition="0">
        <references count="4">
          <reference field="4294967294" count="1" selected="0">
            <x v="26"/>
          </reference>
          <reference field="0" count="1" selected="0">
            <x v="0"/>
          </reference>
          <reference field="4" count="1" selected="0">
            <x v="4"/>
          </reference>
          <reference field="110" count="1" selected="0">
            <x v="0"/>
          </reference>
        </references>
      </pivotArea>
    </format>
    <format dxfId="320">
      <pivotArea outline="0" collapsedLevelsAreSubtotals="1" fieldPosition="0">
        <references count="4">
          <reference field="4294967294" count="1" selected="0">
            <x v="26"/>
          </reference>
          <reference field="0" count="1" selected="0">
            <x v="0"/>
          </reference>
          <reference field="4" count="1" selected="0">
            <x v="5"/>
          </reference>
          <reference field="110" count="1" selected="0">
            <x v="0"/>
          </reference>
        </references>
      </pivotArea>
    </format>
    <format dxfId="319">
      <pivotArea outline="0" collapsedLevelsAreSubtotals="1" fieldPosition="0">
        <references count="4">
          <reference field="4294967294" count="1" selected="0">
            <x v="26"/>
          </reference>
          <reference field="0" count="1" selected="0">
            <x v="0"/>
          </reference>
          <reference field="4" count="1" selected="0">
            <x v="5"/>
          </reference>
          <reference field="110" count="1" selected="0">
            <x v="0"/>
          </reference>
        </references>
      </pivotArea>
    </format>
    <format dxfId="318">
      <pivotArea outline="0" collapsedLevelsAreSubtotals="1" fieldPosition="0">
        <references count="4">
          <reference field="4294967294" count="1" selected="0">
            <x v="26"/>
          </reference>
          <reference field="0" count="1" selected="0">
            <x v="0"/>
          </reference>
          <reference field="4" count="1" selected="0">
            <x v="7"/>
          </reference>
          <reference field="110" count="1" selected="0">
            <x v="1"/>
          </reference>
        </references>
      </pivotArea>
    </format>
    <format dxfId="317">
      <pivotArea outline="0" collapsedLevelsAreSubtotals="1" fieldPosition="0">
        <references count="4">
          <reference field="4294967294" count="1" selected="0">
            <x v="26"/>
          </reference>
          <reference field="0" count="1" selected="0">
            <x v="0"/>
          </reference>
          <reference field="4" count="1" selected="0">
            <x v="7"/>
          </reference>
          <reference field="110" count="1" selected="0">
            <x v="1"/>
          </reference>
        </references>
      </pivotArea>
    </format>
    <format dxfId="316">
      <pivotArea outline="0" collapsedLevelsAreSubtotals="1" fieldPosition="0">
        <references count="4">
          <reference field="4294967294" count="1" selected="0">
            <x v="26"/>
          </reference>
          <reference field="0" count="1" selected="0">
            <x v="0"/>
          </reference>
          <reference field="4" count="1" selected="0">
            <x v="11"/>
          </reference>
          <reference field="110" count="1" selected="0">
            <x v="3"/>
          </reference>
        </references>
      </pivotArea>
    </format>
    <format dxfId="315">
      <pivotArea outline="0" collapsedLevelsAreSubtotals="1" fieldPosition="0">
        <references count="4">
          <reference field="4294967294" count="1" selected="0">
            <x v="26"/>
          </reference>
          <reference field="0" count="1" selected="0">
            <x v="0"/>
          </reference>
          <reference field="4" count="1" selected="0">
            <x v="11"/>
          </reference>
          <reference field="110" count="1" selected="0">
            <x v="3"/>
          </reference>
        </references>
      </pivotArea>
    </format>
    <format dxfId="314">
      <pivotArea outline="0" collapsedLevelsAreSubtotals="1" fieldPosition="0">
        <references count="4">
          <reference field="4294967294" count="1" selected="0">
            <x v="2"/>
          </reference>
          <reference field="0" count="1" selected="0">
            <x v="1"/>
          </reference>
          <reference field="4" count="1" selected="0">
            <x v="8"/>
          </reference>
          <reference field="110" count="1" selected="0">
            <x v="1"/>
          </reference>
        </references>
      </pivotArea>
    </format>
    <format dxfId="313">
      <pivotArea outline="0" collapsedLevelsAreSubtotals="1" fieldPosition="0">
        <references count="4">
          <reference field="4294967294" count="1" selected="0">
            <x v="2"/>
          </reference>
          <reference field="0" count="1" selected="0">
            <x v="1"/>
          </reference>
          <reference field="4" count="1" selected="0">
            <x v="8"/>
          </reference>
          <reference field="110" count="1" selected="0">
            <x v="1"/>
          </reference>
        </references>
      </pivotArea>
    </format>
    <format dxfId="312">
      <pivotArea outline="0" collapsedLevelsAreSubtotals="1" fieldPosition="0">
        <references count="4">
          <reference field="4294967294" count="1" selected="0">
            <x v="5"/>
          </reference>
          <reference field="0" count="1" selected="0">
            <x v="1"/>
          </reference>
          <reference field="4" count="1" selected="0">
            <x v="3"/>
          </reference>
          <reference field="110" count="1" selected="0">
            <x v="0"/>
          </reference>
        </references>
      </pivotArea>
    </format>
    <format dxfId="311">
      <pivotArea outline="0" collapsedLevelsAreSubtotals="1" fieldPosition="0">
        <references count="4">
          <reference field="4294967294" count="1" selected="0">
            <x v="5"/>
          </reference>
          <reference field="0" count="1" selected="0">
            <x v="1"/>
          </reference>
          <reference field="4" count="1" selected="0">
            <x v="3"/>
          </reference>
          <reference field="110" count="1" selected="0">
            <x v="0"/>
          </reference>
        </references>
      </pivotArea>
    </format>
    <format dxfId="310">
      <pivotArea outline="0" collapsedLevelsAreSubtotals="1" fieldPosition="0">
        <references count="4">
          <reference field="4294967294" count="1" selected="0">
            <x v="23"/>
          </reference>
          <reference field="0" count="1" selected="0">
            <x v="1"/>
          </reference>
          <reference field="4" count="1" selected="0">
            <x v="0"/>
          </reference>
          <reference field="110" count="1" selected="0">
            <x v="0"/>
          </reference>
        </references>
      </pivotArea>
    </format>
    <format dxfId="309">
      <pivotArea outline="0" collapsedLevelsAreSubtotals="1" fieldPosition="0">
        <references count="4">
          <reference field="4294967294" count="1" selected="0">
            <x v="23"/>
          </reference>
          <reference field="0" count="1" selected="0">
            <x v="1"/>
          </reference>
          <reference field="4" count="1" selected="0">
            <x v="0"/>
          </reference>
          <reference field="110" count="1" selected="0">
            <x v="0"/>
          </reference>
        </references>
      </pivotArea>
    </format>
    <format dxfId="308">
      <pivotArea outline="0" collapsedLevelsAreSubtotals="1" fieldPosition="0">
        <references count="4">
          <reference field="4294967294" count="1" selected="0">
            <x v="2"/>
          </reference>
          <reference field="0" count="1" selected="0">
            <x v="3"/>
          </reference>
          <reference field="4" count="1" selected="0">
            <x v="2"/>
          </reference>
          <reference field="110" count="1" selected="0">
            <x v="0"/>
          </reference>
        </references>
      </pivotArea>
    </format>
    <format dxfId="307">
      <pivotArea outline="0" collapsedLevelsAreSubtotals="1" fieldPosition="0">
        <references count="4">
          <reference field="4294967294" count="1" selected="0">
            <x v="2"/>
          </reference>
          <reference field="0" count="1" selected="0">
            <x v="3"/>
          </reference>
          <reference field="4" count="1" selected="0">
            <x v="2"/>
          </reference>
          <reference field="110" count="1" selected="0">
            <x v="0"/>
          </reference>
        </references>
      </pivotArea>
    </format>
    <format dxfId="306">
      <pivotArea outline="0" collapsedLevelsAreSubtotals="1" fieldPosition="0">
        <references count="4">
          <reference field="4294967294" count="1" selected="0">
            <x v="2"/>
          </reference>
          <reference field="0" count="1" selected="0">
            <x v="3"/>
          </reference>
          <reference field="4" count="1" selected="0">
            <x v="9"/>
          </reference>
          <reference field="110" count="1" selected="0">
            <x v="1"/>
          </reference>
        </references>
      </pivotArea>
    </format>
    <format dxfId="305">
      <pivotArea outline="0" collapsedLevelsAreSubtotals="1" fieldPosition="0">
        <references count="4">
          <reference field="4294967294" count="1" selected="0">
            <x v="2"/>
          </reference>
          <reference field="0" count="1" selected="0">
            <x v="3"/>
          </reference>
          <reference field="4" count="1" selected="0">
            <x v="9"/>
          </reference>
          <reference field="110" count="1" selected="0">
            <x v="1"/>
          </reference>
        </references>
      </pivotArea>
    </format>
    <format dxfId="304">
      <pivotArea outline="0" collapsedLevelsAreSubtotals="1" fieldPosition="0">
        <references count="4">
          <reference field="4294967294" count="1" selected="0">
            <x v="5"/>
          </reference>
          <reference field="0" count="1" selected="0">
            <x v="3"/>
          </reference>
          <reference field="4" count="1" selected="0">
            <x v="2"/>
          </reference>
          <reference field="110" count="1" selected="0">
            <x v="0"/>
          </reference>
        </references>
      </pivotArea>
    </format>
    <format dxfId="303">
      <pivotArea outline="0" collapsedLevelsAreSubtotals="1" fieldPosition="0">
        <references count="4">
          <reference field="4294967294" count="1" selected="0">
            <x v="5"/>
          </reference>
          <reference field="0" count="1" selected="0">
            <x v="3"/>
          </reference>
          <reference field="4" count="1" selected="0">
            <x v="2"/>
          </reference>
          <reference field="110" count="1" selected="0">
            <x v="0"/>
          </reference>
        </references>
      </pivotArea>
    </format>
    <format dxfId="302">
      <pivotArea outline="0" collapsedLevelsAreSubtotals="1" fieldPosition="0">
        <references count="4">
          <reference field="4294967294" count="1" selected="0">
            <x v="5"/>
          </reference>
          <reference field="0" count="1" selected="0">
            <x v="3"/>
          </reference>
          <reference field="4" count="1" selected="0">
            <x v="1"/>
          </reference>
          <reference field="110" count="1" selected="0">
            <x v="0"/>
          </reference>
        </references>
      </pivotArea>
    </format>
    <format dxfId="301">
      <pivotArea outline="0" collapsedLevelsAreSubtotals="1" fieldPosition="0">
        <references count="4">
          <reference field="4294967294" count="1" selected="0">
            <x v="5"/>
          </reference>
          <reference field="0" count="1" selected="0">
            <x v="3"/>
          </reference>
          <reference field="4" count="1" selected="0">
            <x v="1"/>
          </reference>
          <reference field="110" count="1" selected="0">
            <x v="0"/>
          </reference>
        </references>
      </pivotArea>
    </format>
    <format dxfId="300">
      <pivotArea outline="0" collapsedLevelsAreSubtotals="1" fieldPosition="0">
        <references count="4">
          <reference field="4294967294" count="1" selected="0">
            <x v="8"/>
          </reference>
          <reference field="0" count="1" selected="0">
            <x v="3"/>
          </reference>
          <reference field="4" count="1" selected="0">
            <x v="6"/>
          </reference>
          <reference field="110" count="1" selected="0">
            <x v="1"/>
          </reference>
        </references>
      </pivotArea>
    </format>
    <format dxfId="299">
      <pivotArea outline="0" collapsedLevelsAreSubtotals="1" fieldPosition="0">
        <references count="4">
          <reference field="4294967294" count="1" selected="0">
            <x v="8"/>
          </reference>
          <reference field="0" count="1" selected="0">
            <x v="3"/>
          </reference>
          <reference field="4" count="1" selected="0">
            <x v="6"/>
          </reference>
          <reference field="110" count="1" selected="0">
            <x v="1"/>
          </reference>
        </references>
      </pivotArea>
    </format>
    <format dxfId="298">
      <pivotArea outline="0" collapsedLevelsAreSubtotals="1" fieldPosition="0">
        <references count="4">
          <reference field="4294967294" count="1" selected="0">
            <x v="11"/>
          </reference>
          <reference field="0" count="1" selected="0">
            <x v="3"/>
          </reference>
          <reference field="4" count="1" selected="0">
            <x v="2"/>
          </reference>
          <reference field="110" count="1" selected="0">
            <x v="0"/>
          </reference>
        </references>
      </pivotArea>
    </format>
    <format dxfId="297">
      <pivotArea outline="0" collapsedLevelsAreSubtotals="1" fieldPosition="0">
        <references count="4">
          <reference field="4294967294" count="1" selected="0">
            <x v="11"/>
          </reference>
          <reference field="0" count="1" selected="0">
            <x v="3"/>
          </reference>
          <reference field="4" count="1" selected="0">
            <x v="2"/>
          </reference>
          <reference field="110" count="1" selected="0">
            <x v="0"/>
          </reference>
        </references>
      </pivotArea>
    </format>
    <format dxfId="296">
      <pivotArea outline="0" collapsedLevelsAreSubtotals="1" fieldPosition="0">
        <references count="4">
          <reference field="4294967294" count="1" selected="0">
            <x v="11"/>
          </reference>
          <reference field="0" count="1" selected="0">
            <x v="3"/>
          </reference>
          <reference field="4" count="1" selected="0">
            <x v="1"/>
          </reference>
          <reference field="110" count="1" selected="0">
            <x v="0"/>
          </reference>
        </references>
      </pivotArea>
    </format>
    <format dxfId="295">
      <pivotArea outline="0" collapsedLevelsAreSubtotals="1" fieldPosition="0">
        <references count="4">
          <reference field="4294967294" count="1" selected="0">
            <x v="11"/>
          </reference>
          <reference field="0" count="1" selected="0">
            <x v="3"/>
          </reference>
          <reference field="4" count="1" selected="0">
            <x v="1"/>
          </reference>
          <reference field="110" count="1" selected="0">
            <x v="0"/>
          </reference>
        </references>
      </pivotArea>
    </format>
    <format dxfId="294">
      <pivotArea outline="0" collapsedLevelsAreSubtotals="1" fieldPosition="0">
        <references count="4">
          <reference field="4294967294" count="1" selected="0">
            <x v="5"/>
          </reference>
          <reference field="0" count="1" selected="0">
            <x v="4"/>
          </reference>
          <reference field="4" count="1" selected="0">
            <x v="1"/>
          </reference>
          <reference field="110" count="1" selected="0">
            <x v="0"/>
          </reference>
        </references>
      </pivotArea>
    </format>
    <format dxfId="293">
      <pivotArea outline="0" collapsedLevelsAreSubtotals="1" fieldPosition="0">
        <references count="4">
          <reference field="4294967294" count="1" selected="0">
            <x v="5"/>
          </reference>
          <reference field="0" count="1" selected="0">
            <x v="4"/>
          </reference>
          <reference field="4" count="1" selected="0">
            <x v="1"/>
          </reference>
          <reference field="110" count="1" selected="0">
            <x v="0"/>
          </reference>
        </references>
      </pivotArea>
    </format>
    <format dxfId="292">
      <pivotArea outline="0" collapsedLevelsAreSubtotals="1" fieldPosition="0">
        <references count="4">
          <reference field="4294967294" count="1" selected="0">
            <x v="5"/>
          </reference>
          <reference field="0" count="1" selected="0">
            <x v="4"/>
          </reference>
          <reference field="4" count="1" selected="0">
            <x v="2"/>
          </reference>
          <reference field="110" count="1" selected="0">
            <x v="0"/>
          </reference>
        </references>
      </pivotArea>
    </format>
    <format dxfId="291">
      <pivotArea outline="0" collapsedLevelsAreSubtotals="1" fieldPosition="0">
        <references count="4">
          <reference field="4294967294" count="1" selected="0">
            <x v="5"/>
          </reference>
          <reference field="0" count="1" selected="0">
            <x v="4"/>
          </reference>
          <reference field="4" count="1" selected="0">
            <x v="2"/>
          </reference>
          <reference field="110" count="1" selected="0">
            <x v="0"/>
          </reference>
        </references>
      </pivotArea>
    </format>
    <format dxfId="290">
      <pivotArea outline="0" collapsedLevelsAreSubtotals="1" fieldPosition="0">
        <references count="4">
          <reference field="4294967294" count="1" selected="0">
            <x v="5"/>
          </reference>
          <reference field="0" count="1" selected="0">
            <x v="4"/>
          </reference>
          <reference field="4" count="1" selected="0">
            <x v="6"/>
          </reference>
          <reference field="110" count="1" selected="0">
            <x v="1"/>
          </reference>
        </references>
      </pivotArea>
    </format>
    <format dxfId="289">
      <pivotArea outline="0" collapsedLevelsAreSubtotals="1" fieldPosition="0">
        <references count="4">
          <reference field="4294967294" count="1" selected="0">
            <x v="5"/>
          </reference>
          <reference field="0" count="1" selected="0">
            <x v="4"/>
          </reference>
          <reference field="4" count="1" selected="0">
            <x v="6"/>
          </reference>
          <reference field="110" count="1" selected="0">
            <x v="1"/>
          </reference>
        </references>
      </pivotArea>
    </format>
    <format dxfId="288">
      <pivotArea outline="0" collapsedLevelsAreSubtotals="1" fieldPosition="0">
        <references count="4">
          <reference field="4294967294" count="1" selected="0">
            <x v="5"/>
          </reference>
          <reference field="0" count="1" selected="0">
            <x v="4"/>
          </reference>
          <reference field="4" count="1" selected="0">
            <x v="11"/>
          </reference>
          <reference field="110" count="1" selected="0">
            <x v="3"/>
          </reference>
        </references>
      </pivotArea>
    </format>
    <format dxfId="287">
      <pivotArea outline="0" collapsedLevelsAreSubtotals="1" fieldPosition="0">
        <references count="4">
          <reference field="4294967294" count="1" selected="0">
            <x v="5"/>
          </reference>
          <reference field="0" count="1" selected="0">
            <x v="4"/>
          </reference>
          <reference field="4" count="1" selected="0">
            <x v="11"/>
          </reference>
          <reference field="110" count="1" selected="0">
            <x v="3"/>
          </reference>
        </references>
      </pivotArea>
    </format>
    <format dxfId="286">
      <pivotArea outline="0" collapsedLevelsAreSubtotals="1" fieldPosition="0">
        <references count="4">
          <reference field="4294967294" count="1" selected="0">
            <x v="11"/>
          </reference>
          <reference field="0" count="1" selected="0">
            <x v="4"/>
          </reference>
          <reference field="4" count="1" selected="0">
            <x v="1"/>
          </reference>
          <reference field="110" count="1" selected="0">
            <x v="0"/>
          </reference>
        </references>
      </pivotArea>
    </format>
    <format dxfId="285">
      <pivotArea outline="0" collapsedLevelsAreSubtotals="1" fieldPosition="0">
        <references count="4">
          <reference field="4294967294" count="1" selected="0">
            <x v="11"/>
          </reference>
          <reference field="0" count="1" selected="0">
            <x v="4"/>
          </reference>
          <reference field="4" count="1" selected="0">
            <x v="1"/>
          </reference>
          <reference field="110" count="1" selected="0">
            <x v="0"/>
          </reference>
        </references>
      </pivotArea>
    </format>
    <format dxfId="284">
      <pivotArea outline="0" collapsedLevelsAreSubtotals="1" fieldPosition="0">
        <references count="4">
          <reference field="4294967294" count="1" selected="0">
            <x v="17"/>
          </reference>
          <reference field="0" count="1" selected="0">
            <x v="4"/>
          </reference>
          <reference field="4" count="1" selected="0">
            <x v="0"/>
          </reference>
          <reference field="110" count="1" selected="0">
            <x v="0"/>
          </reference>
        </references>
      </pivotArea>
    </format>
    <format dxfId="283">
      <pivotArea outline="0" collapsedLevelsAreSubtotals="1" fieldPosition="0">
        <references count="4">
          <reference field="4294967294" count="1" selected="0">
            <x v="17"/>
          </reference>
          <reference field="0" count="1" selected="0">
            <x v="4"/>
          </reference>
          <reference field="4" count="1" selected="0">
            <x v="0"/>
          </reference>
          <reference field="110" count="1" selected="0">
            <x v="0"/>
          </reference>
        </references>
      </pivotArea>
    </format>
    <format dxfId="282">
      <pivotArea outline="0" collapsedLevelsAreSubtotals="1" fieldPosition="0">
        <references count="4">
          <reference field="4294967294" count="1" selected="0">
            <x v="20"/>
          </reference>
          <reference field="0" count="1" selected="0">
            <x v="4"/>
          </reference>
          <reference field="4" count="1" selected="0">
            <x v="11"/>
          </reference>
          <reference field="110" count="1" selected="0">
            <x v="3"/>
          </reference>
        </references>
      </pivotArea>
    </format>
    <format dxfId="281">
      <pivotArea outline="0" collapsedLevelsAreSubtotals="1" fieldPosition="0">
        <references count="4">
          <reference field="4294967294" count="1" selected="0">
            <x v="20"/>
          </reference>
          <reference field="0" count="1" selected="0">
            <x v="4"/>
          </reference>
          <reference field="4" count="1" selected="0">
            <x v="11"/>
          </reference>
          <reference field="110" count="1" selected="0">
            <x v="3"/>
          </reference>
        </references>
      </pivotArea>
    </format>
    <format dxfId="280">
      <pivotArea outline="0" collapsedLevelsAreSubtotals="1" fieldPosition="0">
        <references count="4">
          <reference field="4294967294" count="1" selected="0">
            <x v="20"/>
          </reference>
          <reference field="0" count="1" selected="0">
            <x v="4"/>
          </reference>
          <reference field="4" count="1" selected="0">
            <x v="12"/>
          </reference>
          <reference field="110" count="1" selected="0">
            <x v="3"/>
          </reference>
        </references>
      </pivotArea>
    </format>
    <format dxfId="279">
      <pivotArea outline="0" collapsedLevelsAreSubtotals="1" fieldPosition="0">
        <references count="4">
          <reference field="4294967294" count="1" selected="0">
            <x v="20"/>
          </reference>
          <reference field="0" count="1" selected="0">
            <x v="4"/>
          </reference>
          <reference field="4" count="1" selected="0">
            <x v="12"/>
          </reference>
          <reference field="110" count="1" selected="0">
            <x v="3"/>
          </reference>
        </references>
      </pivotArea>
    </format>
    <format dxfId="278">
      <pivotArea outline="0" collapsedLevelsAreSubtotals="1" fieldPosition="0">
        <references count="4">
          <reference field="4294967294" count="1" selected="0">
            <x v="11"/>
          </reference>
          <reference field="0" count="1" selected="0">
            <x v="5"/>
          </reference>
          <reference field="4" count="1" selected="0">
            <x v="3"/>
          </reference>
          <reference field="110" count="1" selected="0">
            <x v="0"/>
          </reference>
        </references>
      </pivotArea>
    </format>
    <format dxfId="277">
      <pivotArea outline="0" collapsedLevelsAreSubtotals="1" fieldPosition="0">
        <references count="4">
          <reference field="4294967294" count="1" selected="0">
            <x v="11"/>
          </reference>
          <reference field="0" count="1" selected="0">
            <x v="5"/>
          </reference>
          <reference field="4" count="1" selected="0">
            <x v="3"/>
          </reference>
          <reference field="110" count="1" selected="0">
            <x v="0"/>
          </reference>
        </references>
      </pivotArea>
    </format>
    <format dxfId="276">
      <pivotArea outline="0" collapsedLevelsAreSubtotals="1" fieldPosition="0">
        <references count="4">
          <reference field="4294967294" count="1" selected="0">
            <x v="11"/>
          </reference>
          <reference field="0" count="1" selected="0">
            <x v="5"/>
          </reference>
          <reference field="4" count="1" selected="0">
            <x v="0"/>
          </reference>
          <reference field="110" count="1" selected="0">
            <x v="0"/>
          </reference>
        </references>
      </pivotArea>
    </format>
    <format dxfId="275">
      <pivotArea outline="0" collapsedLevelsAreSubtotals="1" fieldPosition="0">
        <references count="4">
          <reference field="4294967294" count="1" selected="0">
            <x v="11"/>
          </reference>
          <reference field="0" count="1" selected="0">
            <x v="5"/>
          </reference>
          <reference field="4" count="1" selected="0">
            <x v="0"/>
          </reference>
          <reference field="110" count="1" selected="0">
            <x v="0"/>
          </reference>
        </references>
      </pivotArea>
    </format>
    <format dxfId="274">
      <pivotArea outline="0" collapsedLevelsAreSubtotals="1" fieldPosition="0">
        <references count="4">
          <reference field="4294967294" count="1" selected="0">
            <x v="23"/>
          </reference>
          <reference field="0" count="1" selected="0">
            <x v="5"/>
          </reference>
          <reference field="4" count="1" selected="0">
            <x v="0"/>
          </reference>
          <reference field="110" count="1" selected="0">
            <x v="0"/>
          </reference>
        </references>
      </pivotArea>
    </format>
    <format dxfId="273">
      <pivotArea outline="0" collapsedLevelsAreSubtotals="1" fieldPosition="0">
        <references count="4">
          <reference field="4294967294" count="1" selected="0">
            <x v="23"/>
          </reference>
          <reference field="0" count="1" selected="0">
            <x v="5"/>
          </reference>
          <reference field="4" count="1" selected="0">
            <x v="2"/>
          </reference>
          <reference field="110" count="1" selected="0">
            <x v="0"/>
          </reference>
        </references>
      </pivotArea>
    </format>
    <format dxfId="272">
      <pivotArea outline="0" collapsedLevelsAreSubtotals="1" fieldPosition="0">
        <references count="4">
          <reference field="4294967294" count="1" selected="0">
            <x v="23"/>
          </reference>
          <reference field="0" count="1" selected="0">
            <x v="5"/>
          </reference>
          <reference field="4" count="1" selected="0">
            <x v="2"/>
          </reference>
          <reference field="110" count="1" selected="0">
            <x v="0"/>
          </reference>
        </references>
      </pivotArea>
    </format>
    <format dxfId="271">
      <pivotArea outline="0" collapsedLevelsAreSubtotals="1" fieldPosition="0">
        <references count="4">
          <reference field="4294967294" count="1" selected="0">
            <x v="23"/>
          </reference>
          <reference field="0" count="1" selected="0">
            <x v="5"/>
          </reference>
          <reference field="4" count="1" selected="0">
            <x v="3"/>
          </reference>
          <reference field="110" count="1" selected="0">
            <x v="0"/>
          </reference>
        </references>
      </pivotArea>
    </format>
    <format dxfId="270">
      <pivotArea outline="0" collapsedLevelsAreSubtotals="1" fieldPosition="0">
        <references count="4">
          <reference field="4294967294" count="1" selected="0">
            <x v="23"/>
          </reference>
          <reference field="0" count="1" selected="0">
            <x v="5"/>
          </reference>
          <reference field="4" count="1" selected="0">
            <x v="3"/>
          </reference>
          <reference field="110" count="1" selected="0">
            <x v="0"/>
          </reference>
        </references>
      </pivotArea>
    </format>
    <format dxfId="269">
      <pivotArea outline="0" collapsedLevelsAreSubtotals="1" fieldPosition="0">
        <references count="4">
          <reference field="4294967294" count="1" selected="0">
            <x v="23"/>
          </reference>
          <reference field="0" count="1" selected="0">
            <x v="5"/>
          </reference>
          <reference field="4" count="1" selected="0">
            <x v="4"/>
          </reference>
          <reference field="110" count="1" selected="0">
            <x v="0"/>
          </reference>
        </references>
      </pivotArea>
    </format>
    <format dxfId="268">
      <pivotArea outline="0" collapsedLevelsAreSubtotals="1" fieldPosition="0">
        <references count="4">
          <reference field="4294967294" count="1" selected="0">
            <x v="23"/>
          </reference>
          <reference field="0" count="1" selected="0">
            <x v="5"/>
          </reference>
          <reference field="4" count="1" selected="0">
            <x v="4"/>
          </reference>
          <reference field="110" count="1" selected="0">
            <x v="0"/>
          </reference>
        </references>
      </pivotArea>
    </format>
    <format dxfId="267">
      <pivotArea outline="0" collapsedLevelsAreSubtotals="1" fieldPosition="0">
        <references count="4">
          <reference field="4294967294" count="1" selected="0">
            <x v="23"/>
          </reference>
          <reference field="0" count="1" selected="0">
            <x v="5"/>
          </reference>
          <reference field="4" count="1" selected="0">
            <x v="8"/>
          </reference>
          <reference field="110" count="1" selected="0">
            <x v="1"/>
          </reference>
        </references>
      </pivotArea>
    </format>
    <format dxfId="266">
      <pivotArea outline="0" collapsedLevelsAreSubtotals="1" fieldPosition="0">
        <references count="4">
          <reference field="4294967294" count="1" selected="0">
            <x v="23"/>
          </reference>
          <reference field="0" count="1" selected="0">
            <x v="5"/>
          </reference>
          <reference field="4" count="1" selected="0">
            <x v="8"/>
          </reference>
          <reference field="110" count="1" selected="0">
            <x v="1"/>
          </reference>
        </references>
      </pivotArea>
    </format>
    <format dxfId="265">
      <pivotArea outline="0" collapsedLevelsAreSubtotals="1" fieldPosition="0">
        <references count="4">
          <reference field="4294967294" count="1" selected="0">
            <x v="5"/>
          </reference>
          <reference field="0" count="1" selected="0">
            <x v="6"/>
          </reference>
          <reference field="4" count="1" selected="0">
            <x v="3"/>
          </reference>
          <reference field="110" count="1" selected="0">
            <x v="0"/>
          </reference>
        </references>
      </pivotArea>
    </format>
    <format dxfId="264">
      <pivotArea outline="0" collapsedLevelsAreSubtotals="1" fieldPosition="0">
        <references count="4">
          <reference field="4294967294" count="1" selected="0">
            <x v="5"/>
          </reference>
          <reference field="0" count="1" selected="0">
            <x v="6"/>
          </reference>
          <reference field="4" count="1" selected="0">
            <x v="3"/>
          </reference>
          <reference field="110" count="1" selected="0">
            <x v="0"/>
          </reference>
        </references>
      </pivotArea>
    </format>
    <format dxfId="263">
      <pivotArea outline="0" collapsedLevelsAreSubtotals="1" fieldPosition="0">
        <references count="4">
          <reference field="4294967294" count="1" selected="0">
            <x v="11"/>
          </reference>
          <reference field="0" count="1" selected="0">
            <x v="6"/>
          </reference>
          <reference field="4" count="1" selected="0">
            <x v="9"/>
          </reference>
          <reference field="110" count="1" selected="0">
            <x v="1"/>
          </reference>
        </references>
      </pivotArea>
    </format>
    <format dxfId="262">
      <pivotArea outline="0" collapsedLevelsAreSubtotals="1" fieldPosition="0">
        <references count="4">
          <reference field="4294967294" count="1" selected="0">
            <x v="11"/>
          </reference>
          <reference field="0" count="1" selected="0">
            <x v="6"/>
          </reference>
          <reference field="4" count="1" selected="0">
            <x v="9"/>
          </reference>
          <reference field="110" count="1" selected="0">
            <x v="1"/>
          </reference>
        </references>
      </pivotArea>
    </format>
    <format dxfId="261">
      <pivotArea outline="0" collapsedLevelsAreSubtotals="1" fieldPosition="0">
        <references count="4">
          <reference field="4294967294" count="1" selected="0">
            <x v="14"/>
          </reference>
          <reference field="0" count="1" selected="0">
            <x v="6"/>
          </reference>
          <reference field="4" count="1" selected="0">
            <x v="9"/>
          </reference>
          <reference field="110" count="1" selected="0">
            <x v="1"/>
          </reference>
        </references>
      </pivotArea>
    </format>
    <format dxfId="260">
      <pivotArea outline="0" collapsedLevelsAreSubtotals="1" fieldPosition="0">
        <references count="4">
          <reference field="4294967294" count="1" selected="0">
            <x v="14"/>
          </reference>
          <reference field="0" count="1" selected="0">
            <x v="6"/>
          </reference>
          <reference field="4" count="1" selected="0">
            <x v="9"/>
          </reference>
          <reference field="110" count="1" selected="0">
            <x v="1"/>
          </reference>
        </references>
      </pivotArea>
    </format>
    <format dxfId="259">
      <pivotArea outline="0" collapsedLevelsAreSubtotals="1" fieldPosition="0">
        <references count="4">
          <reference field="4294967294" count="1" selected="0">
            <x v="17"/>
          </reference>
          <reference field="0" count="1" selected="0">
            <x v="6"/>
          </reference>
          <reference field="4" count="1" selected="0">
            <x v="1"/>
          </reference>
          <reference field="110" count="1" selected="0">
            <x v="0"/>
          </reference>
        </references>
      </pivotArea>
    </format>
    <format dxfId="258">
      <pivotArea outline="0" collapsedLevelsAreSubtotals="1" fieldPosition="0">
        <references count="4">
          <reference field="4294967294" count="1" selected="0">
            <x v="17"/>
          </reference>
          <reference field="0" count="1" selected="0">
            <x v="6"/>
          </reference>
          <reference field="4" count="1" selected="0">
            <x v="1"/>
          </reference>
          <reference field="110" count="1" selected="0">
            <x v="0"/>
          </reference>
        </references>
      </pivotArea>
    </format>
    <format dxfId="257">
      <pivotArea outline="0" collapsedLevelsAreSubtotals="1" fieldPosition="0">
        <references count="4">
          <reference field="4294967294" count="1" selected="0">
            <x v="20"/>
          </reference>
          <reference field="0" count="1" selected="0">
            <x v="6"/>
          </reference>
          <reference field="4" count="1" selected="0">
            <x v="1"/>
          </reference>
          <reference field="110" count="1" selected="0">
            <x v="0"/>
          </reference>
        </references>
      </pivotArea>
    </format>
    <format dxfId="256">
      <pivotArea outline="0" collapsedLevelsAreSubtotals="1" fieldPosition="0">
        <references count="4">
          <reference field="4294967294" count="1" selected="0">
            <x v="20"/>
          </reference>
          <reference field="0" count="1" selected="0">
            <x v="6"/>
          </reference>
          <reference field="4" count="1" selected="0">
            <x v="1"/>
          </reference>
          <reference field="110" count="1" selected="0">
            <x v="0"/>
          </reference>
        </references>
      </pivotArea>
    </format>
    <format dxfId="255">
      <pivotArea outline="0" collapsedLevelsAreSubtotals="1" fieldPosition="0">
        <references count="4">
          <reference field="4294967294" count="1" selected="0">
            <x v="5"/>
          </reference>
          <reference field="0" count="1" selected="0">
            <x v="7"/>
          </reference>
          <reference field="4" count="1" selected="0">
            <x v="3"/>
          </reference>
          <reference field="110" count="1" selected="0">
            <x v="0"/>
          </reference>
        </references>
      </pivotArea>
    </format>
    <format dxfId="254">
      <pivotArea outline="0" collapsedLevelsAreSubtotals="1" fieldPosition="0">
        <references count="4">
          <reference field="4294967294" count="1" selected="0">
            <x v="5"/>
          </reference>
          <reference field="0" count="1" selected="0">
            <x v="7"/>
          </reference>
          <reference field="4" count="1" selected="0">
            <x v="3"/>
          </reference>
          <reference field="110" count="1" selected="0">
            <x v="0"/>
          </reference>
        </references>
      </pivotArea>
    </format>
    <format dxfId="253">
      <pivotArea outline="0" collapsedLevelsAreSubtotals="1" fieldPosition="0">
        <references count="4">
          <reference field="4294967294" count="1" selected="0">
            <x v="23"/>
          </reference>
          <reference field="0" count="1" selected="0">
            <x v="7"/>
          </reference>
          <reference field="4" count="1" selected="0">
            <x v="2"/>
          </reference>
          <reference field="110" count="1" selected="0">
            <x v="0"/>
          </reference>
        </references>
      </pivotArea>
    </format>
    <format dxfId="252">
      <pivotArea outline="0" collapsedLevelsAreSubtotals="1" fieldPosition="0">
        <references count="4">
          <reference field="4294967294" count="1" selected="0">
            <x v="23"/>
          </reference>
          <reference field="0" count="1" selected="0">
            <x v="7"/>
          </reference>
          <reference field="4" count="1" selected="0">
            <x v="2"/>
          </reference>
          <reference field="110" count="1" selected="0">
            <x v="0"/>
          </reference>
        </references>
      </pivotArea>
    </format>
    <format dxfId="251">
      <pivotArea outline="0" collapsedLevelsAreSubtotals="1" fieldPosition="0">
        <references count="4">
          <reference field="4294967294" count="1" selected="0">
            <x v="23"/>
          </reference>
          <reference field="0" count="1" selected="0">
            <x v="7"/>
          </reference>
          <reference field="4" count="1" selected="0">
            <x v="5"/>
          </reference>
          <reference field="110" count="1" selected="0">
            <x v="0"/>
          </reference>
        </references>
      </pivotArea>
    </format>
    <format dxfId="250">
      <pivotArea outline="0" collapsedLevelsAreSubtotals="1" fieldPosition="0">
        <references count="4">
          <reference field="4294967294" count="1" selected="0">
            <x v="23"/>
          </reference>
          <reference field="0" count="1" selected="0">
            <x v="7"/>
          </reference>
          <reference field="4" count="1" selected="0">
            <x v="5"/>
          </reference>
          <reference field="110" count="1" selected="0">
            <x v="0"/>
          </reference>
        </references>
      </pivotArea>
    </format>
    <format dxfId="249">
      <pivotArea outline="0" collapsedLevelsAreSubtotals="1" fieldPosition="0">
        <references count="4">
          <reference field="4294967294" count="1" selected="0">
            <x v="23"/>
          </reference>
          <reference field="0" count="1" selected="0">
            <x v="8"/>
          </reference>
          <reference field="4" count="1" selected="0">
            <x v="4"/>
          </reference>
          <reference field="110" count="1" selected="0">
            <x v="0"/>
          </reference>
        </references>
      </pivotArea>
    </format>
    <format dxfId="248">
      <pivotArea outline="0" collapsedLevelsAreSubtotals="1" fieldPosition="0">
        <references count="4">
          <reference field="4294967294" count="1" selected="0">
            <x v="23"/>
          </reference>
          <reference field="0" count="1" selected="0">
            <x v="8"/>
          </reference>
          <reference field="4" count="1" selected="0">
            <x v="4"/>
          </reference>
          <reference field="110" count="1" selected="0">
            <x v="0"/>
          </reference>
        </references>
      </pivotArea>
    </format>
    <format dxfId="247">
      <pivotArea outline="0" collapsedLevelsAreSubtotals="1" fieldPosition="0">
        <references count="4">
          <reference field="4294967294" count="1" selected="0">
            <x v="23"/>
          </reference>
          <reference field="0" count="1" selected="0">
            <x v="8"/>
          </reference>
          <reference field="4" count="1" selected="0">
            <x v="0"/>
          </reference>
          <reference field="110" count="1" selected="0">
            <x v="0"/>
          </reference>
        </references>
      </pivotArea>
    </format>
    <format dxfId="246">
      <pivotArea outline="0" collapsedLevelsAreSubtotals="1" fieldPosition="0">
        <references count="4">
          <reference field="4294967294" count="1" selected="0">
            <x v="23"/>
          </reference>
          <reference field="0" count="1" selected="0">
            <x v="8"/>
          </reference>
          <reference field="4" count="1" selected="0">
            <x v="0"/>
          </reference>
          <reference field="110" count="1" selected="0">
            <x v="0"/>
          </reference>
        </references>
      </pivotArea>
    </format>
    <format dxfId="245">
      <pivotArea outline="0" collapsedLevelsAreSubtotals="1" fieldPosition="0">
        <references count="4">
          <reference field="4294967294" count="1" selected="0">
            <x v="2"/>
          </reference>
          <reference field="0" count="1" selected="0">
            <x v="10"/>
          </reference>
          <reference field="4" count="1" selected="0">
            <x v="4"/>
          </reference>
          <reference field="110" count="1" selected="0">
            <x v="0"/>
          </reference>
        </references>
      </pivotArea>
    </format>
    <format dxfId="244">
      <pivotArea outline="0" collapsedLevelsAreSubtotals="1" fieldPosition="0">
        <references count="4">
          <reference field="4294967294" count="1" selected="0">
            <x v="2"/>
          </reference>
          <reference field="0" count="1" selected="0">
            <x v="10"/>
          </reference>
          <reference field="4" count="1" selected="0">
            <x v="4"/>
          </reference>
          <reference field="110" count="1" selected="0">
            <x v="0"/>
          </reference>
        </references>
      </pivotArea>
    </format>
    <format dxfId="243">
      <pivotArea outline="0" collapsedLevelsAreSubtotals="1" fieldPosition="0">
        <references count="4">
          <reference field="4294967294" count="1" selected="0">
            <x v="2"/>
          </reference>
          <reference field="0" count="1" selected="0">
            <x v="10"/>
          </reference>
          <reference field="4" count="1" selected="0">
            <x v="6"/>
          </reference>
          <reference field="110" count="1" selected="0">
            <x v="1"/>
          </reference>
        </references>
      </pivotArea>
    </format>
    <format dxfId="242">
      <pivotArea outline="0" collapsedLevelsAreSubtotals="1" fieldPosition="0">
        <references count="4">
          <reference field="4294967294" count="1" selected="0">
            <x v="2"/>
          </reference>
          <reference field="0" count="1" selected="0">
            <x v="10"/>
          </reference>
          <reference field="4" count="1" selected="0">
            <x v="6"/>
          </reference>
          <reference field="110" count="1" selected="0">
            <x v="1"/>
          </reference>
        </references>
      </pivotArea>
    </format>
    <format dxfId="241">
      <pivotArea outline="0" collapsedLevelsAreSubtotals="1" fieldPosition="0">
        <references count="4">
          <reference field="4294967294" count="1" selected="0">
            <x v="2"/>
          </reference>
          <reference field="0" count="1" selected="0">
            <x v="10"/>
          </reference>
          <reference field="4" count="1" selected="0">
            <x v="8"/>
          </reference>
          <reference field="110" count="1" selected="0">
            <x v="1"/>
          </reference>
        </references>
      </pivotArea>
    </format>
    <format dxfId="240">
      <pivotArea outline="0" collapsedLevelsAreSubtotals="1" fieldPosition="0">
        <references count="4">
          <reference field="4294967294" count="1" selected="0">
            <x v="2"/>
          </reference>
          <reference field="0" count="1" selected="0">
            <x v="10"/>
          </reference>
          <reference field="4" count="1" selected="0">
            <x v="8"/>
          </reference>
          <reference field="110" count="1" selected="0">
            <x v="1"/>
          </reference>
        </references>
      </pivotArea>
    </format>
    <format dxfId="239">
      <pivotArea outline="0" collapsedLevelsAreSubtotals="1" fieldPosition="0">
        <references count="4">
          <reference field="4294967294" count="1" selected="0">
            <x v="2"/>
          </reference>
          <reference field="0" count="1" selected="0">
            <x v="10"/>
          </reference>
          <reference field="4" count="1" selected="0">
            <x v="9"/>
          </reference>
          <reference field="110" count="1" selected="0">
            <x v="1"/>
          </reference>
        </references>
      </pivotArea>
    </format>
    <format dxfId="238">
      <pivotArea outline="0" collapsedLevelsAreSubtotals="1" fieldPosition="0">
        <references count="4">
          <reference field="4294967294" count="1" selected="0">
            <x v="2"/>
          </reference>
          <reference field="0" count="1" selected="0">
            <x v="10"/>
          </reference>
          <reference field="4" count="1" selected="0">
            <x v="9"/>
          </reference>
          <reference field="110" count="1" selected="0">
            <x v="1"/>
          </reference>
        </references>
      </pivotArea>
    </format>
    <format dxfId="237">
      <pivotArea outline="0" collapsedLevelsAreSubtotals="1" fieldPosition="0">
        <references count="4">
          <reference field="4294967294" count="1" selected="0">
            <x v="5"/>
          </reference>
          <reference field="0" count="1" selected="0">
            <x v="10"/>
          </reference>
          <reference field="4" count="1" selected="0">
            <x v="6"/>
          </reference>
          <reference field="110" count="1" selected="0">
            <x v="1"/>
          </reference>
        </references>
      </pivotArea>
    </format>
    <format dxfId="236">
      <pivotArea outline="0" collapsedLevelsAreSubtotals="1" fieldPosition="0">
        <references count="4">
          <reference field="4294967294" count="1" selected="0">
            <x v="5"/>
          </reference>
          <reference field="0" count="1" selected="0">
            <x v="10"/>
          </reference>
          <reference field="4" count="1" selected="0">
            <x v="6"/>
          </reference>
          <reference field="110" count="1" selected="0">
            <x v="1"/>
          </reference>
        </references>
      </pivotArea>
    </format>
    <format dxfId="235">
      <pivotArea outline="0" collapsedLevelsAreSubtotals="1" fieldPosition="0">
        <references count="4">
          <reference field="4294967294" count="1" selected="0">
            <x v="5"/>
          </reference>
          <reference field="0" count="1" selected="0">
            <x v="10"/>
          </reference>
          <reference field="4" count="1" selected="0">
            <x v="8"/>
          </reference>
          <reference field="110" count="1" selected="0">
            <x v="1"/>
          </reference>
        </references>
      </pivotArea>
    </format>
    <format dxfId="234">
      <pivotArea outline="0" collapsedLevelsAreSubtotals="1" fieldPosition="0">
        <references count="4">
          <reference field="4294967294" count="1" selected="0">
            <x v="5"/>
          </reference>
          <reference field="0" count="1" selected="0">
            <x v="10"/>
          </reference>
          <reference field="4" count="1" selected="0">
            <x v="8"/>
          </reference>
          <reference field="110" count="1" selected="0">
            <x v="1"/>
          </reference>
        </references>
      </pivotArea>
    </format>
    <format dxfId="233">
      <pivotArea outline="0" collapsedLevelsAreSubtotals="1" fieldPosition="0">
        <references count="4">
          <reference field="4294967294" count="1" selected="0">
            <x v="5"/>
          </reference>
          <reference field="0" count="1" selected="0">
            <x v="10"/>
          </reference>
          <reference field="4" count="1" selected="0">
            <x v="4"/>
          </reference>
          <reference field="110" count="1" selected="0">
            <x v="0"/>
          </reference>
        </references>
      </pivotArea>
    </format>
    <format dxfId="232">
      <pivotArea outline="0" collapsedLevelsAreSubtotals="1" fieldPosition="0">
        <references count="4">
          <reference field="4294967294" count="1" selected="0">
            <x v="5"/>
          </reference>
          <reference field="0" count="1" selected="0">
            <x v="10"/>
          </reference>
          <reference field="4" count="1" selected="0">
            <x v="4"/>
          </reference>
          <reference field="110" count="1" selected="0">
            <x v="0"/>
          </reference>
        </references>
      </pivotArea>
    </format>
    <format dxfId="231">
      <pivotArea outline="0" collapsedLevelsAreSubtotals="1" fieldPosition="0">
        <references count="4">
          <reference field="4294967294" count="1" selected="0">
            <x v="11"/>
          </reference>
          <reference field="0" count="1" selected="0">
            <x v="10"/>
          </reference>
          <reference field="4" count="1" selected="0">
            <x v="6"/>
          </reference>
          <reference field="110" count="1" selected="0">
            <x v="1"/>
          </reference>
        </references>
      </pivotArea>
    </format>
    <format dxfId="230">
      <pivotArea outline="0" collapsedLevelsAreSubtotals="1" fieldPosition="0">
        <references count="4">
          <reference field="4294967294" count="1" selected="0">
            <x v="11"/>
          </reference>
          <reference field="0" count="1" selected="0">
            <x v="10"/>
          </reference>
          <reference field="4" count="1" selected="0">
            <x v="6"/>
          </reference>
          <reference field="110" count="1" selected="0">
            <x v="1"/>
          </reference>
        </references>
      </pivotArea>
    </format>
    <format dxfId="229">
      <pivotArea outline="0" collapsedLevelsAreSubtotals="1" fieldPosition="0">
        <references count="4">
          <reference field="4294967294" count="1" selected="0">
            <x v="11"/>
          </reference>
          <reference field="0" count="1" selected="0">
            <x v="10"/>
          </reference>
          <reference field="4" count="1" selected="0">
            <x v="8"/>
          </reference>
          <reference field="110" count="1" selected="0">
            <x v="1"/>
          </reference>
        </references>
      </pivotArea>
    </format>
    <format dxfId="228">
      <pivotArea outline="0" collapsedLevelsAreSubtotals="1" fieldPosition="0">
        <references count="4">
          <reference field="4294967294" count="1" selected="0">
            <x v="11"/>
          </reference>
          <reference field="0" count="1" selected="0">
            <x v="10"/>
          </reference>
          <reference field="4" count="1" selected="0">
            <x v="8"/>
          </reference>
          <reference field="110" count="1" selected="0">
            <x v="1"/>
          </reference>
        </references>
      </pivotArea>
    </format>
    <format dxfId="227">
      <pivotArea outline="0" collapsedLevelsAreSubtotals="1" fieldPosition="0">
        <references count="4">
          <reference field="4294967294" count="1" selected="0">
            <x v="11"/>
          </reference>
          <reference field="0" count="1" selected="0">
            <x v="10"/>
          </reference>
          <reference field="4" count="1" selected="0">
            <x v="4"/>
          </reference>
          <reference field="110" count="1" selected="0">
            <x v="0"/>
          </reference>
        </references>
      </pivotArea>
    </format>
    <format dxfId="226">
      <pivotArea outline="0" collapsedLevelsAreSubtotals="1" fieldPosition="0">
        <references count="4">
          <reference field="4294967294" count="1" selected="0">
            <x v="11"/>
          </reference>
          <reference field="0" count="1" selected="0">
            <x v="10"/>
          </reference>
          <reference field="4" count="1" selected="0">
            <x v="4"/>
          </reference>
          <reference field="110" count="1" selected="0">
            <x v="0"/>
          </reference>
        </references>
      </pivotArea>
    </format>
    <format dxfId="225">
      <pivotArea outline="0" collapsedLevelsAreSubtotals="1" fieldPosition="0">
        <references count="4">
          <reference field="4294967294" count="1" selected="0">
            <x v="2"/>
          </reference>
          <reference field="0" count="1" selected="0">
            <x v="12"/>
          </reference>
          <reference field="4" count="1" selected="0">
            <x v="4"/>
          </reference>
          <reference field="110" count="1" selected="0">
            <x v="0"/>
          </reference>
        </references>
      </pivotArea>
    </format>
    <format dxfId="224">
      <pivotArea outline="0" collapsedLevelsAreSubtotals="1" fieldPosition="0">
        <references count="4">
          <reference field="4294967294" count="1" selected="0">
            <x v="2"/>
          </reference>
          <reference field="0" count="1" selected="0">
            <x v="12"/>
          </reference>
          <reference field="4" count="1" selected="0">
            <x v="4"/>
          </reference>
          <reference field="110" count="1" selected="0">
            <x v="0"/>
          </reference>
        </references>
      </pivotArea>
    </format>
    <format dxfId="223">
      <pivotArea outline="0" collapsedLevelsAreSubtotals="1" fieldPosition="0">
        <references count="4">
          <reference field="4294967294" count="1" selected="0">
            <x v="2"/>
          </reference>
          <reference field="0" count="1" selected="0">
            <x v="12"/>
          </reference>
          <reference field="4" count="1" selected="0">
            <x v="9"/>
          </reference>
          <reference field="110" count="1" selected="0">
            <x v="1"/>
          </reference>
        </references>
      </pivotArea>
    </format>
    <format dxfId="222">
      <pivotArea outline="0" collapsedLevelsAreSubtotals="1" fieldPosition="0">
        <references count="4">
          <reference field="4294967294" count="1" selected="0">
            <x v="2"/>
          </reference>
          <reference field="0" count="1" selected="0">
            <x v="12"/>
          </reference>
          <reference field="4" count="1" selected="0">
            <x v="9"/>
          </reference>
          <reference field="110" count="1" selected="0">
            <x v="1"/>
          </reference>
        </references>
      </pivotArea>
    </format>
    <format dxfId="221">
      <pivotArea outline="0" collapsedLevelsAreSubtotals="1" fieldPosition="0">
        <references count="4">
          <reference field="4294967294" count="1" selected="0">
            <x v="5"/>
          </reference>
          <reference field="0" count="1" selected="0">
            <x v="12"/>
          </reference>
          <reference field="4" count="1" selected="0">
            <x v="0"/>
          </reference>
          <reference field="110" count="1" selected="0">
            <x v="0"/>
          </reference>
        </references>
      </pivotArea>
    </format>
    <format dxfId="220">
      <pivotArea outline="0" collapsedLevelsAreSubtotals="1" fieldPosition="0">
        <references count="4">
          <reference field="4294967294" count="1" selected="0">
            <x v="5"/>
          </reference>
          <reference field="0" count="1" selected="0">
            <x v="12"/>
          </reference>
          <reference field="4" count="1" selected="0">
            <x v="0"/>
          </reference>
          <reference field="110" count="1" selected="0">
            <x v="0"/>
          </reference>
        </references>
      </pivotArea>
    </format>
    <format dxfId="219">
      <pivotArea outline="0" collapsedLevelsAreSubtotals="1" fieldPosition="0">
        <references count="4">
          <reference field="4294967294" count="1" selected="0">
            <x v="5"/>
          </reference>
          <reference field="0" count="1" selected="0">
            <x v="12"/>
          </reference>
          <reference field="4" count="1" selected="0">
            <x v="8"/>
          </reference>
          <reference field="110" count="1" selected="0">
            <x v="1"/>
          </reference>
        </references>
      </pivotArea>
    </format>
    <format dxfId="218">
      <pivotArea outline="0" collapsedLevelsAreSubtotals="1" fieldPosition="0">
        <references count="4">
          <reference field="4294967294" count="1" selected="0">
            <x v="5"/>
          </reference>
          <reference field="0" count="1" selected="0">
            <x v="12"/>
          </reference>
          <reference field="4" count="1" selected="0">
            <x v="8"/>
          </reference>
          <reference field="110" count="1" selected="0">
            <x v="1"/>
          </reference>
        </references>
      </pivotArea>
    </format>
    <format dxfId="217">
      <pivotArea outline="0" collapsedLevelsAreSubtotals="1" fieldPosition="0">
        <references count="4">
          <reference field="4294967294" count="1" selected="0">
            <x v="23"/>
          </reference>
          <reference field="0" count="1" selected="0">
            <x v="12"/>
          </reference>
          <reference field="4" count="1" selected="0">
            <x v="0"/>
          </reference>
          <reference field="110" count="1" selected="0">
            <x v="0"/>
          </reference>
        </references>
      </pivotArea>
    </format>
    <format dxfId="216">
      <pivotArea outline="0" collapsedLevelsAreSubtotals="1" fieldPosition="0">
        <references count="4">
          <reference field="4294967294" count="1" selected="0">
            <x v="23"/>
          </reference>
          <reference field="0" count="1" selected="0">
            <x v="12"/>
          </reference>
          <reference field="4" count="1" selected="0">
            <x v="0"/>
          </reference>
          <reference field="110" count="1" selected="0">
            <x v="0"/>
          </reference>
        </references>
      </pivotArea>
    </format>
    <format dxfId="215">
      <pivotArea outline="0" collapsedLevelsAreSubtotals="1" fieldPosition="0">
        <references count="4">
          <reference field="4294967294" count="1" selected="0">
            <x v="23"/>
          </reference>
          <reference field="0" count="1" selected="0">
            <x v="12"/>
          </reference>
          <reference field="4" count="1" selected="0">
            <x v="2"/>
          </reference>
          <reference field="110" count="1" selected="0">
            <x v="0"/>
          </reference>
        </references>
      </pivotArea>
    </format>
    <format dxfId="214">
      <pivotArea outline="0" collapsedLevelsAreSubtotals="1" fieldPosition="0">
        <references count="4">
          <reference field="4294967294" count="1" selected="0">
            <x v="23"/>
          </reference>
          <reference field="0" count="1" selected="0">
            <x v="12"/>
          </reference>
          <reference field="4" count="1" selected="0">
            <x v="2"/>
          </reference>
          <reference field="110" count="1" selected="0">
            <x v="0"/>
          </reference>
        </references>
      </pivotArea>
    </format>
    <format dxfId="213">
      <pivotArea outline="0" collapsedLevelsAreSubtotals="1" fieldPosition="0">
        <references count="4">
          <reference field="4294967294" count="1" selected="0">
            <x v="26"/>
          </reference>
          <reference field="0" count="1" selected="0">
            <x v="12"/>
          </reference>
          <reference field="4" count="1" selected="0">
            <x v="0"/>
          </reference>
          <reference field="110" count="1" selected="0">
            <x v="0"/>
          </reference>
        </references>
      </pivotArea>
    </format>
    <format dxfId="212">
      <pivotArea outline="0" collapsedLevelsAreSubtotals="1" fieldPosition="0">
        <references count="4">
          <reference field="4294967294" count="1" selected="0">
            <x v="26"/>
          </reference>
          <reference field="0" count="1" selected="0">
            <x v="12"/>
          </reference>
          <reference field="4" count="1" selected="0">
            <x v="0"/>
          </reference>
          <reference field="110" count="1" selected="0">
            <x v="0"/>
          </reference>
        </references>
      </pivotArea>
    </format>
    <format dxfId="211">
      <pivotArea outline="0" collapsedLevelsAreSubtotals="1" fieldPosition="0">
        <references count="4">
          <reference field="4294967294" count="1" selected="0">
            <x v="5"/>
          </reference>
          <reference field="0" count="1" selected="0">
            <x v="13"/>
          </reference>
          <reference field="4" count="1" selected="0">
            <x v="3"/>
          </reference>
          <reference field="110" count="1" selected="0">
            <x v="0"/>
          </reference>
        </references>
      </pivotArea>
    </format>
    <format dxfId="210">
      <pivotArea outline="0" collapsedLevelsAreSubtotals="1" fieldPosition="0">
        <references count="4">
          <reference field="4294967294" count="1" selected="0">
            <x v="5"/>
          </reference>
          <reference field="0" count="1" selected="0">
            <x v="13"/>
          </reference>
          <reference field="4" count="1" selected="0">
            <x v="3"/>
          </reference>
          <reference field="110" count="1" selected="0">
            <x v="0"/>
          </reference>
        </references>
      </pivotArea>
    </format>
    <format dxfId="209">
      <pivotArea outline="0" collapsedLevelsAreSubtotals="1" fieldPosition="0">
        <references count="4">
          <reference field="4294967294" count="1" selected="0">
            <x v="5"/>
          </reference>
          <reference field="0" count="1" selected="0">
            <x v="13"/>
          </reference>
          <reference field="4" count="1" selected="0">
            <x v="2"/>
          </reference>
          <reference field="110" count="1" selected="0">
            <x v="0"/>
          </reference>
        </references>
      </pivotArea>
    </format>
    <format dxfId="208">
      <pivotArea outline="0" collapsedLevelsAreSubtotals="1" fieldPosition="0">
        <references count="4">
          <reference field="4294967294" count="1" selected="0">
            <x v="11"/>
          </reference>
          <reference field="0" count="1" selected="0">
            <x v="13"/>
          </reference>
          <reference field="4" count="1" selected="0">
            <x v="5"/>
          </reference>
          <reference field="110" count="1" selected="0">
            <x v="0"/>
          </reference>
        </references>
      </pivotArea>
    </format>
    <format dxfId="207">
      <pivotArea outline="0" collapsedLevelsAreSubtotals="1" fieldPosition="0">
        <references count="4">
          <reference field="4294967294" count="1" selected="0">
            <x v="11"/>
          </reference>
          <reference field="0" count="1" selected="0">
            <x v="13"/>
          </reference>
          <reference field="4" count="1" selected="0">
            <x v="5"/>
          </reference>
          <reference field="110" count="1" selected="0">
            <x v="0"/>
          </reference>
        </references>
      </pivotArea>
    </format>
    <format dxfId="206">
      <pivotArea outline="0" collapsedLevelsAreSubtotals="1" fieldPosition="0">
        <references count="4">
          <reference field="4294967294" count="1" selected="0">
            <x v="23"/>
          </reference>
          <reference field="0" count="1" selected="0">
            <x v="13"/>
          </reference>
          <reference field="4" count="1" selected="0">
            <x v="2"/>
          </reference>
          <reference field="110" count="1" selected="0">
            <x v="0"/>
          </reference>
        </references>
      </pivotArea>
    </format>
    <format dxfId="205">
      <pivotArea outline="0" collapsedLevelsAreSubtotals="1" fieldPosition="0">
        <references count="4">
          <reference field="4294967294" count="1" selected="0">
            <x v="23"/>
          </reference>
          <reference field="0" count="1" selected="0">
            <x v="13"/>
          </reference>
          <reference field="4" count="1" selected="0">
            <x v="2"/>
          </reference>
          <reference field="110" count="1" selected="0">
            <x v="0"/>
          </reference>
        </references>
      </pivotArea>
    </format>
    <format dxfId="204">
      <pivotArea outline="0" collapsedLevelsAreSubtotals="1" fieldPosition="0">
        <references count="4">
          <reference field="4294967294" count="1" selected="0">
            <x v="5"/>
          </reference>
          <reference field="0" count="1" selected="0">
            <x v="14"/>
          </reference>
          <reference field="4" count="1" selected="0">
            <x v="5"/>
          </reference>
          <reference field="110" count="1" selected="0">
            <x v="0"/>
          </reference>
        </references>
      </pivotArea>
    </format>
    <format dxfId="203">
      <pivotArea outline="0" collapsedLevelsAreSubtotals="1" fieldPosition="0">
        <references count="4">
          <reference field="4294967294" count="1" selected="0">
            <x v="5"/>
          </reference>
          <reference field="0" count="1" selected="0">
            <x v="14"/>
          </reference>
          <reference field="4" count="1" selected="0">
            <x v="5"/>
          </reference>
          <reference field="110" count="1" selected="0">
            <x v="0"/>
          </reference>
        </references>
      </pivotArea>
    </format>
    <format dxfId="202">
      <pivotArea outline="0" collapsedLevelsAreSubtotals="1" fieldPosition="0">
        <references count="4">
          <reference field="4294967294" count="1" selected="0">
            <x v="5"/>
          </reference>
          <reference field="0" count="1" selected="0">
            <x v="14"/>
          </reference>
          <reference field="4" count="2" selected="0">
            <x v="9"/>
            <x v="10"/>
          </reference>
          <reference field="110" count="1" selected="0">
            <x v="1"/>
          </reference>
        </references>
      </pivotArea>
    </format>
    <format dxfId="201">
      <pivotArea outline="0" collapsedLevelsAreSubtotals="1" fieldPosition="0">
        <references count="4">
          <reference field="4294967294" count="1" selected="0">
            <x v="5"/>
          </reference>
          <reference field="0" count="1" selected="0">
            <x v="14"/>
          </reference>
          <reference field="4" count="2" selected="0">
            <x v="9"/>
            <x v="10"/>
          </reference>
          <reference field="110" count="1" selected="0">
            <x v="1"/>
          </reference>
        </references>
      </pivotArea>
    </format>
    <format dxfId="200">
      <pivotArea outline="0" collapsedLevelsAreSubtotals="1" fieldPosition="0">
        <references count="4">
          <reference field="4294967294" count="1" selected="0">
            <x v="5"/>
          </reference>
          <reference field="0" count="1" selected="0">
            <x v="14"/>
          </reference>
          <reference field="4" count="1" selected="0">
            <x v="10"/>
          </reference>
          <reference field="110" count="1" selected="0">
            <x v="1"/>
          </reference>
        </references>
      </pivotArea>
    </format>
    <format dxfId="199">
      <pivotArea outline="0" collapsedLevelsAreSubtotals="1" fieldPosition="0">
        <references count="4">
          <reference field="4294967294" count="1" selected="0">
            <x v="8"/>
          </reference>
          <reference field="0" count="1" selected="0">
            <x v="14"/>
          </reference>
          <reference field="4" count="1" selected="0">
            <x v="2"/>
          </reference>
          <reference field="110" count="1" selected="0">
            <x v="0"/>
          </reference>
        </references>
      </pivotArea>
    </format>
    <format dxfId="198">
      <pivotArea outline="0" collapsedLevelsAreSubtotals="1" fieldPosition="0">
        <references count="4">
          <reference field="4294967294" count="1" selected="0">
            <x v="8"/>
          </reference>
          <reference field="0" count="1" selected="0">
            <x v="14"/>
          </reference>
          <reference field="4" count="1" selected="0">
            <x v="2"/>
          </reference>
          <reference field="110" count="1" selected="0">
            <x v="0"/>
          </reference>
        </references>
      </pivotArea>
    </format>
    <format dxfId="197">
      <pivotArea outline="0" collapsedLevelsAreSubtotals="1" fieldPosition="0">
        <references count="4">
          <reference field="4294967294" count="1" selected="0">
            <x v="8"/>
          </reference>
          <reference field="0" count="1" selected="0">
            <x v="14"/>
          </reference>
          <reference field="4" count="1" selected="0">
            <x v="9"/>
          </reference>
          <reference field="110" count="1" selected="0">
            <x v="1"/>
          </reference>
        </references>
      </pivotArea>
    </format>
    <format dxfId="196">
      <pivotArea outline="0" collapsedLevelsAreSubtotals="1" fieldPosition="0">
        <references count="4">
          <reference field="4294967294" count="1" selected="0">
            <x v="8"/>
          </reference>
          <reference field="0" count="1" selected="0">
            <x v="14"/>
          </reference>
          <reference field="4" count="1" selected="0">
            <x v="9"/>
          </reference>
          <reference field="110" count="1" selected="0">
            <x v="1"/>
          </reference>
        </references>
      </pivotArea>
    </format>
    <format dxfId="195">
      <pivotArea outline="0" collapsedLevelsAreSubtotals="1" fieldPosition="0">
        <references count="4">
          <reference field="4294967294" count="1" selected="0">
            <x v="8"/>
          </reference>
          <reference field="0" count="1" selected="0">
            <x v="14"/>
          </reference>
          <reference field="4" count="1" selected="0">
            <x v="1"/>
          </reference>
          <reference field="110" count="1" selected="0">
            <x v="0"/>
          </reference>
        </references>
      </pivotArea>
    </format>
    <format dxfId="194">
      <pivotArea outline="0" collapsedLevelsAreSubtotals="1" fieldPosition="0">
        <references count="4">
          <reference field="4294967294" count="1" selected="0">
            <x v="8"/>
          </reference>
          <reference field="0" count="1" selected="0">
            <x v="14"/>
          </reference>
          <reference field="4" count="1" selected="0">
            <x v="1"/>
          </reference>
          <reference field="110" count="1" selected="0">
            <x v="0"/>
          </reference>
        </references>
      </pivotArea>
    </format>
    <format dxfId="193">
      <pivotArea outline="0" collapsedLevelsAreSubtotals="1" fieldPosition="0">
        <references count="4">
          <reference field="4294967294" count="1" selected="0">
            <x v="8"/>
          </reference>
          <reference field="0" count="1" selected="0">
            <x v="14"/>
          </reference>
          <reference field="4" count="1" selected="0">
            <x v="4"/>
          </reference>
          <reference field="110" count="1" selected="0">
            <x v="0"/>
          </reference>
        </references>
      </pivotArea>
    </format>
    <format dxfId="192">
      <pivotArea outline="0" collapsedLevelsAreSubtotals="1" fieldPosition="0">
        <references count="4">
          <reference field="4294967294" count="1" selected="0">
            <x v="8"/>
          </reference>
          <reference field="0" count="1" selected="0">
            <x v="14"/>
          </reference>
          <reference field="4" count="1" selected="0">
            <x v="4"/>
          </reference>
          <reference field="110" count="1" selected="0">
            <x v="0"/>
          </reference>
        </references>
      </pivotArea>
    </format>
    <format dxfId="191">
      <pivotArea outline="0" collapsedLevelsAreSubtotals="1" fieldPosition="0">
        <references count="4">
          <reference field="4294967294" count="3" selected="0">
            <x v="9"/>
            <x v="10"/>
            <x v="11"/>
          </reference>
          <reference field="0" count="1" selected="0">
            <x v="15"/>
          </reference>
          <reference field="4" count="1" selected="0">
            <x v="0"/>
          </reference>
          <reference field="110" count="1" selected="0">
            <x v="0"/>
          </reference>
        </references>
      </pivotArea>
    </format>
    <format dxfId="190">
      <pivotArea outline="0" collapsedLevelsAreSubtotals="1" fieldPosition="0">
        <references count="4">
          <reference field="4294967294" count="3" selected="0">
            <x v="18"/>
            <x v="19"/>
            <x v="20"/>
          </reference>
          <reference field="0" count="1" selected="0">
            <x v="15"/>
          </reference>
          <reference field="4" count="1" selected="0">
            <x v="0"/>
          </reference>
          <reference field="110" count="1" selected="0">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6"/>
  </sheetPr>
  <dimension ref="A1:N30"/>
  <sheetViews>
    <sheetView showGridLines="0" showZeros="0" tabSelected="1" view="pageBreakPreview" zoomScaleNormal="75" zoomScaleSheetLayoutView="100" workbookViewId="0">
      <selection activeCell="A24" sqref="A24"/>
    </sheetView>
  </sheetViews>
  <sheetFormatPr defaultColWidth="9" defaultRowHeight="15"/>
  <cols>
    <col min="1" max="1" width="29.125" style="36" customWidth="1"/>
    <col min="2" max="2" width="7.75" style="36" customWidth="1"/>
    <col min="3" max="3" width="5.875" style="36" customWidth="1"/>
    <col min="4" max="4" width="7" style="36" customWidth="1"/>
    <col min="5" max="5" width="8.125" style="36" customWidth="1"/>
    <col min="6" max="6" width="8.875" style="36" customWidth="1"/>
    <col min="7" max="7" width="7.75" style="36" customWidth="1"/>
    <col min="8" max="8" width="12.75" style="36" customWidth="1"/>
    <col min="9" max="9" width="6.5" style="36" customWidth="1"/>
    <col min="10" max="10" width="5.25" style="36" customWidth="1"/>
    <col min="11" max="11" width="7.875" style="135" customWidth="1"/>
    <col min="12" max="16384" width="9" style="36"/>
  </cols>
  <sheetData>
    <row r="1" spans="1:14" ht="18">
      <c r="A1" s="638" t="s">
        <v>1301</v>
      </c>
      <c r="B1" s="639"/>
      <c r="C1" s="639"/>
      <c r="D1" s="639"/>
      <c r="E1" s="639"/>
      <c r="F1" s="639"/>
      <c r="G1" s="639"/>
      <c r="H1" s="639"/>
      <c r="I1" s="639"/>
      <c r="J1" s="639"/>
      <c r="K1" s="639"/>
    </row>
    <row r="2" spans="1:14" ht="11.25" customHeight="1">
      <c r="A2" s="37"/>
      <c r="B2" s="38"/>
      <c r="C2" s="38"/>
      <c r="D2" s="38"/>
      <c r="E2" s="38"/>
      <c r="F2" s="38"/>
      <c r="G2" s="38"/>
      <c r="H2" s="38"/>
      <c r="I2" s="38"/>
      <c r="J2" s="38"/>
      <c r="K2" s="130"/>
    </row>
    <row r="3" spans="1:14" ht="15.75">
      <c r="A3" s="640" t="s">
        <v>466</v>
      </c>
      <c r="B3" s="641"/>
      <c r="C3" s="641"/>
      <c r="D3" s="641"/>
      <c r="E3" s="641"/>
      <c r="F3" s="641"/>
      <c r="G3" s="641"/>
      <c r="H3" s="641"/>
      <c r="I3" s="641"/>
      <c r="J3" s="641"/>
      <c r="K3" s="641"/>
    </row>
    <row r="4" spans="1:14" ht="15.75">
      <c r="A4" s="640" t="s">
        <v>1145</v>
      </c>
      <c r="B4" s="641"/>
      <c r="C4" s="641"/>
      <c r="D4" s="641"/>
      <c r="E4" s="641"/>
      <c r="F4" s="641"/>
      <c r="G4" s="641"/>
      <c r="H4" s="641"/>
      <c r="I4" s="641"/>
      <c r="J4" s="641"/>
      <c r="K4" s="641"/>
    </row>
    <row r="5" spans="1:14" ht="10.5" customHeight="1">
      <c r="A5" s="37"/>
      <c r="B5" s="38"/>
      <c r="C5" s="38"/>
      <c r="D5" s="38"/>
      <c r="E5" s="38"/>
      <c r="F5" s="38"/>
      <c r="G5" s="38"/>
      <c r="H5" s="38"/>
      <c r="I5" s="38"/>
      <c r="J5" s="38"/>
      <c r="K5" s="130"/>
    </row>
    <row r="6" spans="1:14">
      <c r="A6" s="39"/>
      <c r="B6" s="2"/>
      <c r="C6" s="2"/>
      <c r="D6" s="2"/>
      <c r="E6" s="3" t="s">
        <v>661</v>
      </c>
      <c r="F6" s="3" t="s">
        <v>662</v>
      </c>
      <c r="G6" s="3" t="s">
        <v>663</v>
      </c>
      <c r="H6" s="3" t="s">
        <v>664</v>
      </c>
      <c r="I6" s="3" t="s">
        <v>665</v>
      </c>
      <c r="J6" s="3"/>
      <c r="K6" s="124" t="s">
        <v>666</v>
      </c>
    </row>
    <row r="7" spans="1:14">
      <c r="A7" s="71"/>
      <c r="B7" s="17" t="s">
        <v>707</v>
      </c>
      <c r="C7" s="18" t="s">
        <v>708</v>
      </c>
      <c r="D7" s="18" t="s">
        <v>709</v>
      </c>
      <c r="E7" s="17" t="s">
        <v>668</v>
      </c>
      <c r="F7" s="17" t="s">
        <v>667</v>
      </c>
      <c r="G7" s="17" t="s">
        <v>669</v>
      </c>
      <c r="H7" s="17" t="s">
        <v>670</v>
      </c>
      <c r="I7" s="17" t="s">
        <v>671</v>
      </c>
      <c r="J7" s="17" t="s">
        <v>701</v>
      </c>
      <c r="K7" s="131" t="s">
        <v>672</v>
      </c>
    </row>
    <row r="8" spans="1:14" ht="15" customHeight="1">
      <c r="A8" s="5" t="s">
        <v>673</v>
      </c>
      <c r="B8" s="107">
        <f>+'New Tables 168-184'!C42</f>
        <v>10.774692576579714</v>
      </c>
      <c r="C8" s="107">
        <f>+'New Tables 168-184'!D42</f>
        <v>8.54357116360279</v>
      </c>
      <c r="D8" s="107">
        <f>+'New Tables 168-184'!E42</f>
        <v>0.3671035318028828</v>
      </c>
      <c r="E8" s="107">
        <f>+'New Tables 168-184'!G42</f>
        <v>6.6713390356975673</v>
      </c>
      <c r="F8" s="107">
        <f>+'New Tables 168-184'!I42</f>
        <v>0.15619212206936095</v>
      </c>
      <c r="G8" s="107">
        <f>+'New Tables 168-184'!J42</f>
        <v>0.23327335761683266</v>
      </c>
      <c r="H8" s="107">
        <f>+'New Tables 168-184'!L42</f>
        <v>0.42807390908809245</v>
      </c>
      <c r="I8" s="107">
        <f>+'New Tables 168-184'!M42</f>
        <v>6.1291214595679051</v>
      </c>
      <c r="J8" s="107">
        <f>+'New Tables 168-184'!N42</f>
        <v>0.90143721957940781</v>
      </c>
      <c r="K8" s="132">
        <f>+'New Tables 168-184'!O42</f>
        <v>25.877722447347494</v>
      </c>
      <c r="N8" s="5"/>
    </row>
    <row r="9" spans="1:14" ht="15" customHeight="1">
      <c r="A9" s="5" t="s">
        <v>674</v>
      </c>
      <c r="B9" s="102">
        <f>+'New Tables 168-184'!C74</f>
        <v>10.505125433425192</v>
      </c>
      <c r="C9" s="102">
        <f>+'New Tables 168-184'!D74</f>
        <v>8.6600196147106026</v>
      </c>
      <c r="D9" s="102">
        <f>+'New Tables 168-184'!E74</f>
        <v>0.35150960185399699</v>
      </c>
      <c r="E9" s="102">
        <f>+'New Tables 168-184'!G74</f>
        <v>6.648907663231439</v>
      </c>
      <c r="F9" s="102">
        <f>+'New Tables 168-184'!I74</f>
        <v>0.19532228845065588</v>
      </c>
      <c r="G9" s="102">
        <f>+'New Tables 168-184'!J74</f>
        <v>0.26558651812879652</v>
      </c>
      <c r="H9" s="102">
        <f>+'New Tables 168-184'!L74</f>
        <v>0.43339871283138465</v>
      </c>
      <c r="I9" s="102">
        <f>+'New Tables 168-184'!M74</f>
        <v>0.49679900060813109</v>
      </c>
      <c r="J9" s="102">
        <f>+'New Tables 168-184'!N74</f>
        <v>0.50677951712607638</v>
      </c>
      <c r="K9" s="108">
        <f>+'New Tables 168-184'!O74</f>
        <v>25.480321251189288</v>
      </c>
      <c r="N9" s="5"/>
    </row>
    <row r="10" spans="1:14" ht="15" customHeight="1">
      <c r="A10" s="5" t="s">
        <v>675</v>
      </c>
      <c r="B10" s="102">
        <f>+'New Tables 168-184'!C106</f>
        <v>10.331746109972165</v>
      </c>
      <c r="C10" s="102">
        <f>+'New Tables 168-184'!D106</f>
        <v>9.8427081932173</v>
      </c>
      <c r="D10" s="102">
        <f>+'New Tables 168-184'!E106</f>
        <v>0.4031816629830442</v>
      </c>
      <c r="E10" s="102">
        <f>+'New Tables 168-184'!G106</f>
        <v>7.225546214942816</v>
      </c>
      <c r="F10" s="102">
        <f>+'New Tables 168-184'!I106</f>
        <v>0.15472738175134973</v>
      </c>
      <c r="G10" s="102">
        <f>+'New Tables 168-184'!J106</f>
        <v>0.3352575547742293</v>
      </c>
      <c r="H10" s="102">
        <f>+'New Tables 168-184'!L106</f>
        <v>0.55270011217800263</v>
      </c>
      <c r="I10" s="102">
        <f>+'New Tables 168-184'!M106</f>
        <v>4.5036329908570103</v>
      </c>
      <c r="J10" s="102">
        <f>+'New Tables 168-184'!N106</f>
        <v>1.1878938427853292</v>
      </c>
      <c r="K10" s="108">
        <f>+'New Tables 168-184'!O106</f>
        <v>27.127778889195064</v>
      </c>
      <c r="N10" s="5"/>
    </row>
    <row r="11" spans="1:14" ht="15" customHeight="1">
      <c r="A11" s="5" t="s">
        <v>676</v>
      </c>
      <c r="B11" s="102">
        <f>+'New Tables 168-184'!C138</f>
        <v>11.222593296702559</v>
      </c>
      <c r="C11" s="102">
        <f>+'New Tables 168-184'!D138</f>
        <v>10.190703785904859</v>
      </c>
      <c r="D11" s="102">
        <f>+'New Tables 168-184'!E138</f>
        <v>0.34010850848210361</v>
      </c>
      <c r="E11" s="102">
        <f>+'New Tables 168-184'!G138</f>
        <v>6.9516126840452133</v>
      </c>
      <c r="F11" s="102">
        <f>+'New Tables 168-184'!I138</f>
        <v>0.31802220809773929</v>
      </c>
      <c r="G11" s="102">
        <f>+'New Tables 168-184'!J138</f>
        <v>0.36799016822899711</v>
      </c>
      <c r="H11" s="102">
        <f>+'New Tables 168-184'!L138</f>
        <v>0.53741501087989429</v>
      </c>
      <c r="I11" s="102">
        <f>+'New Tables 168-184'!M138</f>
        <v>1.9719090508594079</v>
      </c>
      <c r="J11" s="102">
        <f>+'New Tables 168-184'!N138</f>
        <v>0</v>
      </c>
      <c r="K11" s="108">
        <f>+'New Tables 168-184'!O138</f>
        <v>27.738453165569403</v>
      </c>
      <c r="N11" s="5"/>
    </row>
    <row r="12" spans="1:14" ht="15" customHeight="1">
      <c r="A12" s="5" t="s">
        <v>677</v>
      </c>
      <c r="B12" s="102">
        <f>+'New Tables 168-184'!C171</f>
        <v>11.317306603238094</v>
      </c>
      <c r="C12" s="102">
        <f>+'New Tables 168-184'!D171</f>
        <v>9.9281994235941049</v>
      </c>
      <c r="D12" s="102">
        <f>+'New Tables 168-184'!E171</f>
        <v>0.64807238917183618</v>
      </c>
      <c r="E12" s="102">
        <f>+'New Tables 168-184'!G171</f>
        <v>7.4453154969404869</v>
      </c>
      <c r="F12" s="102">
        <f>+'New Tables 168-184'!I171</f>
        <v>0.25097192582487887</v>
      </c>
      <c r="G12" s="102">
        <f>+'New Tables 168-184'!J171</f>
        <v>0.46290364285513996</v>
      </c>
      <c r="H12" s="102">
        <f>+'New Tables 168-184'!L171</f>
        <v>0.69130420061323428</v>
      </c>
      <c r="I12" s="102">
        <f>+'New Tables 168-184'!M171</f>
        <v>3.9087529990610665</v>
      </c>
      <c r="J12" s="102">
        <f>+'New Tables 168-184'!N171</f>
        <v>0.70769556802539313</v>
      </c>
      <c r="K12" s="108">
        <f>+'New Tables 168-184'!O171</f>
        <v>29.490887492214007</v>
      </c>
      <c r="N12" s="5"/>
    </row>
    <row r="13" spans="1:14" ht="15" customHeight="1">
      <c r="A13" s="5" t="s">
        <v>464</v>
      </c>
      <c r="B13" s="102">
        <f>+'New Tables 168-184'!C203</f>
        <v>10.144249831901114</v>
      </c>
      <c r="C13" s="102">
        <f>+'New Tables 168-184'!D203</f>
        <v>9.8934567469120598</v>
      </c>
      <c r="D13" s="102">
        <f>+'New Tables 168-184'!E203</f>
        <v>0.5654316158546201</v>
      </c>
      <c r="E13" s="102">
        <f>+'New Tables 168-184'!G203</f>
        <v>7.2129225521935254</v>
      </c>
      <c r="F13" s="102">
        <f>+'New Tables 168-184'!I203</f>
        <v>0.28345803730728619</v>
      </c>
      <c r="G13" s="102">
        <f>+'New Tables 168-184'!J203</f>
        <v>0.25840076303116682</v>
      </c>
      <c r="H13" s="102">
        <f>+'New Tables 168-184'!L203</f>
        <v>0.70697431110404751</v>
      </c>
      <c r="I13" s="102">
        <f>+'New Tables 168-184'!M203</f>
        <v>1.0284038485970204</v>
      </c>
      <c r="J13" s="102">
        <f>+'New Tables 168-184'!N203</f>
        <v>0.46599358559505566</v>
      </c>
      <c r="K13" s="108">
        <f>+'New Tables 168-184'!O203</f>
        <v>28.161494503544066</v>
      </c>
      <c r="N13" s="5"/>
    </row>
    <row r="14" spans="1:14" ht="15" customHeight="1">
      <c r="A14" s="5"/>
      <c r="B14" s="102"/>
      <c r="C14" s="102"/>
      <c r="D14" s="102"/>
      <c r="E14" s="102"/>
      <c r="F14" s="102"/>
      <c r="G14" s="102"/>
      <c r="H14" s="102"/>
      <c r="I14" s="102"/>
      <c r="J14" s="102"/>
      <c r="K14" s="108"/>
      <c r="N14" s="5"/>
    </row>
    <row r="15" spans="1:14" ht="15" customHeight="1">
      <c r="A15" s="235" t="s">
        <v>698</v>
      </c>
      <c r="B15" s="102">
        <f>+'New Tables 168-184'!C9</f>
        <v>10.691340350088126</v>
      </c>
      <c r="C15" s="102">
        <f>+'New Tables 168-184'!D9</f>
        <v>9.0845501391737411</v>
      </c>
      <c r="D15" s="102">
        <f>+'New Tables 168-184'!E9</f>
        <v>0.38600394085165635</v>
      </c>
      <c r="E15" s="102">
        <f>+'New Tables 168-184'!G9</f>
        <v>6.8828772829090461</v>
      </c>
      <c r="F15" s="102">
        <f>+'New Tables 168-184'!I9</f>
        <v>0.17856842672588752</v>
      </c>
      <c r="G15" s="102">
        <f>+'New Tables 168-184'!J9</f>
        <v>0.28110790496342031</v>
      </c>
      <c r="H15" s="102">
        <f>+'New Tables 168-184'!L9</f>
        <v>0.48452017830755673</v>
      </c>
      <c r="I15" s="102">
        <f>+'New Tables 168-184'!M9</f>
        <v>3.8884541185363379</v>
      </c>
      <c r="J15" s="102">
        <f>+'New Tables 168-184'!N9</f>
        <v>0.92865921831726439</v>
      </c>
      <c r="K15" s="108">
        <f>+'New Tables 168-184'!O9</f>
        <v>26.50497910852722</v>
      </c>
      <c r="N15" s="5"/>
    </row>
    <row r="16" spans="1:14" ht="15" customHeight="1">
      <c r="A16" s="5"/>
      <c r="B16" s="102"/>
      <c r="C16" s="102"/>
      <c r="D16" s="102"/>
      <c r="E16" s="102"/>
      <c r="F16" s="102"/>
      <c r="G16" s="102"/>
      <c r="H16" s="102"/>
      <c r="I16" s="102"/>
      <c r="J16" s="102"/>
      <c r="K16" s="108"/>
      <c r="N16" s="5"/>
    </row>
    <row r="17" spans="1:14" ht="15" customHeight="1">
      <c r="A17" s="5" t="s">
        <v>447</v>
      </c>
      <c r="B17" s="102">
        <f>+'New Tables 168-184'!C267</f>
        <v>10.57070974098707</v>
      </c>
      <c r="C17" s="102">
        <f>+'New Tables 168-184'!D267</f>
        <v>11.543459777806317</v>
      </c>
      <c r="D17" s="102">
        <f>+'New Tables 168-184'!E267</f>
        <v>0.4630541850222723</v>
      </c>
      <c r="E17" s="102">
        <f>+'New Tables 168-184'!G267</f>
        <v>7.5176721906826272</v>
      </c>
      <c r="F17" s="102">
        <f>+'New Tables 168-184'!I267</f>
        <v>0.63376962196125841</v>
      </c>
      <c r="G17" s="102">
        <f>+'New Tables 168-184'!J267</f>
        <v>0.41445501089620818</v>
      </c>
      <c r="H17" s="102">
        <f>+'New Tables 168-184'!L267</f>
        <v>0.87178486432970359</v>
      </c>
      <c r="I17" s="102">
        <f>+'New Tables 168-184'!M267</f>
        <v>0.46913109284922455</v>
      </c>
      <c r="J17" s="102">
        <f>+'New Tables 168-184'!N267</f>
        <v>6.6467604629912552E-2</v>
      </c>
      <c r="K17" s="108">
        <f>+'New Tables 168-184'!O267</f>
        <v>29.140955266376551</v>
      </c>
      <c r="N17" s="5"/>
    </row>
    <row r="18" spans="1:14" ht="15" customHeight="1">
      <c r="A18" s="5" t="s">
        <v>699</v>
      </c>
      <c r="B18" s="102">
        <f>+'New Tables 168-184'!C298</f>
        <v>9.9160036914697773</v>
      </c>
      <c r="C18" s="102">
        <f>+'New Tables 168-184'!D298</f>
        <v>10.654630257795922</v>
      </c>
      <c r="D18" s="102">
        <f>+'New Tables 168-184'!E298</f>
        <v>0.57278885653589706</v>
      </c>
      <c r="E18" s="102">
        <f>+'New Tables 168-184'!G298</f>
        <v>6.4763898041090684</v>
      </c>
      <c r="F18" s="102">
        <f>+'New Tables 168-184'!I298</f>
        <v>0.28408967603430424</v>
      </c>
      <c r="G18" s="102">
        <f>+'New Tables 168-184'!J298</f>
        <v>0.28054281450580915</v>
      </c>
      <c r="H18" s="102">
        <f>+'New Tables 168-184'!L298</f>
        <v>0.50807502026899054</v>
      </c>
      <c r="I18" s="102">
        <f>+'New Tables 168-184'!M298</f>
        <v>0.76392738006449945</v>
      </c>
      <c r="J18" s="102">
        <f>+'New Tables 168-184'!N298</f>
        <v>0.69223278609305805</v>
      </c>
      <c r="K18" s="108">
        <f>+'New Tables 168-184'!O298</f>
        <v>24.733785580500509</v>
      </c>
      <c r="N18" s="5"/>
    </row>
    <row r="19" spans="1:14" ht="15" customHeight="1">
      <c r="A19" s="5" t="s">
        <v>700</v>
      </c>
      <c r="B19" s="102">
        <f>+'New Tables 168-184'!C330</f>
        <v>10.87882232327792</v>
      </c>
      <c r="C19" s="102">
        <f>+'New Tables 168-184'!D330</f>
        <v>12.828622290090699</v>
      </c>
      <c r="D19" s="102">
        <f>+'New Tables 168-184'!E330</f>
        <v>0.4538183888339109</v>
      </c>
      <c r="E19" s="102">
        <f>+'New Tables 168-184'!G330</f>
        <v>7.2482229731429992</v>
      </c>
      <c r="F19" s="102">
        <f>+'New Tables 168-184'!I330</f>
        <v>0.36561870002134855</v>
      </c>
      <c r="G19" s="102">
        <f>+'New Tables 168-184'!J330</f>
        <v>0.43090490658435743</v>
      </c>
      <c r="H19" s="102">
        <f>+'New Tables 168-184'!L330</f>
        <v>0.60426911074365175</v>
      </c>
      <c r="I19" s="102">
        <f>+'New Tables 168-184'!M330</f>
        <v>2.0001124942420963</v>
      </c>
      <c r="J19" s="102">
        <f>+'New Tables 168-184'!N330</f>
        <v>0.72970777584047797</v>
      </c>
      <c r="K19" s="108">
        <f>+'New Tables 168-184'!O330</f>
        <v>29.778497787819585</v>
      </c>
      <c r="N19" s="5"/>
    </row>
    <row r="20" spans="1:14" ht="15" customHeight="1">
      <c r="A20" s="5" t="s">
        <v>448</v>
      </c>
      <c r="B20" s="102">
        <f>+'New Tables 168-184'!C362</f>
        <v>11.071783815080135</v>
      </c>
      <c r="C20" s="102">
        <f>+'New Tables 168-184'!D362</f>
        <v>12.709899288208529</v>
      </c>
      <c r="D20" s="102">
        <f>+'New Tables 168-184'!E362</f>
        <v>0.37905120671905695</v>
      </c>
      <c r="E20" s="102">
        <f>+'New Tables 168-184'!G362</f>
        <v>7.4412755975094251</v>
      </c>
      <c r="F20" s="102">
        <f>+'New Tables 168-184'!I362</f>
        <v>0.41297553099113027</v>
      </c>
      <c r="G20" s="102">
        <f>+'New Tables 168-184'!J362</f>
        <v>0.28822341712551197</v>
      </c>
      <c r="H20" s="102">
        <f>+'New Tables 168-184'!L362</f>
        <v>0.56402386833369678</v>
      </c>
      <c r="I20" s="102">
        <f>+'New Tables 168-184'!M362</f>
        <v>2.1933624250591457</v>
      </c>
      <c r="J20" s="102">
        <f>+'New Tables 168-184'!N362</f>
        <v>0.56270327515218788</v>
      </c>
      <c r="K20" s="108">
        <f>+'New Tables 168-184'!O362</f>
        <v>30.469196256513246</v>
      </c>
      <c r="N20" s="5"/>
    </row>
    <row r="21" spans="1:14" ht="15" customHeight="1">
      <c r="A21" s="5"/>
      <c r="B21" s="102"/>
      <c r="C21" s="102"/>
      <c r="D21" s="102"/>
      <c r="E21" s="102"/>
      <c r="F21" s="102"/>
      <c r="G21" s="102"/>
      <c r="H21" s="102"/>
      <c r="I21" s="102"/>
      <c r="J21" s="102"/>
      <c r="K21" s="108"/>
      <c r="N21" s="5"/>
    </row>
    <row r="22" spans="1:14" ht="15" customHeight="1">
      <c r="A22" s="235" t="s">
        <v>721</v>
      </c>
      <c r="B22" s="102">
        <f>+'New Tables 168-184'!C234</f>
        <v>10.336884183214826</v>
      </c>
      <c r="C22" s="102">
        <f>+'New Tables 168-184'!D234</f>
        <v>11.553869992225767</v>
      </c>
      <c r="D22" s="102">
        <f>+'New Tables 168-184'!E234</f>
        <v>0.53708772377326408</v>
      </c>
      <c r="E22" s="102">
        <f>+'New Tables 168-184'!G234</f>
        <v>6.8694268227322457</v>
      </c>
      <c r="F22" s="102">
        <f>+'New Tables 168-184'!I234</f>
        <v>0.35277473006989818</v>
      </c>
      <c r="G22" s="102">
        <f>+'New Tables 168-184'!J234</f>
        <v>0.33511989761071354</v>
      </c>
      <c r="H22" s="102">
        <f>+'New Tables 168-184'!L234</f>
        <v>0.57619384887948544</v>
      </c>
      <c r="I22" s="102">
        <f>+'New Tables 168-184'!M234</f>
        <v>1.158205993555538</v>
      </c>
      <c r="J22" s="102">
        <f>+'New Tables 168-184'!N234</f>
        <v>0.61949612213391936</v>
      </c>
      <c r="K22" s="108">
        <f>+'New Tables 168-184'!O234</f>
        <v>27.074732724815178</v>
      </c>
      <c r="N22" s="5"/>
    </row>
    <row r="23" spans="1:14" ht="15" customHeight="1">
      <c r="A23" s="5"/>
      <c r="B23" s="102"/>
      <c r="C23" s="102"/>
      <c r="D23" s="102"/>
      <c r="E23" s="102"/>
      <c r="F23" s="102"/>
      <c r="G23" s="102"/>
      <c r="H23" s="102"/>
      <c r="I23" s="102"/>
      <c r="J23" s="102"/>
      <c r="K23" s="108"/>
      <c r="N23" s="5"/>
    </row>
    <row r="24" spans="1:14" ht="15" customHeight="1">
      <c r="A24" s="5" t="s">
        <v>442</v>
      </c>
      <c r="B24" s="102">
        <f>+'New Tables 168-184'!C458</f>
        <v>9.588343169058053</v>
      </c>
      <c r="C24" s="102">
        <f>+'New Tables 168-184'!D458</f>
        <v>24.738644790229532</v>
      </c>
      <c r="D24" s="102">
        <f>+'New Tables 168-184'!E458</f>
        <v>0</v>
      </c>
      <c r="E24" s="102">
        <f>+'New Tables 168-184'!G458</f>
        <v>3.1748207799846919</v>
      </c>
      <c r="F24" s="102">
        <f>+'New Tables 168-184'!I458</f>
        <v>0.2956194236183855</v>
      </c>
      <c r="G24" s="102">
        <f>+'New Tables 168-184'!J458</f>
        <v>0.11666421793155914</v>
      </c>
      <c r="H24" s="102">
        <f>+'New Tables 168-184'!L458</f>
        <v>0.57927197294156985</v>
      </c>
      <c r="I24" s="102">
        <f>+'New Tables 168-184'!M458</f>
        <v>1.96488125407201</v>
      </c>
      <c r="J24" s="102">
        <f>+'New Tables 168-184'!N458</f>
        <v>14.970373049615523</v>
      </c>
      <c r="K24" s="108">
        <f>+'New Tables 168-184'!O458</f>
        <v>32.073917924797321</v>
      </c>
      <c r="N24" s="5"/>
    </row>
    <row r="25" spans="1:14" ht="15" customHeight="1">
      <c r="A25" s="5" t="s">
        <v>443</v>
      </c>
      <c r="B25" s="102">
        <f>+'New Tables 168-184'!C490</f>
        <v>8.6869625921781513</v>
      </c>
      <c r="C25" s="102">
        <f>+'New Tables 168-184'!D490</f>
        <v>15.185085556741438</v>
      </c>
      <c r="D25" s="102">
        <f>+'New Tables 168-184'!E490</f>
        <v>0</v>
      </c>
      <c r="E25" s="102">
        <f>+'New Tables 168-184'!G490</f>
        <v>6.2002344654790384</v>
      </c>
      <c r="F25" s="102">
        <f>+'New Tables 168-184'!I490</f>
        <v>0.24703762853706132</v>
      </c>
      <c r="G25" s="102">
        <f>+'New Tables 168-184'!J490</f>
        <v>3.289663560058262</v>
      </c>
      <c r="H25" s="102">
        <f>+'New Tables 168-184'!L490</f>
        <v>7.9034044700411699E-2</v>
      </c>
      <c r="I25" s="102">
        <f>+'New Tables 168-184'!M490</f>
        <v>1.0958456944665054</v>
      </c>
      <c r="J25" s="102">
        <f>+'New Tables 168-184'!N490</f>
        <v>6.7553242222266583</v>
      </c>
      <c r="K25" s="108">
        <f>+'New Tables 168-184'!O490</f>
        <v>27.124027207469446</v>
      </c>
      <c r="N25" s="5"/>
    </row>
    <row r="26" spans="1:14" ht="15" customHeight="1">
      <c r="A26" s="5" t="s">
        <v>444</v>
      </c>
      <c r="B26" s="102">
        <f>+'New Tables 168-184'!C522</f>
        <v>15.123544637812206</v>
      </c>
      <c r="C26" s="102">
        <f>+'New Tables 168-184'!D522</f>
        <v>14.715621354692615</v>
      </c>
      <c r="D26" s="102">
        <f>+'New Tables 168-184'!E522</f>
        <v>0</v>
      </c>
      <c r="E26" s="102">
        <f>+'New Tables 168-184'!G522</f>
        <v>1.3262920336118595</v>
      </c>
      <c r="F26" s="102">
        <f>+'New Tables 168-184'!I522</f>
        <v>0</v>
      </c>
      <c r="G26" s="102">
        <f>+'New Tables 168-184'!J522</f>
        <v>0.60621629560427825</v>
      </c>
      <c r="H26" s="102">
        <f>+'New Tables 168-184'!L522</f>
        <v>0.32299439548016423</v>
      </c>
      <c r="I26" s="102">
        <f>+'New Tables 168-184'!M522</f>
        <v>0</v>
      </c>
      <c r="J26" s="102">
        <f>+'New Tables 168-184'!N522</f>
        <v>0</v>
      </c>
      <c r="K26" s="108">
        <f>+'New Tables 168-184'!O522</f>
        <v>25.040088485473994</v>
      </c>
      <c r="N26" s="5"/>
    </row>
    <row r="27" spans="1:14" ht="15" customHeight="1">
      <c r="A27" s="5"/>
      <c r="B27" s="102"/>
      <c r="C27" s="102"/>
      <c r="D27" s="102"/>
      <c r="E27" s="102"/>
      <c r="F27" s="102"/>
      <c r="G27" s="102"/>
      <c r="H27" s="102"/>
      <c r="I27" s="102"/>
      <c r="J27" s="102"/>
      <c r="K27" s="108"/>
      <c r="N27" s="5"/>
    </row>
    <row r="28" spans="1:14">
      <c r="A28" s="236" t="s">
        <v>445</v>
      </c>
      <c r="B28" s="109">
        <f>+'New Tables 168-184'!C426</f>
        <v>9.9369983760559482</v>
      </c>
      <c r="C28" s="109">
        <f>+'New Tables 168-184'!D426</f>
        <v>21.12081315895141</v>
      </c>
      <c r="D28" s="109">
        <f>+'New Tables 168-184'!E426</f>
        <v>0</v>
      </c>
      <c r="E28" s="109">
        <f>+'New Tables 168-184'!G426</f>
        <v>3.8341962734887844</v>
      </c>
      <c r="F28" s="109">
        <f>+'New Tables 168-184'!I426</f>
        <v>0.30661287897192302</v>
      </c>
      <c r="G28" s="109">
        <f>+'New Tables 168-184'!J426</f>
        <v>0.50284765621288807</v>
      </c>
      <c r="H28" s="109">
        <f>+'New Tables 168-184'!L426</f>
        <v>0.59382956262495457</v>
      </c>
      <c r="I28" s="109">
        <f>+'New Tables 168-184'!M426</f>
        <v>1.9697737055165123</v>
      </c>
      <c r="J28" s="109">
        <f>+'New Tables 168-184'!N426</f>
        <v>10.207736397191749</v>
      </c>
      <c r="K28" s="133">
        <f>+'New Tables 168-184'!O426</f>
        <v>30.293401479414943</v>
      </c>
      <c r="N28" s="159"/>
    </row>
    <row r="29" spans="1:14">
      <c r="A29" s="237" t="s">
        <v>465</v>
      </c>
      <c r="B29" s="41"/>
      <c r="C29" s="41"/>
      <c r="D29" s="41"/>
      <c r="E29" s="41"/>
      <c r="F29" s="41"/>
      <c r="G29" s="41"/>
      <c r="H29" s="41"/>
      <c r="I29" s="41"/>
      <c r="J29" s="38"/>
      <c r="K29" s="637" t="s">
        <v>1321</v>
      </c>
    </row>
    <row r="30" spans="1:14" ht="18">
      <c r="A30" s="42"/>
      <c r="B30" s="43"/>
      <c r="C30" s="38"/>
      <c r="D30" s="38"/>
      <c r="E30" s="38"/>
      <c r="F30" s="38"/>
      <c r="G30" s="38"/>
      <c r="H30" s="38"/>
      <c r="I30" s="38"/>
      <c r="J30" s="38"/>
      <c r="K30" s="134"/>
    </row>
  </sheetData>
  <mergeCells count="3">
    <mergeCell ref="A1:K1"/>
    <mergeCell ref="A3:K3"/>
    <mergeCell ref="A4:K4"/>
  </mergeCells>
  <phoneticPr fontId="12" type="noConversion"/>
  <conditionalFormatting sqref="K29">
    <cfRule type="cellIs" dxfId="960" priority="20" stopIfTrue="1" operator="lessThan">
      <formula>0.1</formula>
    </cfRule>
  </conditionalFormatting>
  <conditionalFormatting sqref="K29">
    <cfRule type="cellIs" dxfId="959" priority="19" stopIfTrue="1" operator="lessThan">
      <formula>0.1</formula>
    </cfRule>
  </conditionalFormatting>
  <conditionalFormatting sqref="K29">
    <cfRule type="cellIs" dxfId="958" priority="18" stopIfTrue="1" operator="lessThan">
      <formula>0.1</formula>
    </cfRule>
  </conditionalFormatting>
  <conditionalFormatting sqref="K29">
    <cfRule type="cellIs" dxfId="957" priority="17" stopIfTrue="1" operator="lessThan">
      <formula>0.1</formula>
    </cfRule>
  </conditionalFormatting>
  <conditionalFormatting sqref="K29">
    <cfRule type="cellIs" dxfId="956" priority="16" stopIfTrue="1" operator="lessThan">
      <formula>0.1</formula>
    </cfRule>
  </conditionalFormatting>
  <conditionalFormatting sqref="K29">
    <cfRule type="cellIs" dxfId="955" priority="15" stopIfTrue="1" operator="lessThan">
      <formula>0.1</formula>
    </cfRule>
  </conditionalFormatting>
  <conditionalFormatting sqref="K29">
    <cfRule type="cellIs" dxfId="954" priority="14" stopIfTrue="1" operator="lessThan">
      <formula>0.1</formula>
    </cfRule>
  </conditionalFormatting>
  <conditionalFormatting sqref="K29">
    <cfRule type="cellIs" dxfId="953" priority="13" stopIfTrue="1" operator="lessThan">
      <formula>0.1</formula>
    </cfRule>
  </conditionalFormatting>
  <conditionalFormatting sqref="K29">
    <cfRule type="cellIs" dxfId="952" priority="12" stopIfTrue="1" operator="lessThan">
      <formula>0.1</formula>
    </cfRule>
  </conditionalFormatting>
  <conditionalFormatting sqref="K29">
    <cfRule type="cellIs" dxfId="951" priority="11" stopIfTrue="1" operator="lessThan">
      <formula>0.1</formula>
    </cfRule>
  </conditionalFormatting>
  <conditionalFormatting sqref="K29">
    <cfRule type="cellIs" dxfId="950" priority="10" stopIfTrue="1" operator="lessThan">
      <formula>0.1</formula>
    </cfRule>
  </conditionalFormatting>
  <conditionalFormatting sqref="K29">
    <cfRule type="cellIs" dxfId="949" priority="9" stopIfTrue="1" operator="lessThan">
      <formula>0.1</formula>
    </cfRule>
  </conditionalFormatting>
  <conditionalFormatting sqref="K29">
    <cfRule type="cellIs" dxfId="948" priority="8" stopIfTrue="1" operator="lessThan">
      <formula>0.1</formula>
    </cfRule>
  </conditionalFormatting>
  <conditionalFormatting sqref="K29">
    <cfRule type="cellIs" dxfId="947" priority="7" stopIfTrue="1" operator="lessThan">
      <formula>0.1</formula>
    </cfRule>
  </conditionalFormatting>
  <conditionalFormatting sqref="K29">
    <cfRule type="cellIs" dxfId="946" priority="6" stopIfTrue="1" operator="lessThan">
      <formula>0.1</formula>
    </cfRule>
  </conditionalFormatting>
  <conditionalFormatting sqref="K29">
    <cfRule type="cellIs" dxfId="945" priority="5" stopIfTrue="1" operator="lessThan">
      <formula>0.1</formula>
    </cfRule>
  </conditionalFormatting>
  <conditionalFormatting sqref="K29">
    <cfRule type="cellIs" dxfId="944" priority="4" stopIfTrue="1" operator="lessThan">
      <formula>0.1</formula>
    </cfRule>
  </conditionalFormatting>
  <conditionalFormatting sqref="K29">
    <cfRule type="cellIs" dxfId="943" priority="3" stopIfTrue="1" operator="lessThan">
      <formula>0.1</formula>
    </cfRule>
  </conditionalFormatting>
  <conditionalFormatting sqref="K29">
    <cfRule type="cellIs" dxfId="942" priority="2" stopIfTrue="1" operator="lessThan">
      <formula>0.1</formula>
    </cfRule>
  </conditionalFormatting>
  <conditionalFormatting sqref="K29">
    <cfRule type="cellIs" dxfId="941" priority="1" stopIfTrue="1" operator="lessThan">
      <formula>0.1</formula>
    </cfRule>
  </conditionalFormatting>
  <pageMargins left="0.5" right="0.5" top="1" bottom="1" header="0.75" footer="0.5"/>
  <pageSetup firstPageNumber="204" orientation="landscape" useFirstPageNumber="1" r:id="rId1"/>
  <headerFooter alignWithMargins="0">
    <oddHeader>&amp;R&amp;"Arial,Regular"&amp;8SREB-State Data Exchange</oddHeader>
    <oddFooter>&amp;C&amp;"Arial,Regular"&amp;10&amp;P</oddFooter>
  </headerFooter>
</worksheet>
</file>

<file path=xl/worksheets/sheet10.xml><?xml version="1.0" encoding="utf-8"?>
<worksheet xmlns="http://schemas.openxmlformats.org/spreadsheetml/2006/main" xmlns:r="http://schemas.openxmlformats.org/officeDocument/2006/relationships">
  <sheetPr>
    <tabColor theme="3" tint="0.39997558519241921"/>
  </sheetPr>
  <dimension ref="A1:G43"/>
  <sheetViews>
    <sheetView showGridLines="0" showZeros="0" view="pageBreakPreview" zoomScaleNormal="40" zoomScaleSheetLayoutView="100" workbookViewId="0">
      <pane xSplit="2" ySplit="4" topLeftCell="C5" activePane="bottomRight" state="frozen"/>
      <selection activeCell="A27" sqref="A27:F27"/>
      <selection pane="topRight" activeCell="A27" sqref="A27:F27"/>
      <selection pane="bottomLeft" activeCell="A27" sqref="A27:F27"/>
      <selection pane="bottomRight" activeCell="M8" sqref="M8"/>
    </sheetView>
  </sheetViews>
  <sheetFormatPr defaultColWidth="9" defaultRowHeight="12"/>
  <cols>
    <col min="1" max="1" width="13.625" style="243" customWidth="1"/>
    <col min="2" max="6" width="18.5" style="180" customWidth="1"/>
    <col min="7" max="16384" width="9" style="180"/>
  </cols>
  <sheetData>
    <row r="1" spans="1:7" ht="18">
      <c r="A1" s="245" t="s">
        <v>1300</v>
      </c>
      <c r="B1" s="244"/>
      <c r="C1" s="244"/>
      <c r="D1" s="244"/>
      <c r="E1" s="244"/>
      <c r="F1" s="244"/>
      <c r="G1" s="180" t="s">
        <v>18</v>
      </c>
    </row>
    <row r="2" spans="1:7" s="173" customFormat="1" ht="18">
      <c r="A2" s="244" t="s">
        <v>1311</v>
      </c>
      <c r="B2" s="244"/>
      <c r="C2" s="244"/>
      <c r="D2" s="244"/>
      <c r="E2" s="244"/>
      <c r="F2" s="244"/>
      <c r="G2" s="173" t="s">
        <v>18</v>
      </c>
    </row>
    <row r="3" spans="1:7" s="139" customFormat="1" ht="14.25" customHeight="1">
      <c r="A3" s="240"/>
      <c r="B3" s="174"/>
      <c r="C3" s="174"/>
      <c r="D3" s="174"/>
      <c r="E3" s="174"/>
      <c r="F3" s="174"/>
    </row>
    <row r="4" spans="1:7" s="177" customFormat="1" ht="11.25">
      <c r="A4" s="175" t="s">
        <v>827</v>
      </c>
      <c r="B4" s="176" t="s">
        <v>440</v>
      </c>
      <c r="C4" s="176" t="s">
        <v>441</v>
      </c>
      <c r="D4" s="176" t="s">
        <v>908</v>
      </c>
      <c r="E4" s="176" t="s">
        <v>11</v>
      </c>
      <c r="F4" s="176" t="s">
        <v>909</v>
      </c>
    </row>
    <row r="5" spans="1:7" s="620" customFormat="1" ht="33.75">
      <c r="A5" s="241" t="s">
        <v>831</v>
      </c>
      <c r="B5" s="182" t="s">
        <v>833</v>
      </c>
      <c r="C5" s="182" t="s">
        <v>833</v>
      </c>
      <c r="D5" s="181" t="s">
        <v>834</v>
      </c>
      <c r="E5" s="182" t="s">
        <v>833</v>
      </c>
      <c r="F5" s="182" t="s">
        <v>833</v>
      </c>
    </row>
    <row r="6" spans="1:7" s="592" customFormat="1" ht="84" customHeight="1">
      <c r="A6" s="241" t="s">
        <v>835</v>
      </c>
      <c r="B6" s="182" t="s">
        <v>910</v>
      </c>
      <c r="C6" s="182" t="s">
        <v>911</v>
      </c>
      <c r="D6" s="182" t="s">
        <v>910</v>
      </c>
      <c r="E6" s="182" t="s">
        <v>838</v>
      </c>
      <c r="F6" s="181" t="s">
        <v>834</v>
      </c>
    </row>
    <row r="7" spans="1:7" s="592" customFormat="1" ht="54" customHeight="1">
      <c r="A7" s="241" t="s">
        <v>1134</v>
      </c>
      <c r="B7" s="182" t="s">
        <v>912</v>
      </c>
      <c r="C7" s="182" t="s">
        <v>1137</v>
      </c>
      <c r="D7" s="181" t="s">
        <v>913</v>
      </c>
      <c r="E7" s="182" t="s">
        <v>914</v>
      </c>
      <c r="F7" s="181" t="s">
        <v>834</v>
      </c>
    </row>
    <row r="8" spans="1:7" s="592" customFormat="1" ht="381" customHeight="1">
      <c r="A8" s="241" t="s">
        <v>1138</v>
      </c>
      <c r="B8" s="182" t="s">
        <v>915</v>
      </c>
      <c r="C8" s="182" t="s">
        <v>916</v>
      </c>
      <c r="D8" s="181" t="s">
        <v>917</v>
      </c>
      <c r="E8" s="182" t="s">
        <v>918</v>
      </c>
      <c r="F8" s="182" t="s">
        <v>919</v>
      </c>
    </row>
    <row r="9" spans="1:7" s="592" customFormat="1" ht="373.5" customHeight="1">
      <c r="A9" s="241" t="s">
        <v>1139</v>
      </c>
      <c r="B9" s="181" t="s">
        <v>915</v>
      </c>
      <c r="C9" s="182" t="s">
        <v>1312</v>
      </c>
      <c r="D9" s="182" t="s">
        <v>917</v>
      </c>
      <c r="E9" s="183" t="s">
        <v>920</v>
      </c>
      <c r="F9" s="596" t="s">
        <v>1124</v>
      </c>
    </row>
    <row r="10" spans="1:7" s="592" customFormat="1" ht="409.5" customHeight="1">
      <c r="A10" s="241" t="s">
        <v>1140</v>
      </c>
      <c r="B10" s="182" t="s">
        <v>921</v>
      </c>
      <c r="C10" s="593" t="s">
        <v>922</v>
      </c>
      <c r="D10" s="181" t="s">
        <v>1313</v>
      </c>
      <c r="E10" s="182" t="s">
        <v>924</v>
      </c>
      <c r="F10" s="593" t="s">
        <v>925</v>
      </c>
    </row>
    <row r="11" spans="1:7" s="592" customFormat="1" ht="409.5" customHeight="1">
      <c r="A11" s="241" t="s">
        <v>1141</v>
      </c>
      <c r="B11" s="181"/>
      <c r="C11" s="182" t="s">
        <v>926</v>
      </c>
      <c r="D11" s="181" t="s">
        <v>1314</v>
      </c>
      <c r="E11" s="181"/>
      <c r="F11" s="181"/>
    </row>
    <row r="12" spans="1:7" s="592" customFormat="1" ht="375" customHeight="1">
      <c r="A12" s="241" t="s">
        <v>1141</v>
      </c>
      <c r="B12" s="181"/>
      <c r="C12" s="182"/>
      <c r="D12" s="181" t="s">
        <v>1315</v>
      </c>
      <c r="E12" s="181"/>
      <c r="F12" s="181"/>
    </row>
    <row r="13" spans="1:7" s="592" customFormat="1" ht="409.5" customHeight="1">
      <c r="A13" s="241" t="s">
        <v>854</v>
      </c>
      <c r="B13" s="182" t="s">
        <v>915</v>
      </c>
      <c r="C13" s="182" t="s">
        <v>1316</v>
      </c>
      <c r="D13" s="621" t="s">
        <v>1318</v>
      </c>
      <c r="E13" s="182" t="s">
        <v>927</v>
      </c>
      <c r="F13" s="597" t="s">
        <v>1280</v>
      </c>
    </row>
    <row r="14" spans="1:7" s="592" customFormat="1" ht="409.5" customHeight="1">
      <c r="A14" s="241" t="s">
        <v>928</v>
      </c>
      <c r="B14" s="182"/>
      <c r="C14" s="182" t="s">
        <v>1317</v>
      </c>
      <c r="D14" s="181" t="s">
        <v>1319</v>
      </c>
      <c r="E14" s="182"/>
      <c r="F14" s="597" t="s">
        <v>1281</v>
      </c>
    </row>
    <row r="15" spans="1:7" s="592" customFormat="1" ht="381" customHeight="1">
      <c r="A15" s="241" t="s">
        <v>855</v>
      </c>
      <c r="B15" s="182" t="s">
        <v>915</v>
      </c>
      <c r="C15" s="182" t="s">
        <v>981</v>
      </c>
      <c r="D15" s="181" t="s">
        <v>923</v>
      </c>
      <c r="E15" s="182" t="s">
        <v>929</v>
      </c>
      <c r="F15" s="182" t="s">
        <v>930</v>
      </c>
    </row>
    <row r="16" spans="1:7" s="592" customFormat="1" ht="271.5" customHeight="1">
      <c r="A16" s="241" t="s">
        <v>931</v>
      </c>
      <c r="B16" s="182"/>
      <c r="C16" s="182" t="s">
        <v>982</v>
      </c>
      <c r="D16" s="181"/>
      <c r="E16" s="182"/>
      <c r="F16" s="182" t="s">
        <v>1128</v>
      </c>
    </row>
    <row r="17" spans="1:6" s="139" customFormat="1" ht="22.5">
      <c r="A17" s="241" t="s">
        <v>1320</v>
      </c>
      <c r="B17" s="179" t="s">
        <v>834</v>
      </c>
      <c r="C17" s="179" t="s">
        <v>834</v>
      </c>
      <c r="D17" s="178" t="s">
        <v>834</v>
      </c>
      <c r="E17" s="179" t="s">
        <v>834</v>
      </c>
      <c r="F17" s="179" t="s">
        <v>834</v>
      </c>
    </row>
    <row r="18" spans="1:6" s="592" customFormat="1" ht="372.75" customHeight="1">
      <c r="A18" s="241" t="s">
        <v>857</v>
      </c>
      <c r="B18" s="182" t="s">
        <v>932</v>
      </c>
      <c r="C18" s="182" t="s">
        <v>1307</v>
      </c>
      <c r="D18" s="181" t="s">
        <v>933</v>
      </c>
      <c r="E18" s="182" t="s">
        <v>1308</v>
      </c>
      <c r="F18" s="182" t="s">
        <v>934</v>
      </c>
    </row>
    <row r="19" spans="1:6" s="139" customFormat="1" ht="364.5" customHeight="1">
      <c r="A19" s="241" t="s">
        <v>859</v>
      </c>
      <c r="B19" s="182" t="s">
        <v>935</v>
      </c>
      <c r="C19" s="182" t="s">
        <v>1121</v>
      </c>
      <c r="D19" s="181" t="s">
        <v>936</v>
      </c>
      <c r="E19" s="182" t="s">
        <v>937</v>
      </c>
      <c r="F19" s="182" t="s">
        <v>1122</v>
      </c>
    </row>
    <row r="20" spans="1:6" s="592" customFormat="1" ht="63.75" customHeight="1">
      <c r="A20" s="241" t="s">
        <v>861</v>
      </c>
      <c r="B20" s="182" t="s">
        <v>938</v>
      </c>
      <c r="C20" s="182" t="s">
        <v>939</v>
      </c>
      <c r="D20" s="181" t="s">
        <v>940</v>
      </c>
      <c r="E20" s="182" t="s">
        <v>941</v>
      </c>
      <c r="F20" s="181" t="s">
        <v>834</v>
      </c>
    </row>
    <row r="21" spans="1:6" s="592" customFormat="1" ht="33.75" customHeight="1">
      <c r="A21" s="241" t="s">
        <v>865</v>
      </c>
      <c r="B21" s="181" t="s">
        <v>834</v>
      </c>
      <c r="C21" s="181" t="s">
        <v>834</v>
      </c>
      <c r="D21" s="181" t="s">
        <v>834</v>
      </c>
      <c r="E21" s="181" t="s">
        <v>834</v>
      </c>
      <c r="F21" s="181" t="s">
        <v>834</v>
      </c>
    </row>
    <row r="22" spans="1:6" s="592" customFormat="1" ht="381.75" customHeight="1">
      <c r="A22" s="241" t="s">
        <v>867</v>
      </c>
      <c r="B22" s="182" t="s">
        <v>942</v>
      </c>
      <c r="C22" s="182" t="s">
        <v>993</v>
      </c>
      <c r="D22" s="181" t="s">
        <v>943</v>
      </c>
      <c r="E22" s="182" t="s">
        <v>1125</v>
      </c>
      <c r="F22" s="181" t="s">
        <v>834</v>
      </c>
    </row>
    <row r="23" spans="1:6" s="592" customFormat="1" ht="243.75" customHeight="1">
      <c r="A23" s="241" t="s">
        <v>1127</v>
      </c>
      <c r="B23" s="182"/>
      <c r="C23" s="182"/>
      <c r="D23" s="181"/>
      <c r="E23" s="182" t="s">
        <v>1126</v>
      </c>
      <c r="F23" s="182"/>
    </row>
    <row r="24" spans="1:6" s="139" customFormat="1" ht="64.5" customHeight="1">
      <c r="A24" s="241" t="s">
        <v>870</v>
      </c>
      <c r="B24" s="182" t="s">
        <v>944</v>
      </c>
      <c r="C24" s="182" t="s">
        <v>945</v>
      </c>
      <c r="D24" s="181" t="s">
        <v>946</v>
      </c>
      <c r="E24" s="182" t="s">
        <v>947</v>
      </c>
      <c r="F24" s="181" t="s">
        <v>834</v>
      </c>
    </row>
    <row r="25" spans="1:6" s="592" customFormat="1" ht="119.25" customHeight="1">
      <c r="A25" s="241" t="s">
        <v>1292</v>
      </c>
      <c r="B25" s="223" t="s">
        <v>948</v>
      </c>
      <c r="C25" s="223" t="s">
        <v>949</v>
      </c>
      <c r="D25" s="223" t="s">
        <v>950</v>
      </c>
      <c r="E25" s="181" t="s">
        <v>834</v>
      </c>
      <c r="F25" s="181" t="s">
        <v>951</v>
      </c>
    </row>
    <row r="26" spans="1:6" s="139" customFormat="1" ht="33.75">
      <c r="A26" s="241" t="s">
        <v>875</v>
      </c>
      <c r="B26" s="181" t="s">
        <v>834</v>
      </c>
      <c r="C26" s="181" t="s">
        <v>834</v>
      </c>
      <c r="D26" s="181" t="s">
        <v>834</v>
      </c>
      <c r="E26" s="181" t="s">
        <v>834</v>
      </c>
      <c r="F26" s="181" t="s">
        <v>834</v>
      </c>
    </row>
    <row r="27" spans="1:6" s="592" customFormat="1" ht="40.5" customHeight="1">
      <c r="A27" s="241" t="s">
        <v>877</v>
      </c>
      <c r="B27" s="182" t="s">
        <v>952</v>
      </c>
      <c r="C27" s="182" t="s">
        <v>953</v>
      </c>
      <c r="D27" s="181" t="s">
        <v>1123</v>
      </c>
      <c r="E27" s="182" t="s">
        <v>954</v>
      </c>
      <c r="F27" s="182" t="s">
        <v>954</v>
      </c>
    </row>
    <row r="28" spans="1:6" s="592" customFormat="1" ht="45" customHeight="1">
      <c r="A28" s="241" t="s">
        <v>879</v>
      </c>
      <c r="B28" s="182" t="s">
        <v>882</v>
      </c>
      <c r="C28" s="182" t="s">
        <v>955</v>
      </c>
      <c r="D28" s="181" t="s">
        <v>956</v>
      </c>
      <c r="E28" s="182" t="s">
        <v>957</v>
      </c>
      <c r="F28" s="182" t="s">
        <v>958</v>
      </c>
    </row>
    <row r="29" spans="1:6" s="592" customFormat="1" ht="58.5" customHeight="1">
      <c r="A29" s="241" t="s">
        <v>883</v>
      </c>
      <c r="B29" s="182" t="s">
        <v>882</v>
      </c>
      <c r="C29" s="182" t="s">
        <v>959</v>
      </c>
      <c r="D29" s="181" t="s">
        <v>882</v>
      </c>
      <c r="E29" s="182" t="s">
        <v>960</v>
      </c>
      <c r="F29" s="182" t="s">
        <v>961</v>
      </c>
    </row>
    <row r="30" spans="1:6" s="592" customFormat="1" ht="144.75" customHeight="1">
      <c r="A30" s="241" t="s">
        <v>887</v>
      </c>
      <c r="B30" s="182" t="s">
        <v>962</v>
      </c>
      <c r="C30" s="182" t="s">
        <v>963</v>
      </c>
      <c r="D30" s="181" t="s">
        <v>964</v>
      </c>
      <c r="E30" s="182" t="s">
        <v>965</v>
      </c>
      <c r="F30" s="182" t="s">
        <v>966</v>
      </c>
    </row>
    <row r="31" spans="1:6" s="592" customFormat="1" ht="102" customHeight="1">
      <c r="A31" s="241" t="s">
        <v>890</v>
      </c>
      <c r="B31" s="182" t="s">
        <v>967</v>
      </c>
      <c r="C31" s="182" t="s">
        <v>968</v>
      </c>
      <c r="D31" s="181" t="s">
        <v>950</v>
      </c>
      <c r="E31" s="182" t="s">
        <v>969</v>
      </c>
      <c r="F31" s="181" t="s">
        <v>834</v>
      </c>
    </row>
    <row r="32" spans="1:6" s="592" customFormat="1" ht="76.5" customHeight="1">
      <c r="A32" s="241" t="s">
        <v>895</v>
      </c>
      <c r="B32" s="233" t="s">
        <v>970</v>
      </c>
      <c r="C32" s="233" t="s">
        <v>971</v>
      </c>
      <c r="D32" s="234" t="s">
        <v>970</v>
      </c>
      <c r="E32" s="233" t="s">
        <v>972</v>
      </c>
      <c r="F32" s="234" t="s">
        <v>834</v>
      </c>
    </row>
    <row r="33" spans="1:6" s="592" customFormat="1" ht="99" customHeight="1">
      <c r="A33" s="241" t="s">
        <v>899</v>
      </c>
      <c r="B33" s="182" t="s">
        <v>983</v>
      </c>
      <c r="C33" s="182" t="s">
        <v>973</v>
      </c>
      <c r="D33" s="181" t="s">
        <v>974</v>
      </c>
      <c r="E33" s="182" t="s">
        <v>975</v>
      </c>
      <c r="F33" s="182" t="s">
        <v>976</v>
      </c>
    </row>
    <row r="34" spans="1:6" s="592" customFormat="1" ht="89.25" customHeight="1">
      <c r="A34" s="598" t="s">
        <v>904</v>
      </c>
      <c r="B34" s="182" t="s">
        <v>977</v>
      </c>
      <c r="C34" s="182" t="s">
        <v>978</v>
      </c>
      <c r="D34" s="181" t="s">
        <v>979</v>
      </c>
      <c r="E34" s="182" t="s">
        <v>954</v>
      </c>
      <c r="F34" s="182" t="s">
        <v>980</v>
      </c>
    </row>
    <row r="35" spans="1:6" s="139" customFormat="1" ht="11.25">
      <c r="A35" s="246"/>
    </row>
    <row r="36" spans="1:6" s="139" customFormat="1" ht="11.25">
      <c r="A36" s="246"/>
    </row>
    <row r="37" spans="1:6" s="139" customFormat="1" ht="11.25">
      <c r="A37" s="246"/>
    </row>
    <row r="38" spans="1:6" s="139" customFormat="1" ht="11.25">
      <c r="A38" s="246"/>
    </row>
    <row r="39" spans="1:6" s="139" customFormat="1" ht="11.25">
      <c r="A39" s="246"/>
    </row>
    <row r="40" spans="1:6" s="139" customFormat="1" ht="11.25">
      <c r="A40" s="246"/>
    </row>
    <row r="41" spans="1:6">
      <c r="A41" s="246"/>
      <c r="B41" s="139"/>
      <c r="C41" s="139"/>
      <c r="D41" s="139"/>
      <c r="E41" s="139"/>
      <c r="F41" s="139"/>
    </row>
    <row r="42" spans="1:6">
      <c r="A42" s="246"/>
      <c r="B42" s="139"/>
      <c r="C42" s="139"/>
      <c r="D42" s="139"/>
      <c r="E42" s="139"/>
      <c r="F42" s="139"/>
    </row>
    <row r="43" spans="1:6">
      <c r="A43" s="246"/>
      <c r="B43" s="139"/>
      <c r="C43" s="139"/>
      <c r="D43" s="139"/>
      <c r="E43" s="139"/>
      <c r="F43" s="139"/>
    </row>
  </sheetData>
  <pageMargins left="0.5" right="0.5" top="0.9" bottom="0.5" header="0.75" footer="0.25"/>
  <pageSetup firstPageNumber="237" orientation="landscape" useFirstPageNumber="1" r:id="rId1"/>
  <headerFooter alignWithMargins="0">
    <oddHeader>&amp;R&amp;"Arial,Regular"&amp;8SREB-State Data Exchange</oddHeader>
    <oddFooter>&amp;C&amp;"Arial,Regular"&amp;10&amp;P&amp;R&amp;"Arial,Regular"&amp;8Janaury 2012</oddFooter>
  </headerFooter>
</worksheet>
</file>

<file path=xl/worksheets/sheet11.xml><?xml version="1.0" encoding="utf-8"?>
<worksheet xmlns="http://schemas.openxmlformats.org/spreadsheetml/2006/main" xmlns:r="http://schemas.openxmlformats.org/officeDocument/2006/relationships">
  <sheetPr>
    <tabColor rgb="FFFFFFCC"/>
  </sheetPr>
  <dimension ref="A1:X545"/>
  <sheetViews>
    <sheetView showGridLines="0" topLeftCell="A475" zoomScale="75" workbookViewId="0">
      <selection activeCell="A475" sqref="A1:XFD1048576"/>
    </sheetView>
  </sheetViews>
  <sheetFormatPr defaultColWidth="8.875" defaultRowHeight="12.75"/>
  <cols>
    <col min="1" max="1" width="6.875" style="590" customWidth="1"/>
    <col min="2" max="2" width="24.125" style="170" bestFit="1" customWidth="1"/>
    <col min="3" max="4" width="8.875" style="170" customWidth="1"/>
    <col min="5" max="8" width="5.75" style="170" bestFit="1" customWidth="1"/>
    <col min="9" max="9" width="5.75" style="170" customWidth="1"/>
    <col min="10" max="10" width="7.75" style="170" bestFit="1" customWidth="1"/>
    <col min="11" max="15" width="5.75" style="170" bestFit="1" customWidth="1"/>
    <col min="16" max="17" width="5.75" style="170" customWidth="1"/>
    <col min="18" max="18" width="7.625" style="170" customWidth="1"/>
    <col min="19" max="20" width="5.75" style="170" bestFit="1" customWidth="1"/>
    <col min="21" max="21" width="5.75" style="170" customWidth="1"/>
    <col min="22" max="22" width="6.875" style="170" customWidth="1"/>
    <col min="23" max="23" width="5.875" style="170" customWidth="1"/>
    <col min="24" max="24" width="8.875" style="170" customWidth="1"/>
    <col min="25" max="29" width="8.875" style="1" customWidth="1"/>
    <col min="30" max="30" width="5.75" style="1" bestFit="1" customWidth="1"/>
    <col min="31" max="35" width="8.875" style="1" customWidth="1"/>
    <col min="36" max="36" width="9" style="1" customWidth="1"/>
    <col min="37" max="38" width="5.75" style="1" bestFit="1" customWidth="1"/>
    <col min="39" max="41" width="8.875" style="1" customWidth="1"/>
    <col min="42" max="42" width="5.75" style="1" bestFit="1" customWidth="1"/>
    <col min="43" max="43" width="6.875" style="1" customWidth="1"/>
    <col min="44" max="44" width="24.125" style="1" bestFit="1" customWidth="1"/>
    <col min="45" max="50" width="8.875" style="1" customWidth="1"/>
    <col min="51" max="51" width="5.75" style="1" bestFit="1" customWidth="1"/>
    <col min="52" max="56" width="8.875" style="1" customWidth="1"/>
    <col min="57" max="57" width="9" style="1" customWidth="1"/>
    <col min="58" max="59" width="5.75" style="1" bestFit="1" customWidth="1"/>
    <col min="60" max="62" width="8.875" style="1" customWidth="1"/>
    <col min="63" max="63" width="5.75" style="1" bestFit="1" customWidth="1"/>
    <col min="64" max="64" width="6.875" style="1" customWidth="1"/>
    <col min="65" max="65" width="24.125" style="1" bestFit="1" customWidth="1"/>
    <col min="66" max="71" width="8.875" style="1" customWidth="1"/>
    <col min="72" max="72" width="5.75" style="1" bestFit="1" customWidth="1"/>
    <col min="73" max="77" width="8.875" style="1" customWidth="1"/>
    <col min="78" max="78" width="9" style="1" customWidth="1"/>
    <col min="79" max="80" width="5.75" style="1" bestFit="1" customWidth="1"/>
    <col min="81" max="83" width="8.875" style="1" customWidth="1"/>
    <col min="84" max="84" width="5.75" style="1" bestFit="1" customWidth="1"/>
    <col min="85" max="85" width="6.875" style="1" customWidth="1"/>
    <col min="86" max="86" width="24.125" style="1" bestFit="1" customWidth="1"/>
    <col min="87" max="92" width="8.875" style="1" customWidth="1"/>
    <col min="93" max="93" width="5.75" style="1" bestFit="1" customWidth="1"/>
    <col min="94" max="98" width="8.875" style="1" customWidth="1"/>
    <col min="99" max="99" width="9" style="1" customWidth="1"/>
    <col min="100" max="101" width="5.75" style="1" bestFit="1" customWidth="1"/>
    <col min="102" max="104" width="8.875" style="1" customWidth="1"/>
    <col min="105" max="105" width="5.75" style="1" bestFit="1" customWidth="1"/>
    <col min="106" max="106" width="6.875" style="1" customWidth="1"/>
    <col min="107" max="107" width="24.125" style="1" bestFit="1" customWidth="1"/>
    <col min="108" max="113" width="8.875" style="1" customWidth="1"/>
    <col min="114" max="114" width="5.75" style="1" bestFit="1" customWidth="1"/>
    <col min="115" max="119" width="8.875" style="1" customWidth="1"/>
    <col min="120" max="120" width="9" style="1" customWidth="1"/>
    <col min="121" max="122" width="5.75" style="1" bestFit="1" customWidth="1"/>
    <col min="123" max="125" width="8.875" style="1" customWidth="1"/>
    <col min="126" max="126" width="5.75" style="1" bestFit="1" customWidth="1"/>
    <col min="127" max="127" width="6.875" style="1" customWidth="1"/>
    <col min="128" max="128" width="24.125" style="1" bestFit="1" customWidth="1"/>
    <col min="129" max="134" width="8.875" style="1" customWidth="1"/>
    <col min="135" max="135" width="5.75" style="1" bestFit="1" customWidth="1"/>
    <col min="136" max="140" width="8.875" style="1" customWidth="1"/>
    <col min="141" max="141" width="9" style="1" customWidth="1"/>
    <col min="142" max="143" width="5.75" style="1" bestFit="1" customWidth="1"/>
    <col min="144" max="146" width="8.875" style="1" customWidth="1"/>
    <col min="147" max="147" width="5.75" style="1" bestFit="1" customWidth="1"/>
    <col min="148" max="148" width="6.875" style="1" customWidth="1"/>
    <col min="149" max="149" width="24.125" style="1" bestFit="1" customWidth="1"/>
    <col min="150" max="155" width="8.875" style="1" customWidth="1"/>
    <col min="156" max="156" width="5.75" style="1" bestFit="1" customWidth="1"/>
    <col min="157" max="161" width="8.875" style="1" customWidth="1"/>
    <col min="162" max="162" width="9" style="1" customWidth="1"/>
    <col min="163" max="164" width="5.75" style="1" bestFit="1" customWidth="1"/>
    <col min="165" max="167" width="8.875" style="1" customWidth="1"/>
    <col min="168" max="168" width="5.75" style="1" bestFit="1" customWidth="1"/>
    <col min="169" max="169" width="6.875" style="1" customWidth="1"/>
    <col min="170" max="170" width="24.125" style="1" bestFit="1" customWidth="1"/>
    <col min="171" max="176" width="8.875" style="1" customWidth="1"/>
    <col min="177" max="177" width="5.75" style="1" bestFit="1" customWidth="1"/>
    <col min="178" max="182" width="8.875" style="1" customWidth="1"/>
    <col min="183" max="183" width="9" style="1" customWidth="1"/>
    <col min="184" max="185" width="5.75" style="1" bestFit="1" customWidth="1"/>
    <col min="186" max="188" width="8.875" style="1" customWidth="1"/>
    <col min="189" max="189" width="5.75" style="1" bestFit="1" customWidth="1"/>
    <col min="190" max="190" width="6.875" style="1" customWidth="1"/>
    <col min="191" max="191" width="24.125" style="1" bestFit="1" customWidth="1"/>
    <col min="192" max="197" width="8.875" style="1" customWidth="1"/>
    <col min="198" max="198" width="5.75" style="1" bestFit="1" customWidth="1"/>
    <col min="199" max="203" width="8.875" style="1" customWidth="1"/>
    <col min="204" max="204" width="9" style="1" customWidth="1"/>
    <col min="205" max="206" width="5.75" style="1" bestFit="1" customWidth="1"/>
    <col min="207" max="209" width="8.875" style="1" customWidth="1"/>
    <col min="210" max="210" width="5.75" style="1" bestFit="1" customWidth="1"/>
    <col min="211" max="211" width="6.875" style="1" customWidth="1"/>
    <col min="212" max="212" width="24.125" style="1" bestFit="1" customWidth="1"/>
    <col min="213" max="218" width="8.875" style="1" customWidth="1"/>
    <col min="219" max="219" width="5.75" style="1" bestFit="1" customWidth="1"/>
    <col min="220" max="224" width="8.875" style="1" customWidth="1"/>
    <col min="225" max="225" width="9" style="1" customWidth="1"/>
    <col min="226" max="227" width="5.75" style="1" bestFit="1" customWidth="1"/>
    <col min="228" max="230" width="8.875" style="1" customWidth="1"/>
    <col min="231" max="231" width="5.75" style="1" bestFit="1" customWidth="1"/>
    <col min="232" max="232" width="6.875" style="1" customWidth="1"/>
    <col min="233" max="233" width="24.125" style="1" bestFit="1" customWidth="1"/>
    <col min="234" max="239" width="8.875" style="1" customWidth="1"/>
    <col min="240" max="240" width="5.75" style="1" bestFit="1" customWidth="1"/>
    <col min="241" max="245" width="8.875" style="1" customWidth="1"/>
    <col min="246" max="246" width="9" style="1" customWidth="1"/>
    <col min="247" max="248" width="5.75" style="1" bestFit="1" customWidth="1"/>
    <col min="249" max="251" width="8.875" style="1" customWidth="1"/>
    <col min="252" max="252" width="5.75" style="1" bestFit="1" customWidth="1"/>
    <col min="253" max="253" width="6.875" style="1" customWidth="1"/>
    <col min="254" max="254" width="24.125" style="1" bestFit="1" customWidth="1"/>
    <col min="255" max="16384" width="8.875" style="1"/>
  </cols>
  <sheetData>
    <row r="1" spans="1:24">
      <c r="A1" s="548"/>
    </row>
    <row r="3" spans="1:24">
      <c r="A3" s="549"/>
      <c r="B3" s="550"/>
      <c r="C3" s="551"/>
      <c r="D3" s="550"/>
      <c r="E3" s="550"/>
      <c r="F3" s="550"/>
      <c r="G3" s="550"/>
      <c r="H3" s="550"/>
      <c r="I3" s="550"/>
      <c r="J3" s="550"/>
      <c r="K3" s="550"/>
      <c r="L3" s="550"/>
      <c r="M3" s="550"/>
      <c r="N3" s="550"/>
      <c r="O3" s="550"/>
      <c r="P3" s="550"/>
      <c r="Q3" s="550"/>
      <c r="R3" s="550"/>
      <c r="S3" s="550"/>
      <c r="T3" s="552"/>
      <c r="U3" s="553"/>
    </row>
    <row r="4" spans="1:24">
      <c r="A4" s="554"/>
      <c r="B4" s="555"/>
      <c r="C4" s="551"/>
      <c r="D4" s="550"/>
      <c r="E4" s="550"/>
      <c r="F4" s="550"/>
      <c r="G4" s="550"/>
      <c r="H4" s="550"/>
      <c r="I4" s="556"/>
      <c r="J4" s="551"/>
      <c r="K4" s="550"/>
      <c r="L4" s="550"/>
      <c r="M4" s="550"/>
      <c r="N4" s="550"/>
      <c r="O4" s="557"/>
      <c r="P4" s="551"/>
      <c r="Q4" s="556"/>
      <c r="R4" s="551"/>
      <c r="S4" s="550"/>
      <c r="T4" s="550"/>
      <c r="U4" s="556"/>
    </row>
    <row r="5" spans="1:24">
      <c r="A5" s="558"/>
      <c r="B5" s="559"/>
      <c r="C5" s="560"/>
      <c r="D5" s="561"/>
      <c r="E5" s="561"/>
      <c r="F5" s="561"/>
      <c r="G5" s="561"/>
      <c r="H5" s="561"/>
      <c r="I5" s="562"/>
      <c r="J5" s="560"/>
      <c r="K5" s="561"/>
      <c r="L5" s="561"/>
      <c r="M5" s="561"/>
      <c r="N5" s="561"/>
      <c r="O5" s="563"/>
      <c r="P5" s="564"/>
      <c r="Q5" s="565"/>
      <c r="R5" s="560"/>
      <c r="S5" s="561"/>
      <c r="T5" s="561"/>
      <c r="U5" s="562"/>
    </row>
    <row r="6" spans="1:24">
      <c r="A6" s="549"/>
      <c r="B6" s="556"/>
      <c r="C6" s="566"/>
      <c r="D6" s="94"/>
      <c r="E6" s="94"/>
      <c r="F6" s="94"/>
      <c r="G6" s="95"/>
      <c r="H6" s="567"/>
      <c r="I6" s="568"/>
      <c r="J6" s="569"/>
      <c r="K6" s="94"/>
      <c r="L6" s="94"/>
      <c r="M6" s="94"/>
      <c r="N6" s="570"/>
      <c r="O6" s="571"/>
      <c r="P6" s="566"/>
      <c r="Q6" s="572"/>
      <c r="R6" s="569"/>
      <c r="S6" s="570"/>
      <c r="T6" s="570"/>
      <c r="U6" s="571"/>
    </row>
    <row r="7" spans="1:24">
      <c r="A7" s="554"/>
      <c r="B7" s="573"/>
      <c r="C7" s="574"/>
      <c r="D7" s="226"/>
      <c r="E7" s="226"/>
      <c r="F7" s="226"/>
      <c r="G7" s="226"/>
      <c r="H7" s="575"/>
      <c r="I7" s="576"/>
      <c r="J7" s="577"/>
      <c r="K7" s="226"/>
      <c r="L7" s="226"/>
      <c r="M7" s="226"/>
      <c r="N7" s="226"/>
      <c r="O7" s="578"/>
      <c r="P7" s="574"/>
      <c r="Q7" s="579"/>
      <c r="R7" s="577"/>
      <c r="S7" s="226"/>
      <c r="T7" s="226"/>
      <c r="U7" s="578"/>
    </row>
    <row r="8" spans="1:24">
      <c r="A8" s="580"/>
      <c r="B8" s="581"/>
      <c r="C8" s="582"/>
      <c r="D8" s="584"/>
      <c r="E8" s="584"/>
      <c r="F8" s="584"/>
      <c r="G8" s="584"/>
      <c r="H8" s="585"/>
      <c r="I8" s="586"/>
      <c r="J8" s="587"/>
      <c r="K8" s="584"/>
      <c r="L8" s="584"/>
      <c r="M8" s="584"/>
      <c r="N8" s="584"/>
      <c r="O8" s="588"/>
      <c r="P8" s="582"/>
      <c r="Q8" s="589"/>
      <c r="R8" s="587"/>
      <c r="S8" s="584"/>
      <c r="T8" s="584"/>
      <c r="U8" s="588"/>
    </row>
    <row r="9" spans="1:24">
      <c r="A9" s="554"/>
      <c r="B9" s="556"/>
      <c r="C9" s="566"/>
      <c r="D9" s="94"/>
      <c r="E9" s="94"/>
      <c r="F9" s="94"/>
      <c r="G9" s="95"/>
      <c r="H9" s="567"/>
      <c r="I9" s="568"/>
      <c r="J9" s="569"/>
      <c r="K9" s="94"/>
      <c r="L9" s="94"/>
      <c r="M9" s="94"/>
      <c r="N9" s="570"/>
      <c r="O9" s="571"/>
      <c r="P9" s="566"/>
      <c r="Q9" s="572"/>
      <c r="R9" s="569"/>
      <c r="S9" s="570"/>
      <c r="T9" s="570"/>
      <c r="U9" s="571"/>
    </row>
    <row r="10" spans="1:24">
      <c r="A10" s="554"/>
      <c r="B10" s="573"/>
      <c r="C10" s="574"/>
      <c r="D10" s="226"/>
      <c r="E10" s="226"/>
      <c r="F10" s="226"/>
      <c r="G10" s="226"/>
      <c r="H10" s="575"/>
      <c r="I10" s="576"/>
      <c r="J10" s="577"/>
      <c r="K10" s="226"/>
      <c r="L10" s="226"/>
      <c r="M10" s="226"/>
      <c r="N10" s="226"/>
      <c r="O10" s="578"/>
      <c r="P10" s="574"/>
      <c r="Q10" s="579"/>
      <c r="R10" s="577"/>
      <c r="S10" s="226"/>
      <c r="T10" s="226"/>
      <c r="U10" s="578"/>
    </row>
    <row r="11" spans="1:24">
      <c r="A11" s="580"/>
      <c r="B11" s="581"/>
      <c r="C11" s="582"/>
      <c r="D11" s="584"/>
      <c r="E11" s="584"/>
      <c r="F11" s="584"/>
      <c r="G11" s="584"/>
      <c r="H11" s="585"/>
      <c r="I11" s="586"/>
      <c r="J11" s="587"/>
      <c r="K11" s="584"/>
      <c r="L11" s="584"/>
      <c r="M11" s="584"/>
      <c r="N11" s="584"/>
      <c r="O11" s="588"/>
      <c r="P11" s="582"/>
      <c r="Q11" s="589"/>
      <c r="R11" s="587"/>
      <c r="S11" s="584"/>
      <c r="T11" s="584"/>
      <c r="U11" s="588"/>
    </row>
    <row r="12" spans="1:24">
      <c r="A12" s="554"/>
      <c r="B12" s="556"/>
      <c r="C12" s="566"/>
      <c r="D12" s="94"/>
      <c r="E12" s="94"/>
      <c r="F12" s="94"/>
      <c r="G12" s="95"/>
      <c r="H12" s="567"/>
      <c r="I12" s="568"/>
      <c r="J12" s="569"/>
      <c r="K12" s="94"/>
      <c r="L12" s="94"/>
      <c r="M12" s="94"/>
      <c r="N12" s="570"/>
      <c r="O12" s="571"/>
      <c r="P12" s="566"/>
      <c r="Q12" s="572"/>
      <c r="R12" s="569"/>
      <c r="S12" s="570"/>
      <c r="T12" s="570"/>
      <c r="U12" s="571"/>
    </row>
    <row r="13" spans="1:24">
      <c r="A13" s="554"/>
      <c r="B13" s="573"/>
      <c r="C13" s="574"/>
      <c r="D13" s="226"/>
      <c r="E13" s="226"/>
      <c r="F13" s="226"/>
      <c r="G13" s="226"/>
      <c r="H13" s="575"/>
      <c r="I13" s="576"/>
      <c r="J13" s="577"/>
      <c r="K13" s="226"/>
      <c r="L13" s="226"/>
      <c r="M13" s="226"/>
      <c r="N13" s="226"/>
      <c r="O13" s="578"/>
      <c r="P13" s="574"/>
      <c r="Q13" s="579"/>
      <c r="R13" s="577"/>
      <c r="S13" s="226"/>
      <c r="T13" s="226"/>
      <c r="U13" s="578"/>
    </row>
    <row r="14" spans="1:24">
      <c r="A14" s="580"/>
      <c r="B14" s="581"/>
      <c r="C14" s="582"/>
      <c r="D14" s="584"/>
      <c r="E14" s="584"/>
      <c r="F14" s="584"/>
      <c r="G14" s="584"/>
      <c r="H14" s="585"/>
      <c r="I14" s="586"/>
      <c r="J14" s="587"/>
      <c r="K14" s="584"/>
      <c r="L14" s="584"/>
      <c r="M14" s="584"/>
      <c r="N14" s="584"/>
      <c r="O14" s="588"/>
      <c r="P14" s="582"/>
      <c r="Q14" s="589"/>
      <c r="R14" s="587"/>
      <c r="S14" s="584"/>
      <c r="T14" s="584"/>
      <c r="U14" s="588"/>
      <c r="X14" s="583"/>
    </row>
    <row r="15" spans="1:24">
      <c r="A15" s="554"/>
      <c r="B15" s="556"/>
      <c r="C15" s="566"/>
      <c r="D15" s="94"/>
      <c r="E15" s="94"/>
      <c r="F15" s="94"/>
      <c r="G15" s="95"/>
      <c r="H15" s="567"/>
      <c r="I15" s="568"/>
      <c r="J15" s="569"/>
      <c r="K15" s="94"/>
      <c r="L15" s="94"/>
      <c r="M15" s="94"/>
      <c r="N15" s="570"/>
      <c r="O15" s="571"/>
      <c r="P15" s="566"/>
      <c r="Q15" s="572"/>
      <c r="R15" s="569"/>
      <c r="S15" s="570"/>
      <c r="T15" s="570"/>
      <c r="U15" s="571"/>
    </row>
    <row r="16" spans="1:24">
      <c r="A16" s="554"/>
      <c r="B16" s="573"/>
      <c r="C16" s="574"/>
      <c r="D16" s="226"/>
      <c r="E16" s="226"/>
      <c r="F16" s="226"/>
      <c r="G16" s="226"/>
      <c r="H16" s="575"/>
      <c r="I16" s="576"/>
      <c r="J16" s="577"/>
      <c r="K16" s="226"/>
      <c r="L16" s="226"/>
      <c r="M16" s="226"/>
      <c r="N16" s="226"/>
      <c r="O16" s="578"/>
      <c r="P16" s="574"/>
      <c r="Q16" s="579"/>
      <c r="R16" s="577"/>
      <c r="S16" s="226"/>
      <c r="T16" s="226"/>
      <c r="U16" s="578"/>
    </row>
    <row r="17" spans="1:21">
      <c r="A17" s="580"/>
      <c r="B17" s="581"/>
      <c r="C17" s="582"/>
      <c r="D17" s="584"/>
      <c r="E17" s="584"/>
      <c r="F17" s="584"/>
      <c r="G17" s="584"/>
      <c r="H17" s="585"/>
      <c r="I17" s="586"/>
      <c r="J17" s="587"/>
      <c r="K17" s="584"/>
      <c r="L17" s="584"/>
      <c r="M17" s="584"/>
      <c r="N17" s="584"/>
      <c r="O17" s="588"/>
      <c r="P17" s="582"/>
      <c r="Q17" s="589"/>
      <c r="R17" s="587"/>
      <c r="S17" s="584"/>
      <c r="T17" s="584"/>
      <c r="U17" s="588"/>
    </row>
    <row r="18" spans="1:21">
      <c r="A18" s="554"/>
      <c r="B18" s="556"/>
      <c r="C18" s="566"/>
      <c r="D18" s="94"/>
      <c r="E18" s="94"/>
      <c r="F18" s="94"/>
      <c r="G18" s="95"/>
      <c r="H18" s="567"/>
      <c r="I18" s="568"/>
      <c r="J18" s="569"/>
      <c r="K18" s="94"/>
      <c r="L18" s="94"/>
      <c r="M18" s="94"/>
      <c r="N18" s="570"/>
      <c r="O18" s="571"/>
      <c r="P18" s="566"/>
      <c r="Q18" s="572"/>
      <c r="R18" s="569"/>
      <c r="S18" s="570"/>
      <c r="T18" s="570"/>
      <c r="U18" s="571"/>
    </row>
    <row r="19" spans="1:21">
      <c r="A19" s="554"/>
      <c r="B19" s="573"/>
      <c r="C19" s="574"/>
      <c r="D19" s="226"/>
      <c r="E19" s="226"/>
      <c r="F19" s="226"/>
      <c r="G19" s="226"/>
      <c r="H19" s="575"/>
      <c r="I19" s="576"/>
      <c r="J19" s="577"/>
      <c r="K19" s="226"/>
      <c r="L19" s="226"/>
      <c r="M19" s="226"/>
      <c r="N19" s="226"/>
      <c r="O19" s="578"/>
      <c r="P19" s="574"/>
      <c r="Q19" s="579"/>
      <c r="R19" s="577"/>
      <c r="S19" s="226"/>
      <c r="T19" s="226"/>
      <c r="U19" s="578"/>
    </row>
    <row r="20" spans="1:21">
      <c r="A20" s="580"/>
      <c r="B20" s="581"/>
      <c r="C20" s="582"/>
      <c r="D20" s="584"/>
      <c r="E20" s="584"/>
      <c r="F20" s="584"/>
      <c r="G20" s="584"/>
      <c r="H20" s="585"/>
      <c r="I20" s="586"/>
      <c r="J20" s="587"/>
      <c r="K20" s="584"/>
      <c r="L20" s="584"/>
      <c r="M20" s="584"/>
      <c r="N20" s="584"/>
      <c r="O20" s="588"/>
      <c r="P20" s="582"/>
      <c r="Q20" s="589"/>
      <c r="R20" s="587"/>
      <c r="S20" s="584"/>
      <c r="T20" s="584"/>
      <c r="U20" s="588"/>
    </row>
    <row r="21" spans="1:21">
      <c r="A21" s="554"/>
      <c r="B21" s="556"/>
      <c r="C21" s="566"/>
      <c r="D21" s="94"/>
      <c r="E21" s="94"/>
      <c r="F21" s="94"/>
      <c r="G21" s="95"/>
      <c r="H21" s="567"/>
      <c r="I21" s="568"/>
      <c r="J21" s="569"/>
      <c r="K21" s="94"/>
      <c r="L21" s="94"/>
      <c r="M21" s="94"/>
      <c r="N21" s="570"/>
      <c r="O21" s="571"/>
      <c r="P21" s="566"/>
      <c r="Q21" s="572"/>
      <c r="R21" s="569"/>
      <c r="S21" s="570"/>
      <c r="T21" s="570"/>
      <c r="U21" s="571"/>
    </row>
    <row r="22" spans="1:21">
      <c r="A22" s="554"/>
      <c r="B22" s="573"/>
      <c r="C22" s="574"/>
      <c r="D22" s="226"/>
      <c r="E22" s="226"/>
      <c r="F22" s="226"/>
      <c r="G22" s="226"/>
      <c r="H22" s="575"/>
      <c r="I22" s="576"/>
      <c r="J22" s="577"/>
      <c r="K22" s="226"/>
      <c r="L22" s="226"/>
      <c r="M22" s="226"/>
      <c r="N22" s="226"/>
      <c r="O22" s="578"/>
      <c r="P22" s="574"/>
      <c r="Q22" s="579"/>
      <c r="R22" s="577"/>
      <c r="S22" s="226"/>
      <c r="T22" s="226"/>
      <c r="U22" s="578"/>
    </row>
    <row r="23" spans="1:21">
      <c r="A23" s="580"/>
      <c r="B23" s="581"/>
      <c r="C23" s="582"/>
      <c r="D23" s="584"/>
      <c r="E23" s="584"/>
      <c r="F23" s="584"/>
      <c r="G23" s="584"/>
      <c r="H23" s="585"/>
      <c r="I23" s="586"/>
      <c r="J23" s="587"/>
      <c r="K23" s="584"/>
      <c r="L23" s="584"/>
      <c r="M23" s="584"/>
      <c r="N23" s="584"/>
      <c r="O23" s="588"/>
      <c r="P23" s="582"/>
      <c r="Q23" s="589"/>
      <c r="R23" s="587"/>
      <c r="S23" s="584"/>
      <c r="T23" s="584"/>
      <c r="U23" s="588"/>
    </row>
    <row r="24" spans="1:21">
      <c r="A24" s="554"/>
      <c r="B24" s="556"/>
      <c r="C24" s="566"/>
      <c r="D24" s="94"/>
      <c r="E24" s="94"/>
      <c r="F24" s="94"/>
      <c r="G24" s="95"/>
      <c r="H24" s="567"/>
      <c r="I24" s="568"/>
      <c r="J24" s="569"/>
      <c r="K24" s="94"/>
      <c r="L24" s="94"/>
      <c r="M24" s="94"/>
      <c r="N24" s="570"/>
      <c r="O24" s="571"/>
      <c r="P24" s="566"/>
      <c r="Q24" s="572"/>
      <c r="R24" s="569"/>
      <c r="S24" s="570"/>
      <c r="T24" s="570"/>
      <c r="U24" s="571"/>
    </row>
    <row r="25" spans="1:21">
      <c r="A25" s="554"/>
      <c r="B25" s="573"/>
      <c r="C25" s="574"/>
      <c r="D25" s="226"/>
      <c r="E25" s="226"/>
      <c r="F25" s="226"/>
      <c r="G25" s="226"/>
      <c r="H25" s="575"/>
      <c r="I25" s="576"/>
      <c r="J25" s="577"/>
      <c r="K25" s="226"/>
      <c r="L25" s="226"/>
      <c r="M25" s="226"/>
      <c r="N25" s="226"/>
      <c r="O25" s="578"/>
      <c r="P25" s="574"/>
      <c r="Q25" s="579"/>
      <c r="R25" s="577"/>
      <c r="S25" s="226"/>
      <c r="T25" s="226"/>
      <c r="U25" s="578"/>
    </row>
    <row r="26" spans="1:21">
      <c r="A26" s="580"/>
      <c r="B26" s="581"/>
      <c r="C26" s="582"/>
      <c r="D26" s="584"/>
      <c r="E26" s="584"/>
      <c r="F26" s="584"/>
      <c r="G26" s="584"/>
      <c r="H26" s="585"/>
      <c r="I26" s="586"/>
      <c r="J26" s="587"/>
      <c r="K26" s="584"/>
      <c r="L26" s="584"/>
      <c r="M26" s="584"/>
      <c r="N26" s="584"/>
      <c r="O26" s="588"/>
      <c r="P26" s="582"/>
      <c r="Q26" s="589"/>
      <c r="R26" s="587"/>
      <c r="S26" s="584"/>
      <c r="T26" s="584"/>
      <c r="U26" s="588"/>
    </row>
    <row r="27" spans="1:21">
      <c r="A27" s="554"/>
      <c r="B27" s="556"/>
      <c r="C27" s="566"/>
      <c r="D27" s="94"/>
      <c r="E27" s="94"/>
      <c r="F27" s="94"/>
      <c r="G27" s="95"/>
      <c r="H27" s="567"/>
      <c r="I27" s="568"/>
      <c r="J27" s="569"/>
      <c r="K27" s="94"/>
      <c r="L27" s="94"/>
      <c r="M27" s="94"/>
      <c r="N27" s="570"/>
      <c r="O27" s="571"/>
      <c r="P27" s="566"/>
      <c r="Q27" s="572"/>
      <c r="R27" s="569"/>
      <c r="S27" s="570"/>
      <c r="T27" s="570"/>
      <c r="U27" s="571"/>
    </row>
    <row r="28" spans="1:21">
      <c r="A28" s="554"/>
      <c r="B28" s="573"/>
      <c r="C28" s="574"/>
      <c r="D28" s="226"/>
      <c r="E28" s="226"/>
      <c r="F28" s="226"/>
      <c r="G28" s="226"/>
      <c r="H28" s="575"/>
      <c r="I28" s="576"/>
      <c r="J28" s="577"/>
      <c r="K28" s="226"/>
      <c r="L28" s="226"/>
      <c r="M28" s="226"/>
      <c r="N28" s="226"/>
      <c r="O28" s="578"/>
      <c r="P28" s="574"/>
      <c r="Q28" s="579"/>
      <c r="R28" s="577"/>
      <c r="S28" s="226"/>
      <c r="T28" s="226"/>
      <c r="U28" s="578"/>
    </row>
    <row r="29" spans="1:21">
      <c r="A29" s="580"/>
      <c r="B29" s="581"/>
      <c r="C29" s="582"/>
      <c r="D29" s="584"/>
      <c r="E29" s="584"/>
      <c r="F29" s="584"/>
      <c r="G29" s="584"/>
      <c r="H29" s="585"/>
      <c r="I29" s="586"/>
      <c r="J29" s="587"/>
      <c r="K29" s="584"/>
      <c r="L29" s="584"/>
      <c r="M29" s="584"/>
      <c r="N29" s="584"/>
      <c r="O29" s="588"/>
      <c r="P29" s="582"/>
      <c r="Q29" s="589"/>
      <c r="R29" s="587"/>
      <c r="S29" s="584"/>
      <c r="T29" s="584"/>
      <c r="U29" s="588"/>
    </row>
    <row r="30" spans="1:21">
      <c r="A30" s="554"/>
      <c r="B30" s="556"/>
      <c r="C30" s="566"/>
      <c r="D30" s="94"/>
      <c r="E30" s="94"/>
      <c r="F30" s="94"/>
      <c r="G30" s="95"/>
      <c r="H30" s="567"/>
      <c r="I30" s="568"/>
      <c r="J30" s="569"/>
      <c r="K30" s="94"/>
      <c r="L30" s="94"/>
      <c r="M30" s="94"/>
      <c r="N30" s="570"/>
      <c r="O30" s="571"/>
      <c r="P30" s="566"/>
      <c r="Q30" s="572"/>
      <c r="R30" s="569"/>
      <c r="S30" s="570"/>
      <c r="T30" s="570"/>
      <c r="U30" s="571"/>
    </row>
    <row r="31" spans="1:21">
      <c r="A31" s="554"/>
      <c r="B31" s="573"/>
      <c r="C31" s="574"/>
      <c r="D31" s="226"/>
      <c r="E31" s="226"/>
      <c r="F31" s="226"/>
      <c r="G31" s="226"/>
      <c r="H31" s="575"/>
      <c r="I31" s="576"/>
      <c r="J31" s="577"/>
      <c r="K31" s="226"/>
      <c r="L31" s="226"/>
      <c r="M31" s="226"/>
      <c r="N31" s="226"/>
      <c r="O31" s="578"/>
      <c r="P31" s="574"/>
      <c r="Q31" s="579"/>
      <c r="R31" s="577"/>
      <c r="S31" s="226"/>
      <c r="T31" s="226"/>
      <c r="U31" s="578"/>
    </row>
    <row r="32" spans="1:21">
      <c r="A32" s="580"/>
      <c r="B32" s="581"/>
      <c r="C32" s="582"/>
      <c r="D32" s="584"/>
      <c r="E32" s="584"/>
      <c r="F32" s="584"/>
      <c r="G32" s="584"/>
      <c r="H32" s="585"/>
      <c r="I32" s="586"/>
      <c r="J32" s="587"/>
      <c r="K32" s="584"/>
      <c r="L32" s="584"/>
      <c r="M32" s="584"/>
      <c r="N32" s="584"/>
      <c r="O32" s="588"/>
      <c r="P32" s="582"/>
      <c r="Q32" s="589"/>
      <c r="R32" s="587"/>
      <c r="S32" s="584"/>
      <c r="T32" s="584"/>
      <c r="U32" s="588"/>
    </row>
    <row r="33" spans="1:21">
      <c r="A33" s="554"/>
      <c r="B33" s="556"/>
      <c r="C33" s="574"/>
      <c r="D33" s="94"/>
      <c r="E33" s="94"/>
      <c r="F33" s="94"/>
      <c r="G33" s="95"/>
      <c r="H33" s="575"/>
      <c r="I33" s="568"/>
      <c r="J33" s="569"/>
      <c r="K33" s="94"/>
      <c r="L33" s="94"/>
      <c r="M33" s="94"/>
      <c r="N33" s="570"/>
      <c r="O33" s="571"/>
      <c r="P33" s="566"/>
      <c r="Q33" s="572"/>
      <c r="R33" s="577"/>
      <c r="S33" s="570"/>
      <c r="T33" s="570"/>
      <c r="U33" s="571"/>
    </row>
    <row r="34" spans="1:21">
      <c r="A34" s="554"/>
      <c r="B34" s="573"/>
      <c r="C34" s="574"/>
      <c r="D34" s="226"/>
      <c r="E34" s="226"/>
      <c r="F34" s="226"/>
      <c r="G34" s="226"/>
      <c r="H34" s="575"/>
      <c r="I34" s="576"/>
      <c r="J34" s="577"/>
      <c r="K34" s="226"/>
      <c r="L34" s="226"/>
      <c r="M34" s="226"/>
      <c r="N34" s="226"/>
      <c r="O34" s="578"/>
      <c r="P34" s="574"/>
      <c r="Q34" s="579"/>
      <c r="R34" s="577"/>
      <c r="S34" s="226"/>
      <c r="T34" s="226"/>
      <c r="U34" s="578"/>
    </row>
    <row r="35" spans="1:21">
      <c r="A35" s="580"/>
      <c r="B35" s="581"/>
      <c r="C35" s="582"/>
      <c r="D35" s="584"/>
      <c r="E35" s="584"/>
      <c r="F35" s="584"/>
      <c r="G35" s="584"/>
      <c r="H35" s="585"/>
      <c r="I35" s="586"/>
      <c r="J35" s="587"/>
      <c r="K35" s="584"/>
      <c r="L35" s="584"/>
      <c r="M35" s="584"/>
      <c r="N35" s="584"/>
      <c r="O35" s="588"/>
      <c r="P35" s="582"/>
      <c r="Q35" s="589"/>
      <c r="R35" s="587"/>
      <c r="S35" s="584"/>
      <c r="T35" s="584"/>
      <c r="U35" s="588"/>
    </row>
    <row r="36" spans="1:21">
      <c r="A36" s="549"/>
      <c r="B36" s="556"/>
      <c r="C36" s="566"/>
      <c r="D36" s="94"/>
      <c r="E36" s="94"/>
      <c r="F36" s="94"/>
      <c r="G36" s="95"/>
      <c r="H36" s="567"/>
      <c r="I36" s="568"/>
      <c r="J36" s="569"/>
      <c r="K36" s="94"/>
      <c r="L36" s="94"/>
      <c r="M36" s="94"/>
      <c r="N36" s="570"/>
      <c r="O36" s="571"/>
      <c r="P36" s="566"/>
      <c r="Q36" s="572"/>
      <c r="R36" s="569"/>
      <c r="S36" s="570"/>
      <c r="T36" s="570"/>
      <c r="U36" s="571"/>
    </row>
    <row r="37" spans="1:21">
      <c r="A37" s="554"/>
      <c r="B37" s="573"/>
      <c r="C37" s="574"/>
      <c r="D37" s="226"/>
      <c r="E37" s="226"/>
      <c r="F37" s="226"/>
      <c r="G37" s="226"/>
      <c r="H37" s="575"/>
      <c r="I37" s="576"/>
      <c r="J37" s="577"/>
      <c r="K37" s="226"/>
      <c r="L37" s="226"/>
      <c r="M37" s="226"/>
      <c r="N37" s="226"/>
      <c r="O37" s="578"/>
      <c r="P37" s="574"/>
      <c r="Q37" s="579"/>
      <c r="R37" s="577"/>
      <c r="S37" s="226"/>
      <c r="T37" s="226"/>
      <c r="U37" s="578"/>
    </row>
    <row r="38" spans="1:21">
      <c r="A38" s="580"/>
      <c r="B38" s="581"/>
      <c r="C38" s="582"/>
      <c r="D38" s="584"/>
      <c r="E38" s="584"/>
      <c r="F38" s="584"/>
      <c r="G38" s="584"/>
      <c r="H38" s="585"/>
      <c r="I38" s="586"/>
      <c r="J38" s="587"/>
      <c r="K38" s="584"/>
      <c r="L38" s="584"/>
      <c r="M38" s="584"/>
      <c r="N38" s="584"/>
      <c r="O38" s="588"/>
      <c r="P38" s="582"/>
      <c r="Q38" s="589"/>
      <c r="R38" s="587"/>
      <c r="S38" s="584"/>
      <c r="T38" s="584"/>
      <c r="U38" s="588"/>
    </row>
    <row r="39" spans="1:21">
      <c r="A39" s="554"/>
      <c r="B39" s="556"/>
      <c r="C39" s="566"/>
      <c r="D39" s="94"/>
      <c r="E39" s="94"/>
      <c r="F39" s="94"/>
      <c r="G39" s="95"/>
      <c r="H39" s="567"/>
      <c r="I39" s="568"/>
      <c r="J39" s="569"/>
      <c r="K39" s="94"/>
      <c r="L39" s="94"/>
      <c r="M39" s="94"/>
      <c r="N39" s="570"/>
      <c r="O39" s="571"/>
      <c r="P39" s="566"/>
      <c r="Q39" s="572"/>
      <c r="R39" s="569"/>
      <c r="S39" s="570"/>
      <c r="T39" s="570"/>
      <c r="U39" s="571"/>
    </row>
    <row r="40" spans="1:21">
      <c r="A40" s="554"/>
      <c r="B40" s="573"/>
      <c r="C40" s="574"/>
      <c r="D40" s="226"/>
      <c r="E40" s="226"/>
      <c r="F40" s="226"/>
      <c r="G40" s="226"/>
      <c r="H40" s="575"/>
      <c r="I40" s="576"/>
      <c r="J40" s="577"/>
      <c r="K40" s="226"/>
      <c r="L40" s="226"/>
      <c r="M40" s="226"/>
      <c r="N40" s="226"/>
      <c r="O40" s="578"/>
      <c r="P40" s="574"/>
      <c r="Q40" s="579"/>
      <c r="R40" s="577"/>
      <c r="S40" s="226"/>
      <c r="T40" s="226"/>
      <c r="U40" s="578"/>
    </row>
    <row r="41" spans="1:21">
      <c r="A41" s="580"/>
      <c r="B41" s="581"/>
      <c r="C41" s="582"/>
      <c r="D41" s="584"/>
      <c r="E41" s="584"/>
      <c r="F41" s="584"/>
      <c r="G41" s="584"/>
      <c r="H41" s="585"/>
      <c r="I41" s="586"/>
      <c r="J41" s="587"/>
      <c r="K41" s="584"/>
      <c r="L41" s="584"/>
      <c r="M41" s="584"/>
      <c r="N41" s="584"/>
      <c r="O41" s="588"/>
      <c r="P41" s="582"/>
      <c r="Q41" s="589"/>
      <c r="R41" s="587"/>
      <c r="S41" s="584"/>
      <c r="T41" s="584"/>
      <c r="U41" s="588"/>
    </row>
    <row r="42" spans="1:21">
      <c r="A42" s="554"/>
      <c r="B42" s="556"/>
      <c r="C42" s="566"/>
      <c r="D42" s="94"/>
      <c r="E42" s="94"/>
      <c r="F42" s="94"/>
      <c r="G42" s="95"/>
      <c r="H42" s="567"/>
      <c r="I42" s="568"/>
      <c r="J42" s="569"/>
      <c r="K42" s="94"/>
      <c r="L42" s="94"/>
      <c r="M42" s="94"/>
      <c r="N42" s="570"/>
      <c r="O42" s="571"/>
      <c r="P42" s="566"/>
      <c r="Q42" s="572"/>
      <c r="R42" s="569"/>
      <c r="S42" s="570"/>
      <c r="T42" s="570"/>
      <c r="U42" s="571"/>
    </row>
    <row r="43" spans="1:21">
      <c r="A43" s="554"/>
      <c r="B43" s="573"/>
      <c r="C43" s="574"/>
      <c r="D43" s="226"/>
      <c r="E43" s="226"/>
      <c r="F43" s="226"/>
      <c r="G43" s="226"/>
      <c r="H43" s="575"/>
      <c r="I43" s="576"/>
      <c r="J43" s="577"/>
      <c r="K43" s="226"/>
      <c r="L43" s="226"/>
      <c r="M43" s="226"/>
      <c r="N43" s="226"/>
      <c r="O43" s="578"/>
      <c r="P43" s="574"/>
      <c r="Q43" s="579"/>
      <c r="R43" s="577"/>
      <c r="S43" s="226"/>
      <c r="T43" s="226"/>
      <c r="U43" s="578"/>
    </row>
    <row r="44" spans="1:21">
      <c r="A44" s="580"/>
      <c r="B44" s="581"/>
      <c r="C44" s="582"/>
      <c r="D44" s="584"/>
      <c r="E44" s="584"/>
      <c r="F44" s="584"/>
      <c r="G44" s="584"/>
      <c r="H44" s="585"/>
      <c r="I44" s="586"/>
      <c r="J44" s="587"/>
      <c r="K44" s="584"/>
      <c r="L44" s="584"/>
      <c r="M44" s="584"/>
      <c r="N44" s="584"/>
      <c r="O44" s="588"/>
      <c r="P44" s="582"/>
      <c r="Q44" s="589"/>
      <c r="R44" s="587"/>
      <c r="S44" s="584"/>
      <c r="T44" s="584"/>
      <c r="U44" s="588"/>
    </row>
    <row r="45" spans="1:21">
      <c r="A45" s="554"/>
      <c r="B45" s="556"/>
      <c r="C45" s="566"/>
      <c r="D45" s="94"/>
      <c r="E45" s="94"/>
      <c r="F45" s="94"/>
      <c r="G45" s="95"/>
      <c r="H45" s="567"/>
      <c r="I45" s="568"/>
      <c r="J45" s="569"/>
      <c r="K45" s="94"/>
      <c r="L45" s="94"/>
      <c r="M45" s="94"/>
      <c r="N45" s="570"/>
      <c r="O45" s="571"/>
      <c r="P45" s="566"/>
      <c r="Q45" s="572"/>
      <c r="R45" s="569"/>
      <c r="S45" s="570"/>
      <c r="T45" s="570"/>
      <c r="U45" s="571"/>
    </row>
    <row r="46" spans="1:21">
      <c r="A46" s="554"/>
      <c r="B46" s="573"/>
      <c r="C46" s="574"/>
      <c r="D46" s="226"/>
      <c r="E46" s="226"/>
      <c r="F46" s="226"/>
      <c r="G46" s="226"/>
      <c r="H46" s="575"/>
      <c r="I46" s="576"/>
      <c r="J46" s="577"/>
      <c r="K46" s="226"/>
      <c r="L46" s="226"/>
      <c r="M46" s="226"/>
      <c r="N46" s="226"/>
      <c r="O46" s="578"/>
      <c r="P46" s="574"/>
      <c r="Q46" s="579"/>
      <c r="R46" s="577"/>
      <c r="S46" s="226"/>
      <c r="T46" s="226"/>
      <c r="U46" s="578"/>
    </row>
    <row r="47" spans="1:21">
      <c r="A47" s="580"/>
      <c r="B47" s="581"/>
      <c r="C47" s="582"/>
      <c r="D47" s="584"/>
      <c r="E47" s="584"/>
      <c r="F47" s="584"/>
      <c r="G47" s="584"/>
      <c r="H47" s="585"/>
      <c r="I47" s="586"/>
      <c r="J47" s="587"/>
      <c r="K47" s="584"/>
      <c r="L47" s="584"/>
      <c r="M47" s="584"/>
      <c r="N47" s="584"/>
      <c r="O47" s="588"/>
      <c r="P47" s="582"/>
      <c r="Q47" s="589"/>
      <c r="R47" s="587"/>
      <c r="S47" s="584"/>
      <c r="T47" s="584"/>
      <c r="U47" s="588"/>
    </row>
    <row r="48" spans="1:21">
      <c r="A48" s="554"/>
      <c r="B48" s="556"/>
      <c r="C48" s="566"/>
      <c r="D48" s="94"/>
      <c r="E48" s="94"/>
      <c r="F48" s="94"/>
      <c r="G48" s="95"/>
      <c r="H48" s="567"/>
      <c r="I48" s="568"/>
      <c r="J48" s="569"/>
      <c r="K48" s="94"/>
      <c r="L48" s="94"/>
      <c r="M48" s="94"/>
      <c r="N48" s="570"/>
      <c r="O48" s="571"/>
      <c r="P48" s="566"/>
      <c r="Q48" s="572"/>
      <c r="R48" s="569"/>
      <c r="S48" s="570"/>
      <c r="T48" s="570"/>
      <c r="U48" s="571"/>
    </row>
    <row r="49" spans="1:21">
      <c r="A49" s="554"/>
      <c r="B49" s="573"/>
      <c r="C49" s="574"/>
      <c r="D49" s="226"/>
      <c r="E49" s="226"/>
      <c r="F49" s="226"/>
      <c r="G49" s="226"/>
      <c r="H49" s="575"/>
      <c r="I49" s="576"/>
      <c r="J49" s="577"/>
      <c r="K49" s="226"/>
      <c r="L49" s="226"/>
      <c r="M49" s="226"/>
      <c r="N49" s="226"/>
      <c r="O49" s="578"/>
      <c r="P49" s="574"/>
      <c r="Q49" s="579"/>
      <c r="R49" s="577"/>
      <c r="S49" s="226"/>
      <c r="T49" s="226"/>
      <c r="U49" s="578"/>
    </row>
    <row r="50" spans="1:21">
      <c r="A50" s="580"/>
      <c r="B50" s="581"/>
      <c r="C50" s="582"/>
      <c r="D50" s="584"/>
      <c r="E50" s="584"/>
      <c r="F50" s="584"/>
      <c r="G50" s="584"/>
      <c r="H50" s="585"/>
      <c r="I50" s="586"/>
      <c r="J50" s="587"/>
      <c r="K50" s="584"/>
      <c r="L50" s="584"/>
      <c r="M50" s="584"/>
      <c r="N50" s="584"/>
      <c r="O50" s="588"/>
      <c r="P50" s="582"/>
      <c r="Q50" s="589"/>
      <c r="R50" s="587"/>
      <c r="S50" s="584"/>
      <c r="T50" s="584"/>
      <c r="U50" s="588"/>
    </row>
    <row r="51" spans="1:21">
      <c r="A51" s="554"/>
      <c r="B51" s="556"/>
      <c r="C51" s="566"/>
      <c r="D51" s="94"/>
      <c r="E51" s="94"/>
      <c r="F51" s="94"/>
      <c r="G51" s="95"/>
      <c r="H51" s="567"/>
      <c r="I51" s="568"/>
      <c r="J51" s="569"/>
      <c r="K51" s="94"/>
      <c r="L51" s="94"/>
      <c r="M51" s="94"/>
      <c r="N51" s="570"/>
      <c r="O51" s="571"/>
      <c r="P51" s="566"/>
      <c r="Q51" s="572"/>
      <c r="R51" s="569"/>
      <c r="S51" s="570"/>
      <c r="T51" s="570"/>
      <c r="U51" s="571"/>
    </row>
    <row r="52" spans="1:21">
      <c r="A52" s="554"/>
      <c r="B52" s="573"/>
      <c r="C52" s="574"/>
      <c r="D52" s="226"/>
      <c r="E52" s="226"/>
      <c r="F52" s="226"/>
      <c r="G52" s="226"/>
      <c r="H52" s="575"/>
      <c r="I52" s="576"/>
      <c r="J52" s="577"/>
      <c r="K52" s="226"/>
      <c r="L52" s="226"/>
      <c r="M52" s="226"/>
      <c r="N52" s="226"/>
      <c r="O52" s="578"/>
      <c r="P52" s="574"/>
      <c r="Q52" s="579"/>
      <c r="R52" s="577"/>
      <c r="S52" s="226"/>
      <c r="T52" s="226"/>
      <c r="U52" s="578"/>
    </row>
    <row r="53" spans="1:21">
      <c r="A53" s="580"/>
      <c r="B53" s="581"/>
      <c r="C53" s="582"/>
      <c r="D53" s="584"/>
      <c r="E53" s="584"/>
      <c r="F53" s="584"/>
      <c r="G53" s="584"/>
      <c r="H53" s="585"/>
      <c r="I53" s="586"/>
      <c r="J53" s="587"/>
      <c r="K53" s="584"/>
      <c r="L53" s="584"/>
      <c r="M53" s="584"/>
      <c r="N53" s="584"/>
      <c r="O53" s="588"/>
      <c r="P53" s="582"/>
      <c r="Q53" s="589"/>
      <c r="R53" s="587"/>
      <c r="S53" s="584"/>
      <c r="T53" s="584"/>
      <c r="U53" s="588"/>
    </row>
    <row r="54" spans="1:21">
      <c r="A54" s="554"/>
      <c r="B54" s="556"/>
      <c r="C54" s="566"/>
      <c r="D54" s="94"/>
      <c r="E54" s="94"/>
      <c r="F54" s="94"/>
      <c r="G54" s="95"/>
      <c r="H54" s="567"/>
      <c r="I54" s="568"/>
      <c r="J54" s="569"/>
      <c r="K54" s="94"/>
      <c r="L54" s="94"/>
      <c r="M54" s="94"/>
      <c r="N54" s="570"/>
      <c r="O54" s="571"/>
      <c r="P54" s="566"/>
      <c r="Q54" s="572"/>
      <c r="R54" s="569"/>
      <c r="S54" s="570"/>
      <c r="T54" s="570"/>
      <c r="U54" s="571"/>
    </row>
    <row r="55" spans="1:21">
      <c r="A55" s="554"/>
      <c r="B55" s="573"/>
      <c r="C55" s="574"/>
      <c r="D55" s="226"/>
      <c r="E55" s="226"/>
      <c r="F55" s="226"/>
      <c r="G55" s="226"/>
      <c r="H55" s="575"/>
      <c r="I55" s="576"/>
      <c r="J55" s="577"/>
      <c r="K55" s="226"/>
      <c r="L55" s="226"/>
      <c r="M55" s="226"/>
      <c r="N55" s="226"/>
      <c r="O55" s="578"/>
      <c r="P55" s="574"/>
      <c r="Q55" s="579"/>
      <c r="R55" s="577"/>
      <c r="S55" s="226"/>
      <c r="T55" s="226"/>
      <c r="U55" s="578"/>
    </row>
    <row r="56" spans="1:21">
      <c r="A56" s="580"/>
      <c r="B56" s="581"/>
      <c r="C56" s="582"/>
      <c r="D56" s="584"/>
      <c r="E56" s="584"/>
      <c r="F56" s="584"/>
      <c r="G56" s="584"/>
      <c r="H56" s="585"/>
      <c r="I56" s="586"/>
      <c r="J56" s="587"/>
      <c r="K56" s="584"/>
      <c r="L56" s="584"/>
      <c r="M56" s="584"/>
      <c r="N56" s="584"/>
      <c r="O56" s="588"/>
      <c r="P56" s="582"/>
      <c r="Q56" s="589"/>
      <c r="R56" s="587"/>
      <c r="S56" s="584"/>
      <c r="T56" s="584"/>
      <c r="U56" s="588"/>
    </row>
    <row r="57" spans="1:21">
      <c r="A57" s="554"/>
      <c r="B57" s="556"/>
      <c r="C57" s="566"/>
      <c r="D57" s="94"/>
      <c r="E57" s="94"/>
      <c r="F57" s="94"/>
      <c r="G57" s="95"/>
      <c r="H57" s="567"/>
      <c r="I57" s="568"/>
      <c r="J57" s="569"/>
      <c r="K57" s="94"/>
      <c r="L57" s="94"/>
      <c r="M57" s="94"/>
      <c r="N57" s="570"/>
      <c r="O57" s="571"/>
      <c r="P57" s="566"/>
      <c r="Q57" s="572"/>
      <c r="R57" s="569"/>
      <c r="S57" s="570"/>
      <c r="T57" s="570"/>
      <c r="U57" s="571"/>
    </row>
    <row r="58" spans="1:21">
      <c r="A58" s="554"/>
      <c r="B58" s="573"/>
      <c r="C58" s="574"/>
      <c r="D58" s="226"/>
      <c r="E58" s="226"/>
      <c r="F58" s="226"/>
      <c r="G58" s="226"/>
      <c r="H58" s="575"/>
      <c r="I58" s="576"/>
      <c r="J58" s="577"/>
      <c r="K58" s="226"/>
      <c r="L58" s="226"/>
      <c r="M58" s="226"/>
      <c r="N58" s="226"/>
      <c r="O58" s="578"/>
      <c r="P58" s="574"/>
      <c r="Q58" s="579"/>
      <c r="R58" s="577"/>
      <c r="S58" s="226"/>
      <c r="T58" s="226"/>
      <c r="U58" s="578"/>
    </row>
    <row r="59" spans="1:21">
      <c r="A59" s="580"/>
      <c r="B59" s="581"/>
      <c r="C59" s="582"/>
      <c r="D59" s="584"/>
      <c r="E59" s="584"/>
      <c r="F59" s="584"/>
      <c r="G59" s="584"/>
      <c r="H59" s="585"/>
      <c r="I59" s="586"/>
      <c r="J59" s="587"/>
      <c r="K59" s="584"/>
      <c r="L59" s="584"/>
      <c r="M59" s="584"/>
      <c r="N59" s="584"/>
      <c r="O59" s="588"/>
      <c r="P59" s="582"/>
      <c r="Q59" s="589"/>
      <c r="R59" s="587"/>
      <c r="S59" s="584"/>
      <c r="T59" s="584"/>
      <c r="U59" s="588"/>
    </row>
    <row r="60" spans="1:21">
      <c r="A60" s="554"/>
      <c r="B60" s="556"/>
      <c r="C60" s="574"/>
      <c r="D60" s="94"/>
      <c r="E60" s="94"/>
      <c r="F60" s="94"/>
      <c r="G60" s="95"/>
      <c r="H60" s="567"/>
      <c r="I60" s="568"/>
      <c r="J60" s="569"/>
      <c r="K60" s="94"/>
      <c r="L60" s="94"/>
      <c r="M60" s="94"/>
      <c r="N60" s="570"/>
      <c r="O60" s="571"/>
      <c r="P60" s="566"/>
      <c r="Q60" s="572"/>
      <c r="R60" s="569"/>
      <c r="S60" s="570"/>
      <c r="T60" s="570"/>
      <c r="U60" s="571"/>
    </row>
    <row r="61" spans="1:21">
      <c r="A61" s="554"/>
      <c r="B61" s="573"/>
      <c r="C61" s="574"/>
      <c r="D61" s="226"/>
      <c r="E61" s="226"/>
      <c r="F61" s="226"/>
      <c r="G61" s="226"/>
      <c r="H61" s="575"/>
      <c r="I61" s="576"/>
      <c r="J61" s="577"/>
      <c r="K61" s="226"/>
      <c r="L61" s="226"/>
      <c r="M61" s="226"/>
      <c r="N61" s="226"/>
      <c r="O61" s="578"/>
      <c r="P61" s="574"/>
      <c r="Q61" s="579"/>
      <c r="R61" s="577"/>
      <c r="S61" s="226"/>
      <c r="T61" s="226"/>
      <c r="U61" s="578"/>
    </row>
    <row r="62" spans="1:21">
      <c r="A62" s="580"/>
      <c r="B62" s="581"/>
      <c r="C62" s="582"/>
      <c r="D62" s="584"/>
      <c r="E62" s="584"/>
      <c r="F62" s="584"/>
      <c r="G62" s="584"/>
      <c r="H62" s="585"/>
      <c r="I62" s="586"/>
      <c r="J62" s="587"/>
      <c r="K62" s="584"/>
      <c r="L62" s="584"/>
      <c r="M62" s="584"/>
      <c r="N62" s="584"/>
      <c r="O62" s="588"/>
      <c r="P62" s="582"/>
      <c r="Q62" s="589"/>
      <c r="R62" s="587"/>
      <c r="S62" s="584"/>
      <c r="T62" s="584"/>
      <c r="U62" s="588"/>
    </row>
    <row r="63" spans="1:21">
      <c r="A63" s="554"/>
      <c r="B63" s="556"/>
      <c r="C63" s="566"/>
      <c r="D63" s="94"/>
      <c r="E63" s="94"/>
      <c r="F63" s="94"/>
      <c r="G63" s="95"/>
      <c r="H63" s="567"/>
      <c r="I63" s="568"/>
      <c r="J63" s="569"/>
      <c r="K63" s="94"/>
      <c r="L63" s="94"/>
      <c r="M63" s="94"/>
      <c r="N63" s="570"/>
      <c r="O63" s="571"/>
      <c r="P63" s="566"/>
      <c r="Q63" s="572"/>
      <c r="R63" s="569"/>
      <c r="S63" s="570"/>
      <c r="T63" s="570"/>
      <c r="U63" s="571"/>
    </row>
    <row r="64" spans="1:21">
      <c r="A64" s="554"/>
      <c r="B64" s="573"/>
      <c r="C64" s="574"/>
      <c r="D64" s="226"/>
      <c r="E64" s="226"/>
      <c r="F64" s="226"/>
      <c r="G64" s="226"/>
      <c r="H64" s="575"/>
      <c r="I64" s="576"/>
      <c r="J64" s="577"/>
      <c r="K64" s="226"/>
      <c r="L64" s="226"/>
      <c r="M64" s="226"/>
      <c r="N64" s="226"/>
      <c r="O64" s="578"/>
      <c r="P64" s="574"/>
      <c r="Q64" s="579"/>
      <c r="R64" s="577"/>
      <c r="S64" s="226"/>
      <c r="T64" s="226"/>
      <c r="U64" s="578"/>
    </row>
    <row r="65" spans="1:21">
      <c r="A65" s="580"/>
      <c r="B65" s="581"/>
      <c r="C65" s="582"/>
      <c r="D65" s="584"/>
      <c r="E65" s="584"/>
      <c r="F65" s="584"/>
      <c r="G65" s="584"/>
      <c r="H65" s="585"/>
      <c r="I65" s="586"/>
      <c r="J65" s="587"/>
      <c r="K65" s="584"/>
      <c r="L65" s="584"/>
      <c r="M65" s="584"/>
      <c r="N65" s="584"/>
      <c r="O65" s="588"/>
      <c r="P65" s="582"/>
      <c r="Q65" s="589"/>
      <c r="R65" s="587"/>
      <c r="S65" s="584"/>
      <c r="T65" s="584"/>
      <c r="U65" s="588"/>
    </row>
    <row r="66" spans="1:21">
      <c r="A66" s="549"/>
      <c r="B66" s="556"/>
      <c r="C66" s="566"/>
      <c r="D66" s="94"/>
      <c r="E66" s="94"/>
      <c r="F66" s="94"/>
      <c r="G66" s="95"/>
      <c r="H66" s="567"/>
      <c r="I66" s="568"/>
      <c r="J66" s="569"/>
      <c r="K66" s="94"/>
      <c r="L66" s="94"/>
      <c r="M66" s="94"/>
      <c r="N66" s="570"/>
      <c r="O66" s="571"/>
      <c r="P66" s="566"/>
      <c r="Q66" s="572"/>
      <c r="R66" s="569"/>
      <c r="S66" s="570"/>
      <c r="T66" s="570"/>
      <c r="U66" s="571"/>
    </row>
    <row r="67" spans="1:21">
      <c r="A67" s="554"/>
      <c r="B67" s="573"/>
      <c r="C67" s="574"/>
      <c r="D67" s="226"/>
      <c r="E67" s="226"/>
      <c r="F67" s="226"/>
      <c r="G67" s="226"/>
      <c r="H67" s="575"/>
      <c r="I67" s="576"/>
      <c r="J67" s="577"/>
      <c r="K67" s="226"/>
      <c r="L67" s="226"/>
      <c r="M67" s="226"/>
      <c r="N67" s="226"/>
      <c r="O67" s="578"/>
      <c r="P67" s="574"/>
      <c r="Q67" s="579"/>
      <c r="R67" s="577"/>
      <c r="S67" s="226"/>
      <c r="T67" s="226"/>
      <c r="U67" s="578"/>
    </row>
    <row r="68" spans="1:21">
      <c r="A68" s="580"/>
      <c r="B68" s="581"/>
      <c r="C68" s="582"/>
      <c r="D68" s="584"/>
      <c r="E68" s="584"/>
      <c r="F68" s="584"/>
      <c r="G68" s="584"/>
      <c r="H68" s="585"/>
      <c r="I68" s="586"/>
      <c r="J68" s="587"/>
      <c r="K68" s="584"/>
      <c r="L68" s="584"/>
      <c r="M68" s="584"/>
      <c r="N68" s="584"/>
      <c r="O68" s="588"/>
      <c r="P68" s="582"/>
      <c r="Q68" s="589"/>
      <c r="R68" s="587"/>
      <c r="S68" s="584"/>
      <c r="T68" s="584"/>
      <c r="U68" s="588"/>
    </row>
    <row r="69" spans="1:21">
      <c r="A69" s="554"/>
      <c r="B69" s="556"/>
      <c r="C69" s="566"/>
      <c r="D69" s="94"/>
      <c r="E69" s="94"/>
      <c r="F69" s="94"/>
      <c r="G69" s="95"/>
      <c r="H69" s="567"/>
      <c r="I69" s="568"/>
      <c r="J69" s="569"/>
      <c r="K69" s="94"/>
      <c r="L69" s="94"/>
      <c r="M69" s="94"/>
      <c r="N69" s="570"/>
      <c r="O69" s="571"/>
      <c r="P69" s="566"/>
      <c r="Q69" s="572"/>
      <c r="R69" s="569"/>
      <c r="S69" s="570"/>
      <c r="T69" s="570"/>
      <c r="U69" s="571"/>
    </row>
    <row r="70" spans="1:21">
      <c r="A70" s="554"/>
      <c r="B70" s="573"/>
      <c r="C70" s="574"/>
      <c r="D70" s="226"/>
      <c r="E70" s="226"/>
      <c r="F70" s="226"/>
      <c r="G70" s="226"/>
      <c r="H70" s="575"/>
      <c r="I70" s="576"/>
      <c r="J70" s="577"/>
      <c r="K70" s="226"/>
      <c r="L70" s="226"/>
      <c r="M70" s="226"/>
      <c r="N70" s="226"/>
      <c r="O70" s="578"/>
      <c r="P70" s="574"/>
      <c r="Q70" s="579"/>
      <c r="R70" s="577"/>
      <c r="S70" s="226"/>
      <c r="T70" s="226"/>
      <c r="U70" s="578"/>
    </row>
    <row r="71" spans="1:21">
      <c r="A71" s="580"/>
      <c r="B71" s="581"/>
      <c r="C71" s="582"/>
      <c r="D71" s="584"/>
      <c r="E71" s="584"/>
      <c r="F71" s="584"/>
      <c r="G71" s="584"/>
      <c r="H71" s="585"/>
      <c r="I71" s="586"/>
      <c r="J71" s="587"/>
      <c r="K71" s="584"/>
      <c r="L71" s="584"/>
      <c r="M71" s="584"/>
      <c r="N71" s="584"/>
      <c r="O71" s="588"/>
      <c r="P71" s="582"/>
      <c r="Q71" s="589"/>
      <c r="R71" s="587"/>
      <c r="S71" s="584"/>
      <c r="T71" s="584"/>
      <c r="U71" s="588"/>
    </row>
    <row r="72" spans="1:21">
      <c r="A72" s="554"/>
      <c r="B72" s="556"/>
      <c r="C72" s="566"/>
      <c r="D72" s="94"/>
      <c r="E72" s="94"/>
      <c r="F72" s="94"/>
      <c r="G72" s="95"/>
      <c r="H72" s="567"/>
      <c r="I72" s="568"/>
      <c r="J72" s="569"/>
      <c r="K72" s="94"/>
      <c r="L72" s="94"/>
      <c r="M72" s="94"/>
      <c r="N72" s="570"/>
      <c r="O72" s="571"/>
      <c r="P72" s="566"/>
      <c r="Q72" s="572"/>
      <c r="R72" s="569"/>
      <c r="S72" s="570"/>
      <c r="T72" s="570"/>
      <c r="U72" s="571"/>
    </row>
    <row r="73" spans="1:21">
      <c r="A73" s="554"/>
      <c r="B73" s="573"/>
      <c r="C73" s="574"/>
      <c r="D73" s="226"/>
      <c r="E73" s="226"/>
      <c r="F73" s="226"/>
      <c r="G73" s="226"/>
      <c r="H73" s="575"/>
      <c r="I73" s="576"/>
      <c r="J73" s="577"/>
      <c r="K73" s="226"/>
      <c r="L73" s="226"/>
      <c r="M73" s="226"/>
      <c r="N73" s="226"/>
      <c r="O73" s="578"/>
      <c r="P73" s="574"/>
      <c r="Q73" s="579"/>
      <c r="R73" s="577"/>
      <c r="S73" s="226"/>
      <c r="T73" s="226"/>
      <c r="U73" s="578"/>
    </row>
    <row r="74" spans="1:21">
      <c r="A74" s="580"/>
      <c r="B74" s="581"/>
      <c r="C74" s="582"/>
      <c r="D74" s="584"/>
      <c r="E74" s="584"/>
      <c r="F74" s="584"/>
      <c r="G74" s="584"/>
      <c r="H74" s="585"/>
      <c r="I74" s="586"/>
      <c r="J74" s="587"/>
      <c r="K74" s="584"/>
      <c r="L74" s="584"/>
      <c r="M74" s="584"/>
      <c r="N74" s="584"/>
      <c r="O74" s="588"/>
      <c r="P74" s="582"/>
      <c r="Q74" s="589"/>
      <c r="R74" s="587"/>
      <c r="S74" s="584"/>
      <c r="T74" s="584"/>
      <c r="U74" s="588"/>
    </row>
    <row r="75" spans="1:21">
      <c r="A75" s="554"/>
      <c r="B75" s="556"/>
      <c r="C75" s="566"/>
      <c r="D75" s="94"/>
      <c r="E75" s="94"/>
      <c r="F75" s="94"/>
      <c r="G75" s="95"/>
      <c r="H75" s="567"/>
      <c r="I75" s="568"/>
      <c r="J75" s="569"/>
      <c r="K75" s="94"/>
      <c r="L75" s="94"/>
      <c r="M75" s="94"/>
      <c r="N75" s="570"/>
      <c r="O75" s="571"/>
      <c r="P75" s="566"/>
      <c r="Q75" s="572"/>
      <c r="R75" s="569"/>
      <c r="S75" s="570"/>
      <c r="T75" s="570"/>
      <c r="U75" s="571"/>
    </row>
    <row r="76" spans="1:21">
      <c r="A76" s="554"/>
      <c r="B76" s="573"/>
      <c r="C76" s="574"/>
      <c r="D76" s="226"/>
      <c r="E76" s="226"/>
      <c r="F76" s="226"/>
      <c r="G76" s="226"/>
      <c r="H76" s="575"/>
      <c r="I76" s="576"/>
      <c r="J76" s="577"/>
      <c r="K76" s="226"/>
      <c r="L76" s="226"/>
      <c r="M76" s="226"/>
      <c r="N76" s="226"/>
      <c r="O76" s="578"/>
      <c r="P76" s="574"/>
      <c r="Q76" s="579"/>
      <c r="R76" s="577"/>
      <c r="S76" s="226"/>
      <c r="T76" s="226"/>
      <c r="U76" s="578"/>
    </row>
    <row r="77" spans="1:21">
      <c r="A77" s="580"/>
      <c r="B77" s="581"/>
      <c r="C77" s="582"/>
      <c r="D77" s="584"/>
      <c r="E77" s="584"/>
      <c r="F77" s="584"/>
      <c r="G77" s="584"/>
      <c r="H77" s="585"/>
      <c r="I77" s="586"/>
      <c r="J77" s="587"/>
      <c r="K77" s="584"/>
      <c r="L77" s="584"/>
      <c r="M77" s="584"/>
      <c r="N77" s="584"/>
      <c r="O77" s="588"/>
      <c r="P77" s="582"/>
      <c r="Q77" s="589"/>
      <c r="R77" s="587"/>
      <c r="S77" s="584"/>
      <c r="T77" s="584"/>
      <c r="U77" s="588"/>
    </row>
    <row r="78" spans="1:21">
      <c r="A78" s="554"/>
      <c r="B78" s="556"/>
      <c r="C78" s="566"/>
      <c r="D78" s="94"/>
      <c r="E78" s="94"/>
      <c r="F78" s="94"/>
      <c r="G78" s="95"/>
      <c r="H78" s="567"/>
      <c r="I78" s="568"/>
      <c r="J78" s="569"/>
      <c r="K78" s="94"/>
      <c r="L78" s="94"/>
      <c r="M78" s="94"/>
      <c r="N78" s="570"/>
      <c r="O78" s="571"/>
      <c r="P78" s="566"/>
      <c r="Q78" s="572"/>
      <c r="R78" s="569"/>
      <c r="S78" s="570"/>
      <c r="T78" s="570"/>
      <c r="U78" s="571"/>
    </row>
    <row r="79" spans="1:21">
      <c r="A79" s="554"/>
      <c r="B79" s="573"/>
      <c r="C79" s="574"/>
      <c r="D79" s="226"/>
      <c r="E79" s="226"/>
      <c r="F79" s="226"/>
      <c r="G79" s="226"/>
      <c r="H79" s="575"/>
      <c r="I79" s="576"/>
      <c r="J79" s="577"/>
      <c r="K79" s="226"/>
      <c r="L79" s="226"/>
      <c r="M79" s="226"/>
      <c r="N79" s="226"/>
      <c r="O79" s="578"/>
      <c r="P79" s="574"/>
      <c r="Q79" s="579"/>
      <c r="R79" s="577"/>
      <c r="S79" s="226"/>
      <c r="T79" s="226"/>
      <c r="U79" s="578"/>
    </row>
    <row r="80" spans="1:21">
      <c r="A80" s="580"/>
      <c r="B80" s="581"/>
      <c r="C80" s="582"/>
      <c r="D80" s="584"/>
      <c r="E80" s="584"/>
      <c r="F80" s="584"/>
      <c r="G80" s="584"/>
      <c r="H80" s="585"/>
      <c r="I80" s="586"/>
      <c r="J80" s="587"/>
      <c r="K80" s="584"/>
      <c r="L80" s="584"/>
      <c r="M80" s="584"/>
      <c r="N80" s="584"/>
      <c r="O80" s="588"/>
      <c r="P80" s="582"/>
      <c r="Q80" s="589"/>
      <c r="R80" s="587"/>
      <c r="S80" s="584"/>
      <c r="T80" s="584"/>
      <c r="U80" s="588"/>
    </row>
    <row r="81" spans="1:21">
      <c r="A81" s="554"/>
      <c r="B81" s="556"/>
      <c r="C81" s="566"/>
      <c r="D81" s="94"/>
      <c r="E81" s="94"/>
      <c r="F81" s="94"/>
      <c r="G81" s="95"/>
      <c r="H81" s="567"/>
      <c r="I81" s="568"/>
      <c r="J81" s="569"/>
      <c r="K81" s="94"/>
      <c r="L81" s="94"/>
      <c r="M81" s="94"/>
      <c r="N81" s="570"/>
      <c r="O81" s="571"/>
      <c r="P81" s="566"/>
      <c r="Q81" s="572"/>
      <c r="R81" s="569"/>
      <c r="S81" s="570"/>
      <c r="T81" s="570"/>
      <c r="U81" s="571"/>
    </row>
    <row r="82" spans="1:21">
      <c r="A82" s="554"/>
      <c r="B82" s="573"/>
      <c r="C82" s="574"/>
      <c r="D82" s="226"/>
      <c r="E82" s="226"/>
      <c r="F82" s="226"/>
      <c r="G82" s="226"/>
      <c r="H82" s="575"/>
      <c r="I82" s="576"/>
      <c r="J82" s="577"/>
      <c r="K82" s="226"/>
      <c r="L82" s="226"/>
      <c r="M82" s="226"/>
      <c r="N82" s="226"/>
      <c r="O82" s="578"/>
      <c r="P82" s="574"/>
      <c r="Q82" s="579"/>
      <c r="R82" s="577"/>
      <c r="S82" s="226"/>
      <c r="T82" s="226"/>
      <c r="U82" s="578"/>
    </row>
    <row r="83" spans="1:21">
      <c r="A83" s="580"/>
      <c r="B83" s="581"/>
      <c r="C83" s="582"/>
      <c r="D83" s="584"/>
      <c r="E83" s="584"/>
      <c r="F83" s="584"/>
      <c r="G83" s="584"/>
      <c r="H83" s="585"/>
      <c r="I83" s="586"/>
      <c r="J83" s="587"/>
      <c r="K83" s="584"/>
      <c r="L83" s="584"/>
      <c r="M83" s="584"/>
      <c r="N83" s="584"/>
      <c r="O83" s="588"/>
      <c r="P83" s="582"/>
      <c r="Q83" s="589"/>
      <c r="R83" s="587"/>
      <c r="S83" s="584"/>
      <c r="T83" s="584"/>
      <c r="U83" s="588"/>
    </row>
    <row r="84" spans="1:21">
      <c r="A84" s="554"/>
      <c r="B84" s="556"/>
      <c r="C84" s="566"/>
      <c r="D84" s="94"/>
      <c r="E84" s="94"/>
      <c r="F84" s="94"/>
      <c r="G84" s="95"/>
      <c r="H84" s="567"/>
      <c r="I84" s="568"/>
      <c r="J84" s="569"/>
      <c r="K84" s="94"/>
      <c r="L84" s="94"/>
      <c r="M84" s="94"/>
      <c r="N84" s="570"/>
      <c r="O84" s="571"/>
      <c r="P84" s="566"/>
      <c r="Q84" s="572"/>
      <c r="R84" s="569"/>
      <c r="S84" s="570"/>
      <c r="T84" s="570"/>
      <c r="U84" s="571"/>
    </row>
    <row r="85" spans="1:21">
      <c r="A85" s="554"/>
      <c r="B85" s="573"/>
      <c r="C85" s="574"/>
      <c r="D85" s="226"/>
      <c r="E85" s="226"/>
      <c r="F85" s="226"/>
      <c r="G85" s="226"/>
      <c r="H85" s="575"/>
      <c r="I85" s="576"/>
      <c r="J85" s="577"/>
      <c r="K85" s="226"/>
      <c r="L85" s="226"/>
      <c r="M85" s="226"/>
      <c r="N85" s="226"/>
      <c r="O85" s="578"/>
      <c r="P85" s="574"/>
      <c r="Q85" s="579"/>
      <c r="R85" s="577"/>
      <c r="S85" s="226"/>
      <c r="T85" s="226"/>
      <c r="U85" s="578"/>
    </row>
    <row r="86" spans="1:21">
      <c r="A86" s="580"/>
      <c r="B86" s="581"/>
      <c r="C86" s="582"/>
      <c r="D86" s="584"/>
      <c r="E86" s="584"/>
      <c r="F86" s="584"/>
      <c r="G86" s="584"/>
      <c r="H86" s="585"/>
      <c r="I86" s="586"/>
      <c r="J86" s="587"/>
      <c r="K86" s="584"/>
      <c r="L86" s="584"/>
      <c r="M86" s="584"/>
      <c r="N86" s="584"/>
      <c r="O86" s="588"/>
      <c r="P86" s="582"/>
      <c r="Q86" s="589"/>
      <c r="R86" s="587"/>
      <c r="S86" s="584"/>
      <c r="T86" s="584"/>
      <c r="U86" s="588"/>
    </row>
    <row r="87" spans="1:21">
      <c r="A87" s="554"/>
      <c r="B87" s="556"/>
      <c r="C87" s="566"/>
      <c r="D87" s="94"/>
      <c r="E87" s="94"/>
      <c r="F87" s="94"/>
      <c r="G87" s="95"/>
      <c r="H87" s="567"/>
      <c r="I87" s="568"/>
      <c r="J87" s="569"/>
      <c r="K87" s="94"/>
      <c r="L87" s="94"/>
      <c r="M87" s="94"/>
      <c r="N87" s="570"/>
      <c r="O87" s="571"/>
      <c r="P87" s="566"/>
      <c r="Q87" s="572"/>
      <c r="R87" s="569"/>
      <c r="S87" s="570"/>
      <c r="T87" s="570"/>
      <c r="U87" s="571"/>
    </row>
    <row r="88" spans="1:21">
      <c r="A88" s="554"/>
      <c r="B88" s="573"/>
      <c r="C88" s="574"/>
      <c r="D88" s="226"/>
      <c r="E88" s="226"/>
      <c r="F88" s="226"/>
      <c r="G88" s="226"/>
      <c r="H88" s="575"/>
      <c r="I88" s="576"/>
      <c r="J88" s="577"/>
      <c r="K88" s="226"/>
      <c r="L88" s="226"/>
      <c r="M88" s="226"/>
      <c r="N88" s="226"/>
      <c r="O88" s="578"/>
      <c r="P88" s="574"/>
      <c r="Q88" s="579"/>
      <c r="R88" s="577"/>
      <c r="S88" s="226"/>
      <c r="T88" s="226"/>
      <c r="U88" s="578"/>
    </row>
    <row r="89" spans="1:21">
      <c r="A89" s="580"/>
      <c r="B89" s="581"/>
      <c r="C89" s="582"/>
      <c r="D89" s="584"/>
      <c r="E89" s="584"/>
      <c r="F89" s="584"/>
      <c r="G89" s="584"/>
      <c r="H89" s="585"/>
      <c r="I89" s="586"/>
      <c r="J89" s="587"/>
      <c r="K89" s="584"/>
      <c r="L89" s="584"/>
      <c r="M89" s="584"/>
      <c r="N89" s="584"/>
      <c r="O89" s="588"/>
      <c r="P89" s="582"/>
      <c r="Q89" s="589"/>
      <c r="R89" s="587"/>
      <c r="S89" s="584"/>
      <c r="T89" s="584"/>
      <c r="U89" s="588"/>
    </row>
    <row r="90" spans="1:21">
      <c r="A90" s="554"/>
      <c r="B90" s="556"/>
      <c r="C90" s="566"/>
      <c r="D90" s="94"/>
      <c r="E90" s="94"/>
      <c r="F90" s="94"/>
      <c r="G90" s="95"/>
      <c r="H90" s="567"/>
      <c r="I90" s="568"/>
      <c r="J90" s="569"/>
      <c r="K90" s="94"/>
      <c r="L90" s="94"/>
      <c r="M90" s="94"/>
      <c r="N90" s="570"/>
      <c r="O90" s="571"/>
      <c r="P90" s="566"/>
      <c r="Q90" s="572"/>
      <c r="R90" s="569"/>
      <c r="S90" s="570"/>
      <c r="T90" s="570"/>
      <c r="U90" s="571"/>
    </row>
    <row r="91" spans="1:21">
      <c r="A91" s="554"/>
      <c r="B91" s="573"/>
      <c r="C91" s="574"/>
      <c r="D91" s="226"/>
      <c r="E91" s="226"/>
      <c r="F91" s="226"/>
      <c r="G91" s="226"/>
      <c r="H91" s="575"/>
      <c r="I91" s="576"/>
      <c r="J91" s="577"/>
      <c r="K91" s="226"/>
      <c r="L91" s="226"/>
      <c r="M91" s="226"/>
      <c r="N91" s="226"/>
      <c r="O91" s="578"/>
      <c r="P91" s="574"/>
      <c r="Q91" s="579"/>
      <c r="R91" s="577"/>
      <c r="S91" s="226"/>
      <c r="T91" s="226"/>
      <c r="U91" s="578"/>
    </row>
    <row r="92" spans="1:21">
      <c r="A92" s="580"/>
      <c r="B92" s="581"/>
      <c r="C92" s="582"/>
      <c r="D92" s="584"/>
      <c r="E92" s="584"/>
      <c r="F92" s="584"/>
      <c r="G92" s="584"/>
      <c r="H92" s="585"/>
      <c r="I92" s="586"/>
      <c r="J92" s="587"/>
      <c r="K92" s="584"/>
      <c r="L92" s="584"/>
      <c r="M92" s="584"/>
      <c r="N92" s="584"/>
      <c r="O92" s="588"/>
      <c r="P92" s="582"/>
      <c r="Q92" s="589"/>
      <c r="R92" s="587"/>
      <c r="S92" s="584"/>
      <c r="T92" s="584"/>
      <c r="U92" s="588"/>
    </row>
    <row r="93" spans="1:21">
      <c r="A93" s="554"/>
      <c r="B93" s="556"/>
      <c r="C93" s="566"/>
      <c r="D93" s="94"/>
      <c r="E93" s="94"/>
      <c r="F93" s="94"/>
      <c r="G93" s="95"/>
      <c r="H93" s="567"/>
      <c r="I93" s="568"/>
      <c r="J93" s="569"/>
      <c r="K93" s="94"/>
      <c r="L93" s="94"/>
      <c r="M93" s="94"/>
      <c r="N93" s="570"/>
      <c r="O93" s="571"/>
      <c r="P93" s="566"/>
      <c r="Q93" s="572"/>
      <c r="R93" s="569"/>
      <c r="S93" s="570"/>
      <c r="T93" s="570"/>
      <c r="U93" s="571"/>
    </row>
    <row r="94" spans="1:21">
      <c r="A94" s="554"/>
      <c r="B94" s="573"/>
      <c r="C94" s="574"/>
      <c r="D94" s="226"/>
      <c r="E94" s="226"/>
      <c r="F94" s="226"/>
      <c r="G94" s="226"/>
      <c r="H94" s="575"/>
      <c r="I94" s="576"/>
      <c r="J94" s="577"/>
      <c r="K94" s="226"/>
      <c r="L94" s="226"/>
      <c r="M94" s="226"/>
      <c r="N94" s="226"/>
      <c r="O94" s="578"/>
      <c r="P94" s="574"/>
      <c r="Q94" s="579"/>
      <c r="R94" s="577"/>
      <c r="S94" s="226"/>
      <c r="T94" s="226"/>
      <c r="U94" s="578"/>
    </row>
    <row r="95" spans="1:21">
      <c r="A95" s="580"/>
      <c r="B95" s="581"/>
      <c r="C95" s="582"/>
      <c r="D95" s="584"/>
      <c r="E95" s="584"/>
      <c r="F95" s="584"/>
      <c r="G95" s="584"/>
      <c r="H95" s="585"/>
      <c r="I95" s="586"/>
      <c r="J95" s="587"/>
      <c r="K95" s="584"/>
      <c r="L95" s="584"/>
      <c r="M95" s="584"/>
      <c r="N95" s="584"/>
      <c r="O95" s="588"/>
      <c r="P95" s="582"/>
      <c r="Q95" s="589"/>
      <c r="R95" s="587"/>
      <c r="S95" s="584"/>
      <c r="T95" s="584"/>
      <c r="U95" s="588"/>
    </row>
    <row r="96" spans="1:21">
      <c r="A96" s="549"/>
      <c r="B96" s="556"/>
      <c r="C96" s="566"/>
      <c r="D96" s="94"/>
      <c r="E96" s="94"/>
      <c r="F96" s="94"/>
      <c r="G96" s="95"/>
      <c r="H96" s="567"/>
      <c r="I96" s="568"/>
      <c r="J96" s="569"/>
      <c r="K96" s="94"/>
      <c r="L96" s="94"/>
      <c r="M96" s="94"/>
      <c r="N96" s="570"/>
      <c r="O96" s="571"/>
      <c r="P96" s="566"/>
      <c r="Q96" s="572"/>
      <c r="R96" s="569"/>
      <c r="S96" s="570"/>
      <c r="T96" s="570"/>
      <c r="U96" s="571"/>
    </row>
    <row r="97" spans="1:21">
      <c r="A97" s="554"/>
      <c r="B97" s="573"/>
      <c r="C97" s="574"/>
      <c r="D97" s="226"/>
      <c r="E97" s="226"/>
      <c r="F97" s="226"/>
      <c r="G97" s="226"/>
      <c r="H97" s="575"/>
      <c r="I97" s="576"/>
      <c r="J97" s="577"/>
      <c r="K97" s="226"/>
      <c r="L97" s="226"/>
      <c r="M97" s="226"/>
      <c r="N97" s="226"/>
      <c r="O97" s="578"/>
      <c r="P97" s="574"/>
      <c r="Q97" s="579"/>
      <c r="R97" s="577"/>
      <c r="S97" s="226"/>
      <c r="T97" s="226"/>
      <c r="U97" s="578"/>
    </row>
    <row r="98" spans="1:21">
      <c r="A98" s="580"/>
      <c r="B98" s="581"/>
      <c r="C98" s="582"/>
      <c r="D98" s="584"/>
      <c r="E98" s="584"/>
      <c r="F98" s="584"/>
      <c r="G98" s="584"/>
      <c r="H98" s="585"/>
      <c r="I98" s="586"/>
      <c r="J98" s="587"/>
      <c r="K98" s="584"/>
      <c r="L98" s="584"/>
      <c r="M98" s="584"/>
      <c r="N98" s="584"/>
      <c r="O98" s="588"/>
      <c r="P98" s="582"/>
      <c r="Q98" s="589"/>
      <c r="R98" s="587"/>
      <c r="S98" s="584"/>
      <c r="T98" s="584"/>
      <c r="U98" s="588"/>
    </row>
    <row r="99" spans="1:21">
      <c r="A99" s="554"/>
      <c r="B99" s="556"/>
      <c r="C99" s="566"/>
      <c r="D99" s="94"/>
      <c r="E99" s="94"/>
      <c r="F99" s="94"/>
      <c r="G99" s="95"/>
      <c r="H99" s="567"/>
      <c r="I99" s="568"/>
      <c r="J99" s="569"/>
      <c r="K99" s="94"/>
      <c r="L99" s="94"/>
      <c r="M99" s="94"/>
      <c r="N99" s="570"/>
      <c r="O99" s="571"/>
      <c r="P99" s="566"/>
      <c r="Q99" s="572"/>
      <c r="R99" s="569"/>
      <c r="S99" s="570"/>
      <c r="T99" s="570"/>
      <c r="U99" s="571"/>
    </row>
    <row r="100" spans="1:21">
      <c r="A100" s="554"/>
      <c r="B100" s="573"/>
      <c r="C100" s="574"/>
      <c r="D100" s="226"/>
      <c r="E100" s="226"/>
      <c r="F100" s="226"/>
      <c r="G100" s="226"/>
      <c r="H100" s="575"/>
      <c r="I100" s="576"/>
      <c r="J100" s="577"/>
      <c r="K100" s="226"/>
      <c r="L100" s="226"/>
      <c r="M100" s="226"/>
      <c r="N100" s="226"/>
      <c r="O100" s="578"/>
      <c r="P100" s="574"/>
      <c r="Q100" s="579"/>
      <c r="R100" s="577"/>
      <c r="S100" s="226"/>
      <c r="T100" s="226"/>
      <c r="U100" s="578"/>
    </row>
    <row r="101" spans="1:21">
      <c r="A101" s="580"/>
      <c r="B101" s="581"/>
      <c r="C101" s="582"/>
      <c r="D101" s="584"/>
      <c r="E101" s="584"/>
      <c r="F101" s="584"/>
      <c r="G101" s="584"/>
      <c r="H101" s="585"/>
      <c r="I101" s="586"/>
      <c r="J101" s="587"/>
      <c r="K101" s="584"/>
      <c r="L101" s="584"/>
      <c r="M101" s="584"/>
      <c r="N101" s="584"/>
      <c r="O101" s="588"/>
      <c r="P101" s="582"/>
      <c r="Q101" s="589"/>
      <c r="R101" s="587"/>
      <c r="S101" s="584"/>
      <c r="T101" s="584"/>
      <c r="U101" s="588"/>
    </row>
    <row r="102" spans="1:21">
      <c r="A102" s="554"/>
      <c r="B102" s="556"/>
      <c r="C102" s="566"/>
      <c r="D102" s="94"/>
      <c r="E102" s="94"/>
      <c r="F102" s="94"/>
      <c r="G102" s="95"/>
      <c r="H102" s="567"/>
      <c r="I102" s="568"/>
      <c r="J102" s="569"/>
      <c r="K102" s="94"/>
      <c r="L102" s="94"/>
      <c r="M102" s="94"/>
      <c r="N102" s="570"/>
      <c r="O102" s="571"/>
      <c r="P102" s="566"/>
      <c r="Q102" s="572"/>
      <c r="R102" s="569"/>
      <c r="S102" s="570"/>
      <c r="T102" s="570"/>
      <c r="U102" s="571"/>
    </row>
    <row r="103" spans="1:21">
      <c r="A103" s="554"/>
      <c r="B103" s="573"/>
      <c r="C103" s="574"/>
      <c r="D103" s="226"/>
      <c r="E103" s="226"/>
      <c r="F103" s="226"/>
      <c r="G103" s="226"/>
      <c r="H103" s="575"/>
      <c r="I103" s="576"/>
      <c r="J103" s="577"/>
      <c r="K103" s="226"/>
      <c r="L103" s="226"/>
      <c r="M103" s="226"/>
      <c r="N103" s="226"/>
      <c r="O103" s="578"/>
      <c r="P103" s="574"/>
      <c r="Q103" s="579"/>
      <c r="R103" s="577"/>
      <c r="S103" s="226"/>
      <c r="T103" s="226"/>
      <c r="U103" s="578"/>
    </row>
    <row r="104" spans="1:21">
      <c r="A104" s="580"/>
      <c r="B104" s="581"/>
      <c r="C104" s="582"/>
      <c r="D104" s="584"/>
      <c r="E104" s="584"/>
      <c r="F104" s="584"/>
      <c r="G104" s="584"/>
      <c r="H104" s="585"/>
      <c r="I104" s="586"/>
      <c r="J104" s="587"/>
      <c r="K104" s="584"/>
      <c r="L104" s="584"/>
      <c r="M104" s="584"/>
      <c r="N104" s="584"/>
      <c r="O104" s="588"/>
      <c r="P104" s="582"/>
      <c r="Q104" s="589"/>
      <c r="R104" s="587"/>
      <c r="S104" s="584"/>
      <c r="T104" s="584"/>
      <c r="U104" s="588"/>
    </row>
    <row r="105" spans="1:21">
      <c r="A105" s="554"/>
      <c r="B105" s="556"/>
      <c r="C105" s="566"/>
      <c r="D105" s="94"/>
      <c r="E105" s="94"/>
      <c r="F105" s="94"/>
      <c r="G105" s="95"/>
      <c r="H105" s="567"/>
      <c r="I105" s="568"/>
      <c r="J105" s="569"/>
      <c r="K105" s="94"/>
      <c r="L105" s="94"/>
      <c r="M105" s="94"/>
      <c r="N105" s="570"/>
      <c r="O105" s="571"/>
      <c r="P105" s="566"/>
      <c r="Q105" s="572"/>
      <c r="R105" s="569"/>
      <c r="S105" s="570"/>
      <c r="T105" s="570"/>
      <c r="U105" s="571"/>
    </row>
    <row r="106" spans="1:21">
      <c r="A106" s="554"/>
      <c r="B106" s="573"/>
      <c r="C106" s="574"/>
      <c r="D106" s="226"/>
      <c r="E106" s="226"/>
      <c r="F106" s="226"/>
      <c r="G106" s="226"/>
      <c r="H106" s="575"/>
      <c r="I106" s="576"/>
      <c r="J106" s="577"/>
      <c r="K106" s="226"/>
      <c r="L106" s="226"/>
      <c r="M106" s="226"/>
      <c r="N106" s="226"/>
      <c r="O106" s="578"/>
      <c r="P106" s="574"/>
      <c r="Q106" s="579"/>
      <c r="R106" s="577"/>
      <c r="S106" s="226"/>
      <c r="T106" s="226"/>
      <c r="U106" s="578"/>
    </row>
    <row r="107" spans="1:21">
      <c r="A107" s="580"/>
      <c r="B107" s="581"/>
      <c r="C107" s="582"/>
      <c r="D107" s="584"/>
      <c r="E107" s="584"/>
      <c r="F107" s="584"/>
      <c r="G107" s="584"/>
      <c r="H107" s="585"/>
      <c r="I107" s="586"/>
      <c r="J107" s="587"/>
      <c r="K107" s="584"/>
      <c r="L107" s="584"/>
      <c r="M107" s="584"/>
      <c r="N107" s="584"/>
      <c r="O107" s="588"/>
      <c r="P107" s="582"/>
      <c r="Q107" s="589"/>
      <c r="R107" s="587"/>
      <c r="S107" s="584"/>
      <c r="T107" s="584"/>
      <c r="U107" s="588"/>
    </row>
    <row r="108" spans="1:21">
      <c r="A108" s="554"/>
      <c r="B108" s="556"/>
      <c r="C108" s="566"/>
      <c r="D108" s="94"/>
      <c r="E108" s="94"/>
      <c r="F108" s="94"/>
      <c r="G108" s="95"/>
      <c r="H108" s="567"/>
      <c r="I108" s="568"/>
      <c r="J108" s="569"/>
      <c r="K108" s="94"/>
      <c r="L108" s="94"/>
      <c r="M108" s="94"/>
      <c r="N108" s="570"/>
      <c r="O108" s="571"/>
      <c r="P108" s="566"/>
      <c r="Q108" s="572"/>
      <c r="R108" s="569"/>
      <c r="S108" s="570"/>
      <c r="T108" s="570"/>
      <c r="U108" s="571"/>
    </row>
    <row r="109" spans="1:21">
      <c r="A109" s="554"/>
      <c r="B109" s="573"/>
      <c r="C109" s="574"/>
      <c r="D109" s="226"/>
      <c r="E109" s="226"/>
      <c r="F109" s="226"/>
      <c r="G109" s="226"/>
      <c r="H109" s="575"/>
      <c r="I109" s="576"/>
      <c r="J109" s="577"/>
      <c r="K109" s="226"/>
      <c r="L109" s="226"/>
      <c r="M109" s="226"/>
      <c r="N109" s="226"/>
      <c r="O109" s="578"/>
      <c r="P109" s="574"/>
      <c r="Q109" s="579"/>
      <c r="R109" s="577"/>
      <c r="S109" s="226"/>
      <c r="T109" s="226"/>
      <c r="U109" s="578"/>
    </row>
    <row r="110" spans="1:21">
      <c r="A110" s="580"/>
      <c r="B110" s="581"/>
      <c r="C110" s="582"/>
      <c r="D110" s="584"/>
      <c r="E110" s="584"/>
      <c r="F110" s="584"/>
      <c r="G110" s="584"/>
      <c r="H110" s="585"/>
      <c r="I110" s="586"/>
      <c r="J110" s="587"/>
      <c r="K110" s="584"/>
      <c r="L110" s="584"/>
      <c r="M110" s="584"/>
      <c r="N110" s="584"/>
      <c r="O110" s="588"/>
      <c r="P110" s="582"/>
      <c r="Q110" s="589"/>
      <c r="R110" s="587"/>
      <c r="S110" s="584"/>
      <c r="T110" s="584"/>
      <c r="U110" s="588"/>
    </row>
    <row r="111" spans="1:21">
      <c r="A111" s="554"/>
      <c r="B111" s="556"/>
      <c r="C111" s="566"/>
      <c r="D111" s="94"/>
      <c r="E111" s="94"/>
      <c r="F111" s="94"/>
      <c r="G111" s="95"/>
      <c r="H111" s="567"/>
      <c r="I111" s="568"/>
      <c r="J111" s="569"/>
      <c r="K111" s="94"/>
      <c r="L111" s="94"/>
      <c r="M111" s="94"/>
      <c r="N111" s="570"/>
      <c r="O111" s="571"/>
      <c r="P111" s="566"/>
      <c r="Q111" s="572"/>
      <c r="R111" s="569"/>
      <c r="S111" s="570"/>
      <c r="T111" s="570"/>
      <c r="U111" s="571"/>
    </row>
    <row r="112" spans="1:21">
      <c r="A112" s="554"/>
      <c r="B112" s="573"/>
      <c r="C112" s="574"/>
      <c r="D112" s="226"/>
      <c r="E112" s="226"/>
      <c r="F112" s="226"/>
      <c r="G112" s="226"/>
      <c r="H112" s="575"/>
      <c r="I112" s="576"/>
      <c r="J112" s="577"/>
      <c r="K112" s="226"/>
      <c r="L112" s="226"/>
      <c r="M112" s="226"/>
      <c r="N112" s="226"/>
      <c r="O112" s="578"/>
      <c r="P112" s="574"/>
      <c r="Q112" s="579"/>
      <c r="R112" s="577"/>
      <c r="S112" s="226"/>
      <c r="T112" s="226"/>
      <c r="U112" s="578"/>
    </row>
    <row r="113" spans="1:21">
      <c r="A113" s="580"/>
      <c r="B113" s="581"/>
      <c r="C113" s="582"/>
      <c r="D113" s="584"/>
      <c r="E113" s="584"/>
      <c r="F113" s="584"/>
      <c r="G113" s="584"/>
      <c r="H113" s="585"/>
      <c r="I113" s="586"/>
      <c r="J113" s="587"/>
      <c r="K113" s="584"/>
      <c r="L113" s="584"/>
      <c r="M113" s="584"/>
      <c r="N113" s="584"/>
      <c r="O113" s="588"/>
      <c r="P113" s="582"/>
      <c r="Q113" s="589"/>
      <c r="R113" s="587"/>
      <c r="S113" s="584"/>
      <c r="T113" s="584"/>
      <c r="U113" s="588"/>
    </row>
    <row r="114" spans="1:21">
      <c r="A114" s="554"/>
      <c r="B114" s="556"/>
      <c r="C114" s="566"/>
      <c r="D114" s="94"/>
      <c r="E114" s="94"/>
      <c r="F114" s="94"/>
      <c r="G114" s="95"/>
      <c r="H114" s="567"/>
      <c r="I114" s="568"/>
      <c r="J114" s="569"/>
      <c r="K114" s="94"/>
      <c r="L114" s="94"/>
      <c r="M114" s="94"/>
      <c r="N114" s="570"/>
      <c r="O114" s="571"/>
      <c r="P114" s="566"/>
      <c r="Q114" s="572"/>
      <c r="R114" s="569"/>
      <c r="S114" s="570"/>
      <c r="T114" s="570"/>
      <c r="U114" s="571"/>
    </row>
    <row r="115" spans="1:21">
      <c r="A115" s="554"/>
      <c r="B115" s="573"/>
      <c r="C115" s="574"/>
      <c r="D115" s="226"/>
      <c r="E115" s="226"/>
      <c r="F115" s="226"/>
      <c r="G115" s="226"/>
      <c r="H115" s="575"/>
      <c r="I115" s="576"/>
      <c r="J115" s="577"/>
      <c r="K115" s="226"/>
      <c r="L115" s="226"/>
      <c r="M115" s="226"/>
      <c r="N115" s="226"/>
      <c r="O115" s="578"/>
      <c r="P115" s="574"/>
      <c r="Q115" s="579"/>
      <c r="R115" s="577"/>
      <c r="S115" s="226"/>
      <c r="T115" s="226"/>
      <c r="U115" s="578"/>
    </row>
    <row r="116" spans="1:21">
      <c r="A116" s="580"/>
      <c r="B116" s="581"/>
      <c r="C116" s="582"/>
      <c r="D116" s="584"/>
      <c r="E116" s="584"/>
      <c r="F116" s="584"/>
      <c r="G116" s="584"/>
      <c r="H116" s="585"/>
      <c r="I116" s="586"/>
      <c r="J116" s="587"/>
      <c r="K116" s="584"/>
      <c r="L116" s="584"/>
      <c r="M116" s="584"/>
      <c r="N116" s="584"/>
      <c r="O116" s="588"/>
      <c r="P116" s="582"/>
      <c r="Q116" s="589"/>
      <c r="R116" s="587"/>
      <c r="S116" s="584"/>
      <c r="T116" s="584"/>
      <c r="U116" s="588"/>
    </row>
    <row r="117" spans="1:21">
      <c r="A117" s="554"/>
      <c r="B117" s="556"/>
      <c r="C117" s="566"/>
      <c r="D117" s="94"/>
      <c r="E117" s="94"/>
      <c r="F117" s="94"/>
      <c r="G117" s="95"/>
      <c r="H117" s="567"/>
      <c r="I117" s="568"/>
      <c r="J117" s="569"/>
      <c r="K117" s="94"/>
      <c r="L117" s="94"/>
      <c r="M117" s="94"/>
      <c r="N117" s="570"/>
      <c r="O117" s="571"/>
      <c r="P117" s="566"/>
      <c r="Q117" s="572"/>
      <c r="R117" s="569"/>
      <c r="S117" s="570"/>
      <c r="T117" s="570"/>
      <c r="U117" s="571"/>
    </row>
    <row r="118" spans="1:21">
      <c r="A118" s="554"/>
      <c r="B118" s="573"/>
      <c r="C118" s="574"/>
      <c r="D118" s="226"/>
      <c r="E118" s="226"/>
      <c r="F118" s="226"/>
      <c r="G118" s="226"/>
      <c r="H118" s="575"/>
      <c r="I118" s="576"/>
      <c r="J118" s="577"/>
      <c r="K118" s="226"/>
      <c r="L118" s="226"/>
      <c r="M118" s="226"/>
      <c r="N118" s="226"/>
      <c r="O118" s="578"/>
      <c r="P118" s="574"/>
      <c r="Q118" s="579"/>
      <c r="R118" s="577"/>
      <c r="S118" s="226"/>
      <c r="T118" s="226"/>
      <c r="U118" s="578"/>
    </row>
    <row r="119" spans="1:21">
      <c r="A119" s="580"/>
      <c r="B119" s="581"/>
      <c r="C119" s="582"/>
      <c r="D119" s="584"/>
      <c r="E119" s="584"/>
      <c r="F119" s="584"/>
      <c r="G119" s="584"/>
      <c r="H119" s="585"/>
      <c r="I119" s="586"/>
      <c r="J119" s="587"/>
      <c r="K119" s="584"/>
      <c r="L119" s="584"/>
      <c r="M119" s="584"/>
      <c r="N119" s="584"/>
      <c r="O119" s="588"/>
      <c r="P119" s="582"/>
      <c r="Q119" s="589"/>
      <c r="R119" s="587"/>
      <c r="S119" s="584"/>
      <c r="T119" s="584"/>
      <c r="U119" s="588"/>
    </row>
    <row r="120" spans="1:21">
      <c r="A120" s="554"/>
      <c r="B120" s="556"/>
      <c r="C120" s="566"/>
      <c r="D120" s="94"/>
      <c r="E120" s="94"/>
      <c r="F120" s="94"/>
      <c r="G120" s="95"/>
      <c r="H120" s="567"/>
      <c r="I120" s="568"/>
      <c r="J120" s="569"/>
      <c r="K120" s="94"/>
      <c r="L120" s="94"/>
      <c r="M120" s="94"/>
      <c r="N120" s="570"/>
      <c r="O120" s="571"/>
      <c r="P120" s="566"/>
      <c r="Q120" s="572"/>
      <c r="R120" s="569"/>
      <c r="S120" s="570"/>
      <c r="T120" s="570"/>
      <c r="U120" s="571"/>
    </row>
    <row r="121" spans="1:21">
      <c r="A121" s="554"/>
      <c r="B121" s="573"/>
      <c r="C121" s="574"/>
      <c r="D121" s="226"/>
      <c r="E121" s="226"/>
      <c r="F121" s="226"/>
      <c r="G121" s="226"/>
      <c r="H121" s="575"/>
      <c r="I121" s="576"/>
      <c r="J121" s="577"/>
      <c r="K121" s="226"/>
      <c r="L121" s="226"/>
      <c r="M121" s="226"/>
      <c r="N121" s="226"/>
      <c r="O121" s="578"/>
      <c r="P121" s="574"/>
      <c r="Q121" s="579"/>
      <c r="R121" s="577"/>
      <c r="S121" s="226"/>
      <c r="T121" s="226"/>
      <c r="U121" s="578"/>
    </row>
    <row r="122" spans="1:21">
      <c r="A122" s="580"/>
      <c r="B122" s="581"/>
      <c r="C122" s="582"/>
      <c r="D122" s="584"/>
      <c r="E122" s="584"/>
      <c r="F122" s="584"/>
      <c r="G122" s="584"/>
      <c r="H122" s="585"/>
      <c r="I122" s="586"/>
      <c r="J122" s="587"/>
      <c r="K122" s="584"/>
      <c r="L122" s="584"/>
      <c r="M122" s="584"/>
      <c r="N122" s="584"/>
      <c r="O122" s="588"/>
      <c r="P122" s="582"/>
      <c r="Q122" s="589"/>
      <c r="R122" s="587"/>
      <c r="S122" s="584"/>
      <c r="T122" s="584"/>
      <c r="U122" s="588"/>
    </row>
    <row r="123" spans="1:21">
      <c r="A123" s="554"/>
      <c r="B123" s="556"/>
      <c r="C123" s="566"/>
      <c r="D123" s="94"/>
      <c r="E123" s="94"/>
      <c r="F123" s="94"/>
      <c r="G123" s="95"/>
      <c r="H123" s="567"/>
      <c r="I123" s="568"/>
      <c r="J123" s="569"/>
      <c r="K123" s="94"/>
      <c r="L123" s="94"/>
      <c r="M123" s="94"/>
      <c r="N123" s="570"/>
      <c r="O123" s="571"/>
      <c r="P123" s="566"/>
      <c r="Q123" s="572"/>
      <c r="R123" s="569"/>
      <c r="S123" s="570"/>
      <c r="T123" s="570"/>
      <c r="U123" s="571"/>
    </row>
    <row r="124" spans="1:21">
      <c r="A124" s="554"/>
      <c r="B124" s="573"/>
      <c r="C124" s="574"/>
      <c r="D124" s="226"/>
      <c r="E124" s="226"/>
      <c r="F124" s="226"/>
      <c r="G124" s="226"/>
      <c r="H124" s="575"/>
      <c r="I124" s="576"/>
      <c r="J124" s="577"/>
      <c r="K124" s="226"/>
      <c r="L124" s="226"/>
      <c r="M124" s="226"/>
      <c r="N124" s="226"/>
      <c r="O124" s="578"/>
      <c r="P124" s="574"/>
      <c r="Q124" s="579"/>
      <c r="R124" s="577"/>
      <c r="S124" s="226"/>
      <c r="T124" s="226"/>
      <c r="U124" s="578"/>
    </row>
    <row r="125" spans="1:21">
      <c r="A125" s="580"/>
      <c r="B125" s="581"/>
      <c r="C125" s="582"/>
      <c r="D125" s="584"/>
      <c r="E125" s="584"/>
      <c r="F125" s="584"/>
      <c r="G125" s="584"/>
      <c r="H125" s="585"/>
      <c r="I125" s="586"/>
      <c r="J125" s="587"/>
      <c r="K125" s="584"/>
      <c r="L125" s="584"/>
      <c r="M125" s="584"/>
      <c r="N125" s="584"/>
      <c r="O125" s="588"/>
      <c r="P125" s="582"/>
      <c r="Q125" s="589"/>
      <c r="R125" s="587"/>
      <c r="S125" s="584"/>
      <c r="T125" s="584"/>
      <c r="U125" s="588"/>
    </row>
    <row r="126" spans="1:21">
      <c r="A126" s="549"/>
      <c r="B126" s="556"/>
      <c r="C126" s="566"/>
      <c r="D126" s="94"/>
      <c r="E126" s="94"/>
      <c r="F126" s="94"/>
      <c r="G126" s="95"/>
      <c r="H126" s="567"/>
      <c r="I126" s="568"/>
      <c r="J126" s="569"/>
      <c r="K126" s="94"/>
      <c r="L126" s="94"/>
      <c r="M126" s="94"/>
      <c r="N126" s="570"/>
      <c r="O126" s="571"/>
      <c r="P126" s="566"/>
      <c r="Q126" s="572"/>
      <c r="R126" s="569"/>
      <c r="S126" s="570"/>
      <c r="T126" s="570"/>
      <c r="U126" s="571"/>
    </row>
    <row r="127" spans="1:21">
      <c r="A127" s="554"/>
      <c r="B127" s="573"/>
      <c r="C127" s="574"/>
      <c r="D127" s="226"/>
      <c r="E127" s="226"/>
      <c r="F127" s="226"/>
      <c r="G127" s="226"/>
      <c r="H127" s="575"/>
      <c r="I127" s="576"/>
      <c r="J127" s="577"/>
      <c r="K127" s="226"/>
      <c r="L127" s="226"/>
      <c r="M127" s="226"/>
      <c r="N127" s="226"/>
      <c r="O127" s="578"/>
      <c r="P127" s="574"/>
      <c r="Q127" s="579"/>
      <c r="R127" s="577"/>
      <c r="S127" s="226"/>
      <c r="T127" s="226"/>
      <c r="U127" s="578"/>
    </row>
    <row r="128" spans="1:21">
      <c r="A128" s="580"/>
      <c r="B128" s="581"/>
      <c r="C128" s="582"/>
      <c r="D128" s="584"/>
      <c r="E128" s="584"/>
      <c r="F128" s="584"/>
      <c r="G128" s="584"/>
      <c r="H128" s="585"/>
      <c r="I128" s="586"/>
      <c r="J128" s="587"/>
      <c r="K128" s="584"/>
      <c r="L128" s="584"/>
      <c r="M128" s="584"/>
      <c r="N128" s="584"/>
      <c r="O128" s="588"/>
      <c r="P128" s="582"/>
      <c r="Q128" s="589"/>
      <c r="R128" s="587"/>
      <c r="S128" s="584"/>
      <c r="T128" s="584"/>
      <c r="U128" s="588"/>
    </row>
    <row r="129" spans="1:21">
      <c r="A129" s="554"/>
      <c r="B129" s="556"/>
      <c r="C129" s="566"/>
      <c r="D129" s="94"/>
      <c r="E129" s="94"/>
      <c r="F129" s="94"/>
      <c r="G129" s="95"/>
      <c r="H129" s="567"/>
      <c r="I129" s="568"/>
      <c r="J129" s="569"/>
      <c r="K129" s="94"/>
      <c r="L129" s="94"/>
      <c r="M129" s="94"/>
      <c r="N129" s="570"/>
      <c r="O129" s="571"/>
      <c r="P129" s="566"/>
      <c r="Q129" s="572"/>
      <c r="R129" s="569"/>
      <c r="S129" s="570"/>
      <c r="T129" s="570"/>
      <c r="U129" s="571"/>
    </row>
    <row r="130" spans="1:21">
      <c r="A130" s="554"/>
      <c r="B130" s="573"/>
      <c r="C130" s="574"/>
      <c r="D130" s="226"/>
      <c r="E130" s="226"/>
      <c r="F130" s="226"/>
      <c r="G130" s="226"/>
      <c r="H130" s="575"/>
      <c r="I130" s="576"/>
      <c r="J130" s="577"/>
      <c r="K130" s="226"/>
      <c r="L130" s="226"/>
      <c r="M130" s="226"/>
      <c r="N130" s="226"/>
      <c r="O130" s="578"/>
      <c r="P130" s="574"/>
      <c r="Q130" s="579"/>
      <c r="R130" s="577"/>
      <c r="S130" s="226"/>
      <c r="T130" s="226"/>
      <c r="U130" s="578"/>
    </row>
    <row r="131" spans="1:21">
      <c r="A131" s="580"/>
      <c r="B131" s="581"/>
      <c r="C131" s="582"/>
      <c r="D131" s="584"/>
      <c r="E131" s="584"/>
      <c r="F131" s="584"/>
      <c r="G131" s="584"/>
      <c r="H131" s="585"/>
      <c r="I131" s="586"/>
      <c r="J131" s="587"/>
      <c r="K131" s="584"/>
      <c r="L131" s="584"/>
      <c r="M131" s="584"/>
      <c r="N131" s="584"/>
      <c r="O131" s="588"/>
      <c r="P131" s="582"/>
      <c r="Q131" s="589"/>
      <c r="R131" s="587"/>
      <c r="S131" s="584"/>
      <c r="T131" s="584"/>
      <c r="U131" s="588"/>
    </row>
    <row r="132" spans="1:21">
      <c r="A132" s="554"/>
      <c r="B132" s="556"/>
      <c r="C132" s="566"/>
      <c r="D132" s="94"/>
      <c r="E132" s="94"/>
      <c r="F132" s="94"/>
      <c r="G132" s="95"/>
      <c r="H132" s="567"/>
      <c r="I132" s="568"/>
      <c r="J132" s="569"/>
      <c r="K132" s="94"/>
      <c r="L132" s="94"/>
      <c r="M132" s="94"/>
      <c r="N132" s="570"/>
      <c r="O132" s="571"/>
      <c r="P132" s="566"/>
      <c r="Q132" s="572"/>
      <c r="R132" s="569"/>
      <c r="S132" s="570"/>
      <c r="T132" s="570"/>
      <c r="U132" s="571"/>
    </row>
    <row r="133" spans="1:21">
      <c r="A133" s="554"/>
      <c r="B133" s="573"/>
      <c r="C133" s="574"/>
      <c r="D133" s="226"/>
      <c r="E133" s="226"/>
      <c r="F133" s="226"/>
      <c r="G133" s="226"/>
      <c r="H133" s="575"/>
      <c r="I133" s="576"/>
      <c r="J133" s="577"/>
      <c r="K133" s="226"/>
      <c r="L133" s="226"/>
      <c r="M133" s="226"/>
      <c r="N133" s="226"/>
      <c r="O133" s="578"/>
      <c r="P133" s="574"/>
      <c r="Q133" s="579"/>
      <c r="R133" s="577"/>
      <c r="S133" s="226"/>
      <c r="T133" s="226"/>
      <c r="U133" s="578"/>
    </row>
    <row r="134" spans="1:21">
      <c r="A134" s="580"/>
      <c r="B134" s="581"/>
      <c r="C134" s="582"/>
      <c r="D134" s="584"/>
      <c r="E134" s="584"/>
      <c r="F134" s="584"/>
      <c r="G134" s="584"/>
      <c r="H134" s="585"/>
      <c r="I134" s="586"/>
      <c r="J134" s="587"/>
      <c r="K134" s="584"/>
      <c r="L134" s="584"/>
      <c r="M134" s="584"/>
      <c r="N134" s="584"/>
      <c r="O134" s="588"/>
      <c r="P134" s="582"/>
      <c r="Q134" s="589"/>
      <c r="R134" s="587"/>
      <c r="S134" s="584"/>
      <c r="T134" s="584"/>
      <c r="U134" s="588"/>
    </row>
    <row r="135" spans="1:21">
      <c r="A135" s="554"/>
      <c r="B135" s="556"/>
      <c r="C135" s="566"/>
      <c r="D135" s="94"/>
      <c r="E135" s="94"/>
      <c r="F135" s="94"/>
      <c r="G135" s="95"/>
      <c r="H135" s="567"/>
      <c r="I135" s="568"/>
      <c r="J135" s="569"/>
      <c r="K135" s="94"/>
      <c r="L135" s="94"/>
      <c r="M135" s="94"/>
      <c r="N135" s="570"/>
      <c r="O135" s="571"/>
      <c r="P135" s="566"/>
      <c r="Q135" s="572"/>
      <c r="R135" s="569"/>
      <c r="S135" s="570"/>
      <c r="T135" s="570"/>
      <c r="U135" s="571"/>
    </row>
    <row r="136" spans="1:21">
      <c r="A136" s="554"/>
      <c r="B136" s="573"/>
      <c r="C136" s="574"/>
      <c r="D136" s="226"/>
      <c r="E136" s="226"/>
      <c r="F136" s="226"/>
      <c r="G136" s="226"/>
      <c r="H136" s="575"/>
      <c r="I136" s="576"/>
      <c r="J136" s="577"/>
      <c r="K136" s="226"/>
      <c r="L136" s="226"/>
      <c r="M136" s="226"/>
      <c r="N136" s="226"/>
      <c r="O136" s="578"/>
      <c r="P136" s="574"/>
      <c r="Q136" s="579"/>
      <c r="R136" s="577"/>
      <c r="S136" s="226"/>
      <c r="T136" s="226"/>
      <c r="U136" s="578"/>
    </row>
    <row r="137" spans="1:21">
      <c r="A137" s="580"/>
      <c r="B137" s="581"/>
      <c r="C137" s="582"/>
      <c r="D137" s="584"/>
      <c r="E137" s="584"/>
      <c r="F137" s="584"/>
      <c r="G137" s="584"/>
      <c r="H137" s="585"/>
      <c r="I137" s="586"/>
      <c r="J137" s="587"/>
      <c r="K137" s="584"/>
      <c r="L137" s="584"/>
      <c r="M137" s="584"/>
      <c r="N137" s="584"/>
      <c r="O137" s="588"/>
      <c r="P137" s="582"/>
      <c r="Q137" s="589"/>
      <c r="R137" s="587"/>
      <c r="S137" s="584"/>
      <c r="T137" s="584"/>
      <c r="U137" s="588"/>
    </row>
    <row r="138" spans="1:21">
      <c r="A138" s="554"/>
      <c r="B138" s="556"/>
      <c r="C138" s="566"/>
      <c r="D138" s="94"/>
      <c r="E138" s="94"/>
      <c r="F138" s="94"/>
      <c r="G138" s="95"/>
      <c r="H138" s="567"/>
      <c r="I138" s="568"/>
      <c r="J138" s="569"/>
      <c r="K138" s="94"/>
      <c r="L138" s="94"/>
      <c r="M138" s="94"/>
      <c r="N138" s="570"/>
      <c r="O138" s="571"/>
      <c r="P138" s="566"/>
      <c r="Q138" s="572"/>
      <c r="R138" s="569"/>
      <c r="S138" s="570"/>
      <c r="T138" s="570"/>
      <c r="U138" s="571"/>
    </row>
    <row r="139" spans="1:21">
      <c r="A139" s="554"/>
      <c r="B139" s="573"/>
      <c r="C139" s="574"/>
      <c r="D139" s="226"/>
      <c r="E139" s="226"/>
      <c r="F139" s="226"/>
      <c r="G139" s="226"/>
      <c r="H139" s="575"/>
      <c r="I139" s="576"/>
      <c r="J139" s="577"/>
      <c r="K139" s="226"/>
      <c r="L139" s="226"/>
      <c r="M139" s="226"/>
      <c r="N139" s="226"/>
      <c r="O139" s="578"/>
      <c r="P139" s="574"/>
      <c r="Q139" s="579"/>
      <c r="R139" s="577"/>
      <c r="S139" s="226"/>
      <c r="T139" s="226"/>
      <c r="U139" s="578"/>
    </row>
    <row r="140" spans="1:21">
      <c r="A140" s="580"/>
      <c r="B140" s="581"/>
      <c r="C140" s="582"/>
      <c r="D140" s="584"/>
      <c r="E140" s="584"/>
      <c r="F140" s="584"/>
      <c r="G140" s="584"/>
      <c r="H140" s="585"/>
      <c r="I140" s="586"/>
      <c r="J140" s="587"/>
      <c r="K140" s="584"/>
      <c r="L140" s="584"/>
      <c r="M140" s="584"/>
      <c r="N140" s="584"/>
      <c r="O140" s="588"/>
      <c r="P140" s="582"/>
      <c r="Q140" s="589"/>
      <c r="R140" s="587"/>
      <c r="S140" s="584"/>
      <c r="T140" s="584"/>
      <c r="U140" s="588"/>
    </row>
    <row r="141" spans="1:21">
      <c r="A141" s="554"/>
      <c r="B141" s="556"/>
      <c r="C141" s="566"/>
      <c r="D141" s="94"/>
      <c r="E141" s="94"/>
      <c r="F141" s="94"/>
      <c r="G141" s="95"/>
      <c r="H141" s="567"/>
      <c r="I141" s="568"/>
      <c r="J141" s="569"/>
      <c r="K141" s="94"/>
      <c r="L141" s="94"/>
      <c r="M141" s="94"/>
      <c r="N141" s="570"/>
      <c r="O141" s="571"/>
      <c r="P141" s="566"/>
      <c r="Q141" s="572"/>
      <c r="R141" s="569"/>
      <c r="S141" s="570"/>
      <c r="T141" s="570"/>
      <c r="U141" s="571"/>
    </row>
    <row r="142" spans="1:21">
      <c r="A142" s="554"/>
      <c r="B142" s="573"/>
      <c r="C142" s="574"/>
      <c r="D142" s="226"/>
      <c r="E142" s="226"/>
      <c r="F142" s="226"/>
      <c r="G142" s="226"/>
      <c r="H142" s="575"/>
      <c r="I142" s="576"/>
      <c r="J142" s="577"/>
      <c r="K142" s="226"/>
      <c r="L142" s="226"/>
      <c r="M142" s="226"/>
      <c r="N142" s="226"/>
      <c r="O142" s="578"/>
      <c r="P142" s="574"/>
      <c r="Q142" s="579"/>
      <c r="R142" s="577"/>
      <c r="S142" s="226"/>
      <c r="T142" s="226"/>
      <c r="U142" s="578"/>
    </row>
    <row r="143" spans="1:21">
      <c r="A143" s="580"/>
      <c r="B143" s="581"/>
      <c r="C143" s="582"/>
      <c r="D143" s="584"/>
      <c r="E143" s="584"/>
      <c r="F143" s="584"/>
      <c r="G143" s="584"/>
      <c r="H143" s="585"/>
      <c r="I143" s="586"/>
      <c r="J143" s="587"/>
      <c r="K143" s="584"/>
      <c r="L143" s="584"/>
      <c r="M143" s="584"/>
      <c r="N143" s="584"/>
      <c r="O143" s="588"/>
      <c r="P143" s="582"/>
      <c r="Q143" s="589"/>
      <c r="R143" s="587"/>
      <c r="S143" s="584"/>
      <c r="T143" s="584"/>
      <c r="U143" s="588"/>
    </row>
    <row r="144" spans="1:21">
      <c r="A144" s="554"/>
      <c r="B144" s="556"/>
      <c r="C144" s="566"/>
      <c r="D144" s="94"/>
      <c r="E144" s="94"/>
      <c r="F144" s="94"/>
      <c r="G144" s="95"/>
      <c r="H144" s="567"/>
      <c r="I144" s="568"/>
      <c r="J144" s="569"/>
      <c r="K144" s="94"/>
      <c r="L144" s="94"/>
      <c r="M144" s="94"/>
      <c r="N144" s="570"/>
      <c r="O144" s="571"/>
      <c r="P144" s="566"/>
      <c r="Q144" s="572"/>
      <c r="R144" s="569"/>
      <c r="S144" s="570"/>
      <c r="T144" s="570"/>
      <c r="U144" s="571"/>
    </row>
    <row r="145" spans="1:21">
      <c r="A145" s="554"/>
      <c r="B145" s="573"/>
      <c r="C145" s="574"/>
      <c r="D145" s="226"/>
      <c r="E145" s="226"/>
      <c r="F145" s="226"/>
      <c r="G145" s="226"/>
      <c r="H145" s="575"/>
      <c r="I145" s="576"/>
      <c r="J145" s="577"/>
      <c r="K145" s="226"/>
      <c r="L145" s="226"/>
      <c r="M145" s="226"/>
      <c r="N145" s="226"/>
      <c r="O145" s="578"/>
      <c r="P145" s="574"/>
      <c r="Q145" s="579"/>
      <c r="R145" s="577"/>
      <c r="S145" s="226"/>
      <c r="T145" s="226"/>
      <c r="U145" s="578"/>
    </row>
    <row r="146" spans="1:21">
      <c r="A146" s="580"/>
      <c r="B146" s="581"/>
      <c r="C146" s="582"/>
      <c r="D146" s="584"/>
      <c r="E146" s="584"/>
      <c r="F146" s="584"/>
      <c r="G146" s="584"/>
      <c r="H146" s="585"/>
      <c r="I146" s="586"/>
      <c r="J146" s="587"/>
      <c r="K146" s="584"/>
      <c r="L146" s="584"/>
      <c r="M146" s="584"/>
      <c r="N146" s="584"/>
      <c r="O146" s="588"/>
      <c r="P146" s="582"/>
      <c r="Q146" s="589"/>
      <c r="R146" s="587"/>
      <c r="S146" s="584"/>
      <c r="T146" s="584"/>
      <c r="U146" s="588"/>
    </row>
    <row r="147" spans="1:21">
      <c r="A147" s="554"/>
      <c r="B147" s="556"/>
      <c r="C147" s="566"/>
      <c r="D147" s="94"/>
      <c r="E147" s="94"/>
      <c r="F147" s="94"/>
      <c r="G147" s="95"/>
      <c r="H147" s="567"/>
      <c r="I147" s="568"/>
      <c r="J147" s="569"/>
      <c r="K147" s="94"/>
      <c r="L147" s="94"/>
      <c r="M147" s="94"/>
      <c r="N147" s="570"/>
      <c r="O147" s="571"/>
      <c r="P147" s="566"/>
      <c r="Q147" s="572"/>
      <c r="R147" s="569"/>
      <c r="S147" s="570"/>
      <c r="T147" s="570"/>
      <c r="U147" s="571"/>
    </row>
    <row r="148" spans="1:21">
      <c r="A148" s="554"/>
      <c r="B148" s="573"/>
      <c r="C148" s="574"/>
      <c r="D148" s="226"/>
      <c r="E148" s="226"/>
      <c r="F148" s="226"/>
      <c r="G148" s="226"/>
      <c r="H148" s="575"/>
      <c r="I148" s="576"/>
      <c r="J148" s="577"/>
      <c r="K148" s="226"/>
      <c r="L148" s="226"/>
      <c r="M148" s="226"/>
      <c r="N148" s="226"/>
      <c r="O148" s="578"/>
      <c r="P148" s="574"/>
      <c r="Q148" s="579"/>
      <c r="R148" s="577"/>
      <c r="S148" s="226"/>
      <c r="T148" s="226"/>
      <c r="U148" s="578"/>
    </row>
    <row r="149" spans="1:21">
      <c r="A149" s="580"/>
      <c r="B149" s="581"/>
      <c r="C149" s="582"/>
      <c r="D149" s="584"/>
      <c r="E149" s="584"/>
      <c r="F149" s="584"/>
      <c r="G149" s="584"/>
      <c r="H149" s="585"/>
      <c r="I149" s="586"/>
      <c r="J149" s="587"/>
      <c r="K149" s="584"/>
      <c r="L149" s="584"/>
      <c r="M149" s="584"/>
      <c r="N149" s="584"/>
      <c r="O149" s="588"/>
      <c r="P149" s="582"/>
      <c r="Q149" s="589"/>
      <c r="R149" s="587"/>
      <c r="S149" s="584"/>
      <c r="T149" s="584"/>
      <c r="U149" s="588"/>
    </row>
    <row r="150" spans="1:21">
      <c r="A150" s="554"/>
      <c r="B150" s="556"/>
      <c r="C150" s="566"/>
      <c r="D150" s="94"/>
      <c r="E150" s="94"/>
      <c r="F150" s="94"/>
      <c r="G150" s="95"/>
      <c r="H150" s="567"/>
      <c r="I150" s="568"/>
      <c r="J150" s="569"/>
      <c r="K150" s="94"/>
      <c r="L150" s="94"/>
      <c r="M150" s="94"/>
      <c r="N150" s="570"/>
      <c r="O150" s="571"/>
      <c r="P150" s="566"/>
      <c r="Q150" s="572"/>
      <c r="R150" s="569"/>
      <c r="S150" s="570"/>
      <c r="T150" s="570"/>
      <c r="U150" s="571"/>
    </row>
    <row r="151" spans="1:21">
      <c r="A151" s="554"/>
      <c r="B151" s="573"/>
      <c r="C151" s="574"/>
      <c r="D151" s="226"/>
      <c r="E151" s="226"/>
      <c r="F151" s="226"/>
      <c r="G151" s="226"/>
      <c r="H151" s="575"/>
      <c r="I151" s="576"/>
      <c r="J151" s="577"/>
      <c r="K151" s="226"/>
      <c r="L151" s="226"/>
      <c r="M151" s="226"/>
      <c r="N151" s="226"/>
      <c r="O151" s="578"/>
      <c r="P151" s="574"/>
      <c r="Q151" s="579"/>
      <c r="R151" s="577"/>
      <c r="S151" s="226"/>
      <c r="T151" s="226"/>
      <c r="U151" s="578"/>
    </row>
    <row r="152" spans="1:21">
      <c r="A152" s="580"/>
      <c r="B152" s="581"/>
      <c r="C152" s="582"/>
      <c r="D152" s="584"/>
      <c r="E152" s="584"/>
      <c r="F152" s="584"/>
      <c r="G152" s="584"/>
      <c r="H152" s="585"/>
      <c r="I152" s="586"/>
      <c r="J152" s="587"/>
      <c r="K152" s="584"/>
      <c r="L152" s="584"/>
      <c r="M152" s="584"/>
      <c r="N152" s="584"/>
      <c r="O152" s="588"/>
      <c r="P152" s="582"/>
      <c r="Q152" s="589"/>
      <c r="R152" s="587"/>
      <c r="S152" s="584"/>
      <c r="T152" s="584"/>
      <c r="U152" s="588"/>
    </row>
    <row r="153" spans="1:21">
      <c r="A153" s="554"/>
      <c r="B153" s="556"/>
      <c r="C153" s="566"/>
      <c r="D153" s="94"/>
      <c r="E153" s="94"/>
      <c r="F153" s="94"/>
      <c r="G153" s="95"/>
      <c r="H153" s="567"/>
      <c r="I153" s="568"/>
      <c r="J153" s="569"/>
      <c r="K153" s="94"/>
      <c r="L153" s="94"/>
      <c r="M153" s="94"/>
      <c r="N153" s="570"/>
      <c r="O153" s="571"/>
      <c r="P153" s="566"/>
      <c r="Q153" s="572"/>
      <c r="R153" s="569"/>
      <c r="S153" s="570"/>
      <c r="T153" s="570"/>
      <c r="U153" s="571"/>
    </row>
    <row r="154" spans="1:21">
      <c r="A154" s="554"/>
      <c r="B154" s="573"/>
      <c r="C154" s="574"/>
      <c r="D154" s="226"/>
      <c r="E154" s="226"/>
      <c r="F154" s="226"/>
      <c r="G154" s="226"/>
      <c r="H154" s="575"/>
      <c r="I154" s="576"/>
      <c r="J154" s="577"/>
      <c r="K154" s="226"/>
      <c r="L154" s="226"/>
      <c r="M154" s="226"/>
      <c r="N154" s="226"/>
      <c r="O154" s="578"/>
      <c r="P154" s="574"/>
      <c r="Q154" s="579"/>
      <c r="R154" s="577"/>
      <c r="S154" s="226"/>
      <c r="T154" s="226"/>
      <c r="U154" s="578"/>
    </row>
    <row r="155" spans="1:21">
      <c r="A155" s="580"/>
      <c r="B155" s="581"/>
      <c r="C155" s="582"/>
      <c r="D155" s="584"/>
      <c r="E155" s="584"/>
      <c r="F155" s="584"/>
      <c r="G155" s="584"/>
      <c r="H155" s="585"/>
      <c r="I155" s="586"/>
      <c r="J155" s="587"/>
      <c r="K155" s="584"/>
      <c r="L155" s="584"/>
      <c r="M155" s="584"/>
      <c r="N155" s="584"/>
      <c r="O155" s="588"/>
      <c r="P155" s="582"/>
      <c r="Q155" s="589"/>
      <c r="R155" s="587"/>
      <c r="S155" s="584"/>
      <c r="T155" s="584"/>
      <c r="U155" s="588"/>
    </row>
    <row r="156" spans="1:21">
      <c r="A156" s="549"/>
      <c r="B156" s="556"/>
      <c r="C156" s="566"/>
      <c r="D156" s="94"/>
      <c r="E156" s="94"/>
      <c r="F156" s="94"/>
      <c r="G156" s="95"/>
      <c r="H156" s="567"/>
      <c r="I156" s="568"/>
      <c r="J156" s="569"/>
      <c r="K156" s="94"/>
      <c r="L156" s="94"/>
      <c r="M156" s="94"/>
      <c r="N156" s="570"/>
      <c r="O156" s="571"/>
      <c r="P156" s="566"/>
      <c r="Q156" s="572"/>
      <c r="R156" s="569"/>
      <c r="S156" s="570"/>
      <c r="T156" s="570"/>
      <c r="U156" s="571"/>
    </row>
    <row r="157" spans="1:21">
      <c r="A157" s="554"/>
      <c r="B157" s="573"/>
      <c r="C157" s="574"/>
      <c r="D157" s="226"/>
      <c r="E157" s="226"/>
      <c r="F157" s="226"/>
      <c r="G157" s="226"/>
      <c r="H157" s="575"/>
      <c r="I157" s="576"/>
      <c r="J157" s="577"/>
      <c r="K157" s="226"/>
      <c r="L157" s="226"/>
      <c r="M157" s="226"/>
      <c r="N157" s="226"/>
      <c r="O157" s="578"/>
      <c r="P157" s="574"/>
      <c r="Q157" s="579"/>
      <c r="R157" s="577"/>
      <c r="S157" s="226"/>
      <c r="T157" s="226"/>
      <c r="U157" s="578"/>
    </row>
    <row r="158" spans="1:21">
      <c r="A158" s="580"/>
      <c r="B158" s="581"/>
      <c r="C158" s="582"/>
      <c r="D158" s="584"/>
      <c r="E158" s="584"/>
      <c r="F158" s="584"/>
      <c r="G158" s="584"/>
      <c r="H158" s="585"/>
      <c r="I158" s="586"/>
      <c r="J158" s="587"/>
      <c r="K158" s="584"/>
      <c r="L158" s="584"/>
      <c r="M158" s="584"/>
      <c r="N158" s="584"/>
      <c r="O158" s="588"/>
      <c r="P158" s="582"/>
      <c r="Q158" s="589"/>
      <c r="R158" s="587"/>
      <c r="S158" s="584"/>
      <c r="T158" s="584"/>
      <c r="U158" s="588"/>
    </row>
    <row r="159" spans="1:21">
      <c r="A159" s="554"/>
      <c r="B159" s="556"/>
      <c r="C159" s="566"/>
      <c r="D159" s="94"/>
      <c r="E159" s="94"/>
      <c r="F159" s="94"/>
      <c r="G159" s="95"/>
      <c r="H159" s="567"/>
      <c r="I159" s="568"/>
      <c r="J159" s="569"/>
      <c r="K159" s="94"/>
      <c r="L159" s="94"/>
      <c r="M159" s="94"/>
      <c r="N159" s="570"/>
      <c r="O159" s="571"/>
      <c r="P159" s="566"/>
      <c r="Q159" s="572"/>
      <c r="R159" s="569"/>
      <c r="S159" s="570"/>
      <c r="T159" s="570"/>
      <c r="U159" s="571"/>
    </row>
    <row r="160" spans="1:21">
      <c r="A160" s="554"/>
      <c r="B160" s="573"/>
      <c r="C160" s="574"/>
      <c r="D160" s="226"/>
      <c r="E160" s="226"/>
      <c r="F160" s="226"/>
      <c r="G160" s="226"/>
      <c r="H160" s="575"/>
      <c r="I160" s="576"/>
      <c r="J160" s="577"/>
      <c r="K160" s="226"/>
      <c r="L160" s="226"/>
      <c r="M160" s="226"/>
      <c r="N160" s="226"/>
      <c r="O160" s="578"/>
      <c r="P160" s="574"/>
      <c r="Q160" s="579"/>
      <c r="R160" s="577"/>
      <c r="S160" s="226"/>
      <c r="T160" s="226"/>
      <c r="U160" s="578"/>
    </row>
    <row r="161" spans="1:21">
      <c r="A161" s="580"/>
      <c r="B161" s="581"/>
      <c r="C161" s="582"/>
      <c r="D161" s="584"/>
      <c r="E161" s="584"/>
      <c r="F161" s="584"/>
      <c r="G161" s="584"/>
      <c r="H161" s="585"/>
      <c r="I161" s="586"/>
      <c r="J161" s="587"/>
      <c r="K161" s="584"/>
      <c r="L161" s="584"/>
      <c r="M161" s="584"/>
      <c r="N161" s="584"/>
      <c r="O161" s="588"/>
      <c r="P161" s="582"/>
      <c r="Q161" s="589"/>
      <c r="R161" s="587"/>
      <c r="S161" s="584"/>
      <c r="T161" s="584"/>
      <c r="U161" s="588"/>
    </row>
    <row r="162" spans="1:21">
      <c r="A162" s="554"/>
      <c r="B162" s="556"/>
      <c r="C162" s="566"/>
      <c r="D162" s="94"/>
      <c r="E162" s="94"/>
      <c r="F162" s="94"/>
      <c r="G162" s="95"/>
      <c r="H162" s="567"/>
      <c r="I162" s="568"/>
      <c r="J162" s="569"/>
      <c r="K162" s="94"/>
      <c r="L162" s="94"/>
      <c r="M162" s="94"/>
      <c r="N162" s="570"/>
      <c r="O162" s="571"/>
      <c r="P162" s="566"/>
      <c r="Q162" s="572"/>
      <c r="R162" s="569"/>
      <c r="S162" s="570"/>
      <c r="T162" s="570"/>
      <c r="U162" s="571"/>
    </row>
    <row r="163" spans="1:21">
      <c r="A163" s="554"/>
      <c r="B163" s="573"/>
      <c r="C163" s="574"/>
      <c r="D163" s="226"/>
      <c r="E163" s="226"/>
      <c r="F163" s="226"/>
      <c r="G163" s="226"/>
      <c r="H163" s="575"/>
      <c r="I163" s="576"/>
      <c r="J163" s="577"/>
      <c r="K163" s="226"/>
      <c r="L163" s="226"/>
      <c r="M163" s="226"/>
      <c r="N163" s="226"/>
      <c r="O163" s="578"/>
      <c r="P163" s="574"/>
      <c r="Q163" s="579"/>
      <c r="R163" s="577"/>
      <c r="S163" s="226"/>
      <c r="T163" s="226"/>
      <c r="U163" s="578"/>
    </row>
    <row r="164" spans="1:21">
      <c r="A164" s="580"/>
      <c r="B164" s="581"/>
      <c r="C164" s="582"/>
      <c r="D164" s="584"/>
      <c r="E164" s="584"/>
      <c r="F164" s="584"/>
      <c r="G164" s="584"/>
      <c r="H164" s="585"/>
      <c r="I164" s="586"/>
      <c r="J164" s="587"/>
      <c r="K164" s="584"/>
      <c r="L164" s="584"/>
      <c r="M164" s="584"/>
      <c r="N164" s="584"/>
      <c r="O164" s="588"/>
      <c r="P164" s="582"/>
      <c r="Q164" s="589"/>
      <c r="R164" s="587"/>
      <c r="S164" s="584"/>
      <c r="T164" s="584"/>
      <c r="U164" s="588"/>
    </row>
    <row r="165" spans="1:21">
      <c r="A165" s="554"/>
      <c r="B165" s="556"/>
      <c r="C165" s="566"/>
      <c r="D165" s="94"/>
      <c r="E165" s="94"/>
      <c r="F165" s="94"/>
      <c r="G165" s="95"/>
      <c r="H165" s="567"/>
      <c r="I165" s="568"/>
      <c r="J165" s="569"/>
      <c r="K165" s="94"/>
      <c r="L165" s="94"/>
      <c r="M165" s="94"/>
      <c r="N165" s="570"/>
      <c r="O165" s="571"/>
      <c r="P165" s="566"/>
      <c r="Q165" s="572"/>
      <c r="R165" s="569"/>
      <c r="S165" s="570"/>
      <c r="T165" s="570"/>
      <c r="U165" s="571"/>
    </row>
    <row r="166" spans="1:21">
      <c r="A166" s="554"/>
      <c r="B166" s="573"/>
      <c r="C166" s="574"/>
      <c r="D166" s="226"/>
      <c r="E166" s="226"/>
      <c r="F166" s="226"/>
      <c r="G166" s="226"/>
      <c r="H166" s="575"/>
      <c r="I166" s="576"/>
      <c r="J166" s="577"/>
      <c r="K166" s="226"/>
      <c r="L166" s="226"/>
      <c r="M166" s="226"/>
      <c r="N166" s="226"/>
      <c r="O166" s="578"/>
      <c r="P166" s="574"/>
      <c r="Q166" s="579"/>
      <c r="R166" s="577"/>
      <c r="S166" s="226"/>
      <c r="T166" s="226"/>
      <c r="U166" s="578"/>
    </row>
    <row r="167" spans="1:21">
      <c r="A167" s="580"/>
      <c r="B167" s="581"/>
      <c r="C167" s="582"/>
      <c r="D167" s="584"/>
      <c r="E167" s="584"/>
      <c r="F167" s="584"/>
      <c r="G167" s="584"/>
      <c r="H167" s="585"/>
      <c r="I167" s="586"/>
      <c r="J167" s="587"/>
      <c r="K167" s="584"/>
      <c r="L167" s="584"/>
      <c r="M167" s="584"/>
      <c r="N167" s="584"/>
      <c r="O167" s="588"/>
      <c r="P167" s="582"/>
      <c r="Q167" s="589"/>
      <c r="R167" s="587"/>
      <c r="S167" s="584"/>
      <c r="T167" s="584"/>
      <c r="U167" s="588"/>
    </row>
    <row r="168" spans="1:21">
      <c r="A168" s="554"/>
      <c r="B168" s="556"/>
      <c r="C168" s="566"/>
      <c r="D168" s="94"/>
      <c r="E168" s="94"/>
      <c r="F168" s="94"/>
      <c r="G168" s="95"/>
      <c r="H168" s="567"/>
      <c r="I168" s="568"/>
      <c r="J168" s="569"/>
      <c r="K168" s="94"/>
      <c r="L168" s="94"/>
      <c r="M168" s="94"/>
      <c r="N168" s="570"/>
      <c r="O168" s="571"/>
      <c r="P168" s="566"/>
      <c r="Q168" s="572"/>
      <c r="R168" s="569"/>
      <c r="S168" s="570"/>
      <c r="T168" s="570"/>
      <c r="U168" s="571"/>
    </row>
    <row r="169" spans="1:21">
      <c r="A169" s="554"/>
      <c r="B169" s="573"/>
      <c r="C169" s="574"/>
      <c r="D169" s="226"/>
      <c r="E169" s="226"/>
      <c r="F169" s="226"/>
      <c r="G169" s="226"/>
      <c r="H169" s="575"/>
      <c r="I169" s="576"/>
      <c r="J169" s="577"/>
      <c r="K169" s="226"/>
      <c r="L169" s="226"/>
      <c r="M169" s="226"/>
      <c r="N169" s="226"/>
      <c r="O169" s="578"/>
      <c r="P169" s="574"/>
      <c r="Q169" s="579"/>
      <c r="R169" s="577"/>
      <c r="S169" s="226"/>
      <c r="T169" s="226"/>
      <c r="U169" s="578"/>
    </row>
    <row r="170" spans="1:21">
      <c r="A170" s="580"/>
      <c r="B170" s="581"/>
      <c r="C170" s="582"/>
      <c r="D170" s="584"/>
      <c r="E170" s="584"/>
      <c r="F170" s="584"/>
      <c r="G170" s="584"/>
      <c r="H170" s="585"/>
      <c r="I170" s="586"/>
      <c r="J170" s="587"/>
      <c r="K170" s="584"/>
      <c r="L170" s="584"/>
      <c r="M170" s="584"/>
      <c r="N170" s="584"/>
      <c r="O170" s="588"/>
      <c r="P170" s="582"/>
      <c r="Q170" s="589"/>
      <c r="R170" s="587"/>
      <c r="S170" s="584"/>
      <c r="T170" s="584"/>
      <c r="U170" s="588"/>
    </row>
    <row r="171" spans="1:21">
      <c r="A171" s="554"/>
      <c r="B171" s="556"/>
      <c r="C171" s="566"/>
      <c r="D171" s="94"/>
      <c r="E171" s="94"/>
      <c r="F171" s="94"/>
      <c r="G171" s="95"/>
      <c r="H171" s="567"/>
      <c r="I171" s="568"/>
      <c r="J171" s="569"/>
      <c r="K171" s="94"/>
      <c r="L171" s="94"/>
      <c r="M171" s="94"/>
      <c r="N171" s="570"/>
      <c r="O171" s="571"/>
      <c r="P171" s="566"/>
      <c r="Q171" s="572"/>
      <c r="R171" s="569"/>
      <c r="S171" s="570"/>
      <c r="T171" s="570"/>
      <c r="U171" s="571"/>
    </row>
    <row r="172" spans="1:21">
      <c r="A172" s="554"/>
      <c r="B172" s="573"/>
      <c r="C172" s="574"/>
      <c r="D172" s="226"/>
      <c r="E172" s="226"/>
      <c r="F172" s="226"/>
      <c r="G172" s="226"/>
      <c r="H172" s="575"/>
      <c r="I172" s="576"/>
      <c r="J172" s="577"/>
      <c r="K172" s="226"/>
      <c r="L172" s="226"/>
      <c r="M172" s="226"/>
      <c r="N172" s="226"/>
      <c r="O172" s="578"/>
      <c r="P172" s="574"/>
      <c r="Q172" s="579"/>
      <c r="R172" s="577"/>
      <c r="S172" s="226"/>
      <c r="T172" s="226"/>
      <c r="U172" s="578"/>
    </row>
    <row r="173" spans="1:21">
      <c r="A173" s="580"/>
      <c r="B173" s="581"/>
      <c r="C173" s="582"/>
      <c r="D173" s="584"/>
      <c r="E173" s="584"/>
      <c r="F173" s="584"/>
      <c r="G173" s="584"/>
      <c r="H173" s="585"/>
      <c r="I173" s="586"/>
      <c r="J173" s="587"/>
      <c r="K173" s="584"/>
      <c r="L173" s="584"/>
      <c r="M173" s="584"/>
      <c r="N173" s="584"/>
      <c r="O173" s="588"/>
      <c r="P173" s="582"/>
      <c r="Q173" s="589"/>
      <c r="R173" s="587"/>
      <c r="S173" s="584"/>
      <c r="T173" s="584"/>
      <c r="U173" s="588"/>
    </row>
    <row r="174" spans="1:21">
      <c r="A174" s="554"/>
      <c r="B174" s="556"/>
      <c r="C174" s="566"/>
      <c r="D174" s="94"/>
      <c r="E174" s="94"/>
      <c r="F174" s="94"/>
      <c r="G174" s="95"/>
      <c r="H174" s="567"/>
      <c r="I174" s="568"/>
      <c r="J174" s="569"/>
      <c r="K174" s="94"/>
      <c r="L174" s="94"/>
      <c r="M174" s="94"/>
      <c r="N174" s="570"/>
      <c r="O174" s="571"/>
      <c r="P174" s="566"/>
      <c r="Q174" s="572"/>
      <c r="R174" s="569"/>
      <c r="S174" s="570"/>
      <c r="T174" s="570"/>
      <c r="U174" s="571"/>
    </row>
    <row r="175" spans="1:21">
      <c r="A175" s="554"/>
      <c r="B175" s="573"/>
      <c r="C175" s="574"/>
      <c r="D175" s="226"/>
      <c r="E175" s="226"/>
      <c r="F175" s="226"/>
      <c r="G175" s="226"/>
      <c r="H175" s="575"/>
      <c r="I175" s="576"/>
      <c r="J175" s="577"/>
      <c r="K175" s="226"/>
      <c r="L175" s="226"/>
      <c r="M175" s="226"/>
      <c r="N175" s="226"/>
      <c r="O175" s="578"/>
      <c r="P175" s="574"/>
      <c r="Q175" s="579"/>
      <c r="R175" s="577"/>
      <c r="S175" s="226"/>
      <c r="T175" s="226"/>
      <c r="U175" s="578"/>
    </row>
    <row r="176" spans="1:21">
      <c r="A176" s="580"/>
      <c r="B176" s="581"/>
      <c r="C176" s="582"/>
      <c r="D176" s="584"/>
      <c r="E176" s="584"/>
      <c r="F176" s="584"/>
      <c r="G176" s="584"/>
      <c r="H176" s="585"/>
      <c r="I176" s="586"/>
      <c r="J176" s="587"/>
      <c r="K176" s="584"/>
      <c r="L176" s="584"/>
      <c r="M176" s="584"/>
      <c r="N176" s="584"/>
      <c r="O176" s="588"/>
      <c r="P176" s="582"/>
      <c r="Q176" s="589"/>
      <c r="R176" s="587"/>
      <c r="S176" s="584"/>
      <c r="T176" s="584"/>
      <c r="U176" s="588"/>
    </row>
    <row r="177" spans="1:21">
      <c r="A177" s="554"/>
      <c r="B177" s="556"/>
      <c r="C177" s="566"/>
      <c r="D177" s="94"/>
      <c r="E177" s="94"/>
      <c r="F177" s="94"/>
      <c r="G177" s="95"/>
      <c r="H177" s="567"/>
      <c r="I177" s="568"/>
      <c r="J177" s="569"/>
      <c r="K177" s="94"/>
      <c r="L177" s="94"/>
      <c r="M177" s="94"/>
      <c r="N177" s="570"/>
      <c r="O177" s="571"/>
      <c r="P177" s="566"/>
      <c r="Q177" s="572"/>
      <c r="R177" s="569"/>
      <c r="S177" s="570"/>
      <c r="T177" s="570"/>
      <c r="U177" s="571"/>
    </row>
    <row r="178" spans="1:21">
      <c r="A178" s="554"/>
      <c r="B178" s="573"/>
      <c r="C178" s="574"/>
      <c r="D178" s="226"/>
      <c r="E178" s="226"/>
      <c r="F178" s="226"/>
      <c r="G178" s="226"/>
      <c r="H178" s="575"/>
      <c r="I178" s="576"/>
      <c r="J178" s="577"/>
      <c r="K178" s="226"/>
      <c r="L178" s="226"/>
      <c r="M178" s="226"/>
      <c r="N178" s="226"/>
      <c r="O178" s="578"/>
      <c r="P178" s="574"/>
      <c r="Q178" s="579"/>
      <c r="R178" s="577"/>
      <c r="S178" s="226"/>
      <c r="T178" s="226"/>
      <c r="U178" s="578"/>
    </row>
    <row r="179" spans="1:21">
      <c r="A179" s="580"/>
      <c r="B179" s="581"/>
      <c r="C179" s="582"/>
      <c r="D179" s="584"/>
      <c r="E179" s="584"/>
      <c r="F179" s="584"/>
      <c r="G179" s="584"/>
      <c r="H179" s="585"/>
      <c r="I179" s="586"/>
      <c r="J179" s="587"/>
      <c r="K179" s="584"/>
      <c r="L179" s="584"/>
      <c r="M179" s="584"/>
      <c r="N179" s="584"/>
      <c r="O179" s="588"/>
      <c r="P179" s="582"/>
      <c r="Q179" s="589"/>
      <c r="R179" s="587"/>
      <c r="S179" s="584"/>
      <c r="T179" s="584"/>
      <c r="U179" s="588"/>
    </row>
    <row r="180" spans="1:21">
      <c r="A180" s="554"/>
      <c r="B180" s="556"/>
      <c r="C180" s="566"/>
      <c r="D180" s="94"/>
      <c r="E180" s="94"/>
      <c r="F180" s="94"/>
      <c r="G180" s="95"/>
      <c r="H180" s="567"/>
      <c r="I180" s="568"/>
      <c r="J180" s="569"/>
      <c r="K180" s="94"/>
      <c r="L180" s="94"/>
      <c r="M180" s="94"/>
      <c r="N180" s="570"/>
      <c r="O180" s="571"/>
      <c r="P180" s="566"/>
      <c r="Q180" s="572"/>
      <c r="R180" s="569"/>
      <c r="S180" s="570"/>
      <c r="T180" s="570"/>
      <c r="U180" s="571"/>
    </row>
    <row r="181" spans="1:21">
      <c r="A181" s="554"/>
      <c r="B181" s="573"/>
      <c r="C181" s="574"/>
      <c r="D181" s="226"/>
      <c r="E181" s="226"/>
      <c r="F181" s="226"/>
      <c r="G181" s="226"/>
      <c r="H181" s="575"/>
      <c r="I181" s="576"/>
      <c r="J181" s="577"/>
      <c r="K181" s="226"/>
      <c r="L181" s="226"/>
      <c r="M181" s="226"/>
      <c r="N181" s="226"/>
      <c r="O181" s="578"/>
      <c r="P181" s="574"/>
      <c r="Q181" s="579"/>
      <c r="R181" s="577"/>
      <c r="S181" s="226"/>
      <c r="T181" s="226"/>
      <c r="U181" s="578"/>
    </row>
    <row r="182" spans="1:21">
      <c r="A182" s="580"/>
      <c r="B182" s="581"/>
      <c r="C182" s="582"/>
      <c r="D182" s="584"/>
      <c r="E182" s="584"/>
      <c r="F182" s="584"/>
      <c r="G182" s="584"/>
      <c r="H182" s="585"/>
      <c r="I182" s="586"/>
      <c r="J182" s="587"/>
      <c r="K182" s="584"/>
      <c r="L182" s="584"/>
      <c r="M182" s="584"/>
      <c r="N182" s="584"/>
      <c r="O182" s="588"/>
      <c r="P182" s="582"/>
      <c r="Q182" s="589"/>
      <c r="R182" s="587"/>
      <c r="S182" s="584"/>
      <c r="T182" s="584"/>
      <c r="U182" s="588"/>
    </row>
    <row r="183" spans="1:21">
      <c r="A183" s="554"/>
      <c r="B183" s="556"/>
      <c r="C183" s="566"/>
      <c r="D183" s="94"/>
      <c r="E183" s="94"/>
      <c r="F183" s="94"/>
      <c r="G183" s="95"/>
      <c r="H183" s="567"/>
      <c r="I183" s="568"/>
      <c r="J183" s="569"/>
      <c r="K183" s="94"/>
      <c r="L183" s="94"/>
      <c r="M183" s="94"/>
      <c r="N183" s="570"/>
      <c r="O183" s="571"/>
      <c r="P183" s="566"/>
      <c r="Q183" s="572"/>
      <c r="R183" s="569"/>
      <c r="S183" s="570"/>
      <c r="T183" s="570"/>
      <c r="U183" s="571"/>
    </row>
    <row r="184" spans="1:21">
      <c r="A184" s="554"/>
      <c r="B184" s="573"/>
      <c r="C184" s="574"/>
      <c r="D184" s="226"/>
      <c r="E184" s="226"/>
      <c r="F184" s="226"/>
      <c r="G184" s="226"/>
      <c r="H184" s="575"/>
      <c r="I184" s="576"/>
      <c r="J184" s="577"/>
      <c r="K184" s="226"/>
      <c r="L184" s="226"/>
      <c r="M184" s="226"/>
      <c r="N184" s="226"/>
      <c r="O184" s="578"/>
      <c r="P184" s="574"/>
      <c r="Q184" s="579"/>
      <c r="R184" s="577"/>
      <c r="S184" s="226"/>
      <c r="T184" s="226"/>
      <c r="U184" s="578"/>
    </row>
    <row r="185" spans="1:21">
      <c r="A185" s="580"/>
      <c r="B185" s="581"/>
      <c r="C185" s="582"/>
      <c r="D185" s="584"/>
      <c r="E185" s="584"/>
      <c r="F185" s="584"/>
      <c r="G185" s="584"/>
      <c r="H185" s="585"/>
      <c r="I185" s="586"/>
      <c r="J185" s="587"/>
      <c r="K185" s="584"/>
      <c r="L185" s="584"/>
      <c r="M185" s="584"/>
      <c r="N185" s="584"/>
      <c r="O185" s="588"/>
      <c r="P185" s="582"/>
      <c r="Q185" s="589"/>
      <c r="R185" s="587"/>
      <c r="S185" s="584"/>
      <c r="T185" s="584"/>
      <c r="U185" s="588"/>
    </row>
    <row r="186" spans="1:21">
      <c r="A186" s="549"/>
      <c r="B186" s="556"/>
      <c r="C186" s="566"/>
      <c r="D186" s="94"/>
      <c r="E186" s="94"/>
      <c r="F186" s="94"/>
      <c r="G186" s="95"/>
      <c r="H186" s="567"/>
      <c r="I186" s="568"/>
      <c r="J186" s="569"/>
      <c r="K186" s="94"/>
      <c r="L186" s="94"/>
      <c r="M186" s="94"/>
      <c r="N186" s="570"/>
      <c r="O186" s="571"/>
      <c r="P186" s="566"/>
      <c r="Q186" s="572"/>
      <c r="R186" s="569"/>
      <c r="S186" s="570"/>
      <c r="T186" s="570"/>
      <c r="U186" s="571"/>
    </row>
    <row r="187" spans="1:21">
      <c r="A187" s="554"/>
      <c r="B187" s="573"/>
      <c r="C187" s="574"/>
      <c r="D187" s="226"/>
      <c r="E187" s="226"/>
      <c r="F187" s="226"/>
      <c r="G187" s="226"/>
      <c r="H187" s="575"/>
      <c r="I187" s="576"/>
      <c r="J187" s="577"/>
      <c r="K187" s="226"/>
      <c r="L187" s="226"/>
      <c r="M187" s="226"/>
      <c r="N187" s="226"/>
      <c r="O187" s="578"/>
      <c r="P187" s="574"/>
      <c r="Q187" s="579"/>
      <c r="R187" s="577"/>
      <c r="S187" s="226"/>
      <c r="T187" s="226"/>
      <c r="U187" s="578"/>
    </row>
    <row r="188" spans="1:21">
      <c r="A188" s="580"/>
      <c r="B188" s="581"/>
      <c r="C188" s="582"/>
      <c r="D188" s="584"/>
      <c r="E188" s="584"/>
      <c r="F188" s="584"/>
      <c r="G188" s="584"/>
      <c r="H188" s="585"/>
      <c r="I188" s="586"/>
      <c r="J188" s="587"/>
      <c r="K188" s="584"/>
      <c r="L188" s="584"/>
      <c r="M188" s="584"/>
      <c r="N188" s="584"/>
      <c r="O188" s="588"/>
      <c r="P188" s="582"/>
      <c r="Q188" s="589"/>
      <c r="R188" s="587"/>
      <c r="S188" s="584"/>
      <c r="T188" s="584"/>
      <c r="U188" s="588"/>
    </row>
    <row r="189" spans="1:21">
      <c r="A189" s="554"/>
      <c r="B189" s="556"/>
      <c r="C189" s="566"/>
      <c r="D189" s="94"/>
      <c r="E189" s="94"/>
      <c r="F189" s="94"/>
      <c r="G189" s="95"/>
      <c r="H189" s="567"/>
      <c r="I189" s="568"/>
      <c r="J189" s="569"/>
      <c r="K189" s="94"/>
      <c r="L189" s="94"/>
      <c r="M189" s="94"/>
      <c r="N189" s="570"/>
      <c r="O189" s="571"/>
      <c r="P189" s="566"/>
      <c r="Q189" s="572"/>
      <c r="R189" s="569"/>
      <c r="S189" s="570"/>
      <c r="T189" s="570"/>
      <c r="U189" s="571"/>
    </row>
    <row r="190" spans="1:21">
      <c r="A190" s="554"/>
      <c r="B190" s="573"/>
      <c r="C190" s="574"/>
      <c r="D190" s="226"/>
      <c r="E190" s="226"/>
      <c r="F190" s="226"/>
      <c r="G190" s="226"/>
      <c r="H190" s="575"/>
      <c r="I190" s="576"/>
      <c r="J190" s="577"/>
      <c r="K190" s="226"/>
      <c r="L190" s="226"/>
      <c r="M190" s="226"/>
      <c r="N190" s="226"/>
      <c r="O190" s="578"/>
      <c r="P190" s="574"/>
      <c r="Q190" s="579"/>
      <c r="R190" s="577"/>
      <c r="S190" s="226"/>
      <c r="T190" s="226"/>
      <c r="U190" s="578"/>
    </row>
    <row r="191" spans="1:21">
      <c r="A191" s="580"/>
      <c r="B191" s="581"/>
      <c r="C191" s="582"/>
      <c r="D191" s="584"/>
      <c r="E191" s="584"/>
      <c r="F191" s="584"/>
      <c r="G191" s="584"/>
      <c r="H191" s="585"/>
      <c r="I191" s="586"/>
      <c r="J191" s="587"/>
      <c r="K191" s="584"/>
      <c r="L191" s="584"/>
      <c r="M191" s="584"/>
      <c r="N191" s="584"/>
      <c r="O191" s="588"/>
      <c r="P191" s="582"/>
      <c r="Q191" s="589"/>
      <c r="R191" s="587"/>
      <c r="S191" s="584"/>
      <c r="T191" s="584"/>
      <c r="U191" s="588"/>
    </row>
    <row r="192" spans="1:21">
      <c r="A192" s="554"/>
      <c r="B192" s="556"/>
      <c r="C192" s="566"/>
      <c r="D192" s="94"/>
      <c r="E192" s="94"/>
      <c r="F192" s="94"/>
      <c r="G192" s="95"/>
      <c r="H192" s="567"/>
      <c r="I192" s="568"/>
      <c r="J192" s="569"/>
      <c r="K192" s="94"/>
      <c r="L192" s="94"/>
      <c r="M192" s="94"/>
      <c r="N192" s="570"/>
      <c r="O192" s="571"/>
      <c r="P192" s="566"/>
      <c r="Q192" s="572"/>
      <c r="R192" s="569"/>
      <c r="S192" s="570"/>
      <c r="T192" s="570"/>
      <c r="U192" s="571"/>
    </row>
    <row r="193" spans="1:21">
      <c r="A193" s="554"/>
      <c r="B193" s="573"/>
      <c r="C193" s="574"/>
      <c r="D193" s="226"/>
      <c r="E193" s="226"/>
      <c r="F193" s="226"/>
      <c r="G193" s="226"/>
      <c r="H193" s="575"/>
      <c r="I193" s="576"/>
      <c r="J193" s="577"/>
      <c r="K193" s="226"/>
      <c r="L193" s="226"/>
      <c r="M193" s="226"/>
      <c r="N193" s="226"/>
      <c r="O193" s="578"/>
      <c r="P193" s="574"/>
      <c r="Q193" s="579"/>
      <c r="R193" s="577"/>
      <c r="S193" s="226"/>
      <c r="T193" s="226"/>
      <c r="U193" s="578"/>
    </row>
    <row r="194" spans="1:21">
      <c r="A194" s="580"/>
      <c r="B194" s="581"/>
      <c r="C194" s="582"/>
      <c r="D194" s="584"/>
      <c r="E194" s="584"/>
      <c r="F194" s="584"/>
      <c r="G194" s="584"/>
      <c r="H194" s="585"/>
      <c r="I194" s="586"/>
      <c r="J194" s="587"/>
      <c r="K194" s="584"/>
      <c r="L194" s="584"/>
      <c r="M194" s="584"/>
      <c r="N194" s="584"/>
      <c r="O194" s="588"/>
      <c r="P194" s="582"/>
      <c r="Q194" s="589"/>
      <c r="R194" s="587"/>
      <c r="S194" s="584"/>
      <c r="T194" s="584"/>
      <c r="U194" s="588"/>
    </row>
    <row r="195" spans="1:21">
      <c r="A195" s="554"/>
      <c r="B195" s="556"/>
      <c r="C195" s="566"/>
      <c r="D195" s="94"/>
      <c r="E195" s="94"/>
      <c r="F195" s="94"/>
      <c r="G195" s="95"/>
      <c r="H195" s="567"/>
      <c r="I195" s="568"/>
      <c r="J195" s="569"/>
      <c r="K195" s="94"/>
      <c r="L195" s="94"/>
      <c r="M195" s="94"/>
      <c r="N195" s="570"/>
      <c r="O195" s="571"/>
      <c r="P195" s="566"/>
      <c r="Q195" s="572"/>
      <c r="R195" s="569"/>
      <c r="S195" s="570"/>
      <c r="T195" s="570"/>
      <c r="U195" s="571"/>
    </row>
    <row r="196" spans="1:21">
      <c r="A196" s="554"/>
      <c r="B196" s="573"/>
      <c r="C196" s="574"/>
      <c r="D196" s="226"/>
      <c r="E196" s="226"/>
      <c r="F196" s="226"/>
      <c r="G196" s="226"/>
      <c r="H196" s="575"/>
      <c r="I196" s="576"/>
      <c r="J196" s="577"/>
      <c r="K196" s="226"/>
      <c r="L196" s="226"/>
      <c r="M196" s="226"/>
      <c r="N196" s="226"/>
      <c r="O196" s="578"/>
      <c r="P196" s="574"/>
      <c r="Q196" s="579"/>
      <c r="R196" s="577"/>
      <c r="S196" s="226"/>
      <c r="T196" s="226"/>
      <c r="U196" s="578"/>
    </row>
    <row r="197" spans="1:21">
      <c r="A197" s="580"/>
      <c r="B197" s="581"/>
      <c r="C197" s="582"/>
      <c r="D197" s="584"/>
      <c r="E197" s="584"/>
      <c r="F197" s="584"/>
      <c r="G197" s="584"/>
      <c r="H197" s="585"/>
      <c r="I197" s="586"/>
      <c r="J197" s="587"/>
      <c r="K197" s="584"/>
      <c r="L197" s="584"/>
      <c r="M197" s="584"/>
      <c r="N197" s="584"/>
      <c r="O197" s="588"/>
      <c r="P197" s="582"/>
      <c r="Q197" s="589"/>
      <c r="R197" s="587"/>
      <c r="S197" s="584"/>
      <c r="T197" s="584"/>
      <c r="U197" s="588"/>
    </row>
    <row r="198" spans="1:21">
      <c r="A198" s="554"/>
      <c r="B198" s="556"/>
      <c r="C198" s="566"/>
      <c r="D198" s="94"/>
      <c r="E198" s="94"/>
      <c r="F198" s="94"/>
      <c r="G198" s="95"/>
      <c r="H198" s="567"/>
      <c r="I198" s="568"/>
      <c r="J198" s="569"/>
      <c r="K198" s="94"/>
      <c r="L198" s="94"/>
      <c r="M198" s="94"/>
      <c r="N198" s="570"/>
      <c r="O198" s="571"/>
      <c r="P198" s="566"/>
      <c r="Q198" s="572"/>
      <c r="R198" s="569"/>
      <c r="S198" s="570"/>
      <c r="T198" s="570"/>
      <c r="U198" s="571"/>
    </row>
    <row r="199" spans="1:21">
      <c r="A199" s="554"/>
      <c r="B199" s="573"/>
      <c r="C199" s="574"/>
      <c r="D199" s="226"/>
      <c r="E199" s="226"/>
      <c r="F199" s="226"/>
      <c r="G199" s="226"/>
      <c r="H199" s="575"/>
      <c r="I199" s="576"/>
      <c r="J199" s="577"/>
      <c r="K199" s="226"/>
      <c r="L199" s="226"/>
      <c r="M199" s="226"/>
      <c r="N199" s="226"/>
      <c r="O199" s="578"/>
      <c r="P199" s="574"/>
      <c r="Q199" s="579"/>
      <c r="R199" s="577"/>
      <c r="S199" s="226"/>
      <c r="T199" s="226"/>
      <c r="U199" s="578"/>
    </row>
    <row r="200" spans="1:21">
      <c r="A200" s="580"/>
      <c r="B200" s="581"/>
      <c r="C200" s="582"/>
      <c r="D200" s="584"/>
      <c r="E200" s="584"/>
      <c r="F200" s="584"/>
      <c r="G200" s="584"/>
      <c r="H200" s="585"/>
      <c r="I200" s="586"/>
      <c r="J200" s="587"/>
      <c r="K200" s="584"/>
      <c r="L200" s="584"/>
      <c r="M200" s="584"/>
      <c r="N200" s="584"/>
      <c r="O200" s="588"/>
      <c r="P200" s="582"/>
      <c r="Q200" s="589"/>
      <c r="R200" s="587"/>
      <c r="S200" s="584"/>
      <c r="T200" s="584"/>
      <c r="U200" s="588"/>
    </row>
    <row r="201" spans="1:21">
      <c r="A201" s="554"/>
      <c r="B201" s="556"/>
      <c r="C201" s="566"/>
      <c r="D201" s="94"/>
      <c r="E201" s="94"/>
      <c r="F201" s="94"/>
      <c r="G201" s="95"/>
      <c r="H201" s="567"/>
      <c r="I201" s="568"/>
      <c r="J201" s="569"/>
      <c r="K201" s="94"/>
      <c r="L201" s="94"/>
      <c r="M201" s="94"/>
      <c r="N201" s="570"/>
      <c r="O201" s="571"/>
      <c r="P201" s="566"/>
      <c r="Q201" s="572"/>
      <c r="R201" s="569"/>
      <c r="S201" s="570"/>
      <c r="T201" s="570"/>
      <c r="U201" s="571"/>
    </row>
    <row r="202" spans="1:21">
      <c r="A202" s="554"/>
      <c r="B202" s="573"/>
      <c r="C202" s="574"/>
      <c r="D202" s="226"/>
      <c r="E202" s="226"/>
      <c r="F202" s="226"/>
      <c r="G202" s="226"/>
      <c r="H202" s="575"/>
      <c r="I202" s="576"/>
      <c r="J202" s="577"/>
      <c r="K202" s="226"/>
      <c r="L202" s="226"/>
      <c r="M202" s="226"/>
      <c r="N202" s="226"/>
      <c r="O202" s="578"/>
      <c r="P202" s="574"/>
      <c r="Q202" s="579"/>
      <c r="R202" s="577"/>
      <c r="S202" s="226"/>
      <c r="T202" s="226"/>
      <c r="U202" s="578"/>
    </row>
    <row r="203" spans="1:21">
      <c r="A203" s="580"/>
      <c r="B203" s="581"/>
      <c r="C203" s="582"/>
      <c r="D203" s="584"/>
      <c r="E203" s="584"/>
      <c r="F203" s="584"/>
      <c r="G203" s="584"/>
      <c r="H203" s="585"/>
      <c r="I203" s="586"/>
      <c r="J203" s="587"/>
      <c r="K203" s="584"/>
      <c r="L203" s="584"/>
      <c r="M203" s="584"/>
      <c r="N203" s="584"/>
      <c r="O203" s="588"/>
      <c r="P203" s="582"/>
      <c r="Q203" s="589"/>
      <c r="R203" s="587"/>
      <c r="S203" s="584"/>
      <c r="T203" s="584"/>
      <c r="U203" s="588"/>
    </row>
    <row r="204" spans="1:21">
      <c r="A204" s="554"/>
      <c r="B204" s="556"/>
      <c r="C204" s="566"/>
      <c r="D204" s="94"/>
      <c r="E204" s="94"/>
      <c r="F204" s="94"/>
      <c r="G204" s="95"/>
      <c r="H204" s="567"/>
      <c r="I204" s="568"/>
      <c r="J204" s="569"/>
      <c r="K204" s="94"/>
      <c r="L204" s="94"/>
      <c r="M204" s="94"/>
      <c r="N204" s="570"/>
      <c r="O204" s="571"/>
      <c r="P204" s="566"/>
      <c r="Q204" s="572"/>
      <c r="R204" s="569"/>
      <c r="S204" s="570"/>
      <c r="T204" s="570"/>
      <c r="U204" s="571"/>
    </row>
    <row r="205" spans="1:21">
      <c r="A205" s="554"/>
      <c r="B205" s="573"/>
      <c r="C205" s="574"/>
      <c r="D205" s="226"/>
      <c r="E205" s="226"/>
      <c r="F205" s="226"/>
      <c r="G205" s="226"/>
      <c r="H205" s="575"/>
      <c r="I205" s="576"/>
      <c r="J205" s="577"/>
      <c r="K205" s="226"/>
      <c r="L205" s="226"/>
      <c r="M205" s="226"/>
      <c r="N205" s="226"/>
      <c r="O205" s="578"/>
      <c r="P205" s="574"/>
      <c r="Q205" s="579"/>
      <c r="R205" s="577"/>
      <c r="S205" s="226"/>
      <c r="T205" s="226"/>
      <c r="U205" s="578"/>
    </row>
    <row r="206" spans="1:21">
      <c r="A206" s="580"/>
      <c r="B206" s="581"/>
      <c r="C206" s="582"/>
      <c r="D206" s="584"/>
      <c r="E206" s="584"/>
      <c r="F206" s="584"/>
      <c r="G206" s="584"/>
      <c r="H206" s="585"/>
      <c r="I206" s="586"/>
      <c r="J206" s="587"/>
      <c r="K206" s="584"/>
      <c r="L206" s="584"/>
      <c r="M206" s="584"/>
      <c r="N206" s="584"/>
      <c r="O206" s="588"/>
      <c r="P206" s="582"/>
      <c r="Q206" s="589"/>
      <c r="R206" s="587"/>
      <c r="S206" s="584"/>
      <c r="T206" s="584"/>
      <c r="U206" s="588"/>
    </row>
    <row r="207" spans="1:21">
      <c r="A207" s="554"/>
      <c r="B207" s="556"/>
      <c r="C207" s="566"/>
      <c r="D207" s="94"/>
      <c r="E207" s="94"/>
      <c r="F207" s="94"/>
      <c r="G207" s="95"/>
      <c r="H207" s="567"/>
      <c r="I207" s="568"/>
      <c r="J207" s="569"/>
      <c r="K207" s="94"/>
      <c r="L207" s="94"/>
      <c r="M207" s="94"/>
      <c r="N207" s="570"/>
      <c r="O207" s="571"/>
      <c r="P207" s="566"/>
      <c r="Q207" s="572"/>
      <c r="R207" s="569"/>
      <c r="S207" s="570"/>
      <c r="T207" s="570"/>
      <c r="U207" s="571"/>
    </row>
    <row r="208" spans="1:21">
      <c r="A208" s="554"/>
      <c r="B208" s="573"/>
      <c r="C208" s="574"/>
      <c r="D208" s="226"/>
      <c r="E208" s="226"/>
      <c r="F208" s="226"/>
      <c r="G208" s="226"/>
      <c r="H208" s="575"/>
      <c r="I208" s="576"/>
      <c r="J208" s="577"/>
      <c r="K208" s="226"/>
      <c r="L208" s="226"/>
      <c r="M208" s="226"/>
      <c r="N208" s="226"/>
      <c r="O208" s="578"/>
      <c r="P208" s="574"/>
      <c r="Q208" s="579"/>
      <c r="R208" s="577"/>
      <c r="S208" s="226"/>
      <c r="T208" s="226"/>
      <c r="U208" s="578"/>
    </row>
    <row r="209" spans="1:21">
      <c r="A209" s="580"/>
      <c r="B209" s="581"/>
      <c r="C209" s="582"/>
      <c r="D209" s="584"/>
      <c r="E209" s="584"/>
      <c r="F209" s="584"/>
      <c r="G209" s="584"/>
      <c r="H209" s="585"/>
      <c r="I209" s="586"/>
      <c r="J209" s="587"/>
      <c r="K209" s="584"/>
      <c r="L209" s="584"/>
      <c r="M209" s="584"/>
      <c r="N209" s="584"/>
      <c r="O209" s="588"/>
      <c r="P209" s="582"/>
      <c r="Q209" s="589"/>
      <c r="R209" s="587"/>
      <c r="S209" s="584"/>
      <c r="T209" s="584"/>
      <c r="U209" s="588"/>
    </row>
    <row r="210" spans="1:21">
      <c r="A210" s="554"/>
      <c r="B210" s="556"/>
      <c r="C210" s="566"/>
      <c r="D210" s="94"/>
      <c r="E210" s="94"/>
      <c r="F210" s="94"/>
      <c r="G210" s="95"/>
      <c r="H210" s="567"/>
      <c r="I210" s="568"/>
      <c r="J210" s="569"/>
      <c r="K210" s="94"/>
      <c r="L210" s="94"/>
      <c r="M210" s="94"/>
      <c r="N210" s="570"/>
      <c r="O210" s="571"/>
      <c r="P210" s="566"/>
      <c r="Q210" s="572"/>
      <c r="R210" s="569"/>
      <c r="S210" s="570"/>
      <c r="T210" s="570"/>
      <c r="U210" s="571"/>
    </row>
    <row r="211" spans="1:21">
      <c r="A211" s="554"/>
      <c r="B211" s="573"/>
      <c r="C211" s="574"/>
      <c r="D211" s="226"/>
      <c r="E211" s="226"/>
      <c r="F211" s="226"/>
      <c r="G211" s="226"/>
      <c r="H211" s="575"/>
      <c r="I211" s="576"/>
      <c r="J211" s="577"/>
      <c r="K211" s="226"/>
      <c r="L211" s="226"/>
      <c r="M211" s="226"/>
      <c r="N211" s="226"/>
      <c r="O211" s="578"/>
      <c r="P211" s="574"/>
      <c r="Q211" s="579"/>
      <c r="R211" s="577"/>
      <c r="S211" s="226"/>
      <c r="T211" s="226"/>
      <c r="U211" s="578"/>
    </row>
    <row r="212" spans="1:21">
      <c r="A212" s="580"/>
      <c r="B212" s="581"/>
      <c r="C212" s="582"/>
      <c r="D212" s="584"/>
      <c r="E212" s="584"/>
      <c r="F212" s="584"/>
      <c r="G212" s="584"/>
      <c r="H212" s="585"/>
      <c r="I212" s="586"/>
      <c r="J212" s="587"/>
      <c r="K212" s="584"/>
      <c r="L212" s="584"/>
      <c r="M212" s="584"/>
      <c r="N212" s="584"/>
      <c r="O212" s="588"/>
      <c r="P212" s="582"/>
      <c r="Q212" s="589"/>
      <c r="R212" s="587"/>
      <c r="S212" s="584"/>
      <c r="T212" s="584"/>
      <c r="U212" s="588"/>
    </row>
    <row r="213" spans="1:21">
      <c r="A213" s="554"/>
      <c r="B213" s="556"/>
      <c r="C213" s="566"/>
      <c r="D213" s="94"/>
      <c r="E213" s="94"/>
      <c r="F213" s="94"/>
      <c r="G213" s="95"/>
      <c r="H213" s="567"/>
      <c r="I213" s="568"/>
      <c r="J213" s="569"/>
      <c r="K213" s="94"/>
      <c r="L213" s="94"/>
      <c r="M213" s="94"/>
      <c r="N213" s="570"/>
      <c r="O213" s="571"/>
      <c r="P213" s="566"/>
      <c r="Q213" s="572"/>
      <c r="R213" s="569"/>
      <c r="S213" s="570"/>
      <c r="T213" s="570"/>
      <c r="U213" s="571"/>
    </row>
    <row r="214" spans="1:21">
      <c r="A214" s="554"/>
      <c r="B214" s="573"/>
      <c r="C214" s="574"/>
      <c r="D214" s="226"/>
      <c r="E214" s="226"/>
      <c r="F214" s="226"/>
      <c r="G214" s="226"/>
      <c r="H214" s="575"/>
      <c r="I214" s="576"/>
      <c r="J214" s="577"/>
      <c r="K214" s="226"/>
      <c r="L214" s="226"/>
      <c r="M214" s="226"/>
      <c r="N214" s="226"/>
      <c r="O214" s="578"/>
      <c r="P214" s="574"/>
      <c r="Q214" s="579"/>
      <c r="R214" s="577"/>
      <c r="S214" s="226"/>
      <c r="T214" s="226"/>
      <c r="U214" s="578"/>
    </row>
    <row r="215" spans="1:21">
      <c r="A215" s="580"/>
      <c r="B215" s="581"/>
      <c r="C215" s="582"/>
      <c r="D215" s="584"/>
      <c r="E215" s="584"/>
      <c r="F215" s="584"/>
      <c r="G215" s="584"/>
      <c r="H215" s="585"/>
      <c r="I215" s="586"/>
      <c r="J215" s="587"/>
      <c r="K215" s="584"/>
      <c r="L215" s="584"/>
      <c r="M215" s="584"/>
      <c r="N215" s="584"/>
      <c r="O215" s="588"/>
      <c r="P215" s="582"/>
      <c r="Q215" s="589"/>
      <c r="R215" s="587"/>
      <c r="S215" s="584"/>
      <c r="T215" s="584"/>
      <c r="U215" s="588"/>
    </row>
    <row r="216" spans="1:21">
      <c r="A216" s="549"/>
      <c r="B216" s="556"/>
      <c r="C216" s="566"/>
      <c r="D216" s="94"/>
      <c r="E216" s="94"/>
      <c r="F216" s="94"/>
      <c r="G216" s="95"/>
      <c r="H216" s="567"/>
      <c r="I216" s="568"/>
      <c r="J216" s="569"/>
      <c r="K216" s="94"/>
      <c r="L216" s="94"/>
      <c r="M216" s="94"/>
      <c r="N216" s="570"/>
      <c r="O216" s="571"/>
      <c r="P216" s="566"/>
      <c r="Q216" s="572"/>
      <c r="R216" s="569"/>
      <c r="S216" s="570"/>
      <c r="T216" s="570"/>
      <c r="U216" s="571"/>
    </row>
    <row r="217" spans="1:21">
      <c r="A217" s="554"/>
      <c r="B217" s="573"/>
      <c r="C217" s="574"/>
      <c r="D217" s="226"/>
      <c r="E217" s="226"/>
      <c r="F217" s="226"/>
      <c r="G217" s="226"/>
      <c r="H217" s="575"/>
      <c r="I217" s="576"/>
      <c r="J217" s="577"/>
      <c r="K217" s="226"/>
      <c r="L217" s="226"/>
      <c r="M217" s="226"/>
      <c r="N217" s="226"/>
      <c r="O217" s="578"/>
      <c r="P217" s="574"/>
      <c r="Q217" s="579"/>
      <c r="R217" s="577"/>
      <c r="S217" s="226"/>
      <c r="T217" s="226"/>
      <c r="U217" s="578"/>
    </row>
    <row r="218" spans="1:21">
      <c r="A218" s="580"/>
      <c r="B218" s="581"/>
      <c r="C218" s="582"/>
      <c r="D218" s="584"/>
      <c r="E218" s="584"/>
      <c r="F218" s="584"/>
      <c r="G218" s="584"/>
      <c r="H218" s="585"/>
      <c r="I218" s="586"/>
      <c r="J218" s="587"/>
      <c r="K218" s="584"/>
      <c r="L218" s="584"/>
      <c r="M218" s="584"/>
      <c r="N218" s="584"/>
      <c r="O218" s="588"/>
      <c r="P218" s="582"/>
      <c r="Q218" s="589"/>
      <c r="R218" s="587"/>
      <c r="S218" s="584"/>
      <c r="T218" s="584"/>
      <c r="U218" s="588"/>
    </row>
    <row r="219" spans="1:21">
      <c r="A219" s="554"/>
      <c r="B219" s="556"/>
      <c r="C219" s="566"/>
      <c r="D219" s="94"/>
      <c r="E219" s="94"/>
      <c r="F219" s="94"/>
      <c r="G219" s="95"/>
      <c r="H219" s="567"/>
      <c r="I219" s="568"/>
      <c r="J219" s="569"/>
      <c r="K219" s="94"/>
      <c r="L219" s="94"/>
      <c r="M219" s="94"/>
      <c r="N219" s="570"/>
      <c r="O219" s="571"/>
      <c r="P219" s="566"/>
      <c r="Q219" s="572"/>
      <c r="R219" s="569"/>
      <c r="S219" s="570"/>
      <c r="T219" s="570"/>
      <c r="U219" s="571"/>
    </row>
    <row r="220" spans="1:21">
      <c r="A220" s="554"/>
      <c r="B220" s="573"/>
      <c r="C220" s="574"/>
      <c r="D220" s="226"/>
      <c r="E220" s="226"/>
      <c r="F220" s="226"/>
      <c r="G220" s="226"/>
      <c r="H220" s="575"/>
      <c r="I220" s="576"/>
      <c r="J220" s="577"/>
      <c r="K220" s="226"/>
      <c r="L220" s="226"/>
      <c r="M220" s="226"/>
      <c r="N220" s="226"/>
      <c r="O220" s="578"/>
      <c r="P220" s="574"/>
      <c r="Q220" s="579"/>
      <c r="R220" s="577"/>
      <c r="S220" s="226"/>
      <c r="T220" s="226"/>
      <c r="U220" s="578"/>
    </row>
    <row r="221" spans="1:21">
      <c r="A221" s="580"/>
      <c r="B221" s="581"/>
      <c r="C221" s="582"/>
      <c r="D221" s="584"/>
      <c r="E221" s="584"/>
      <c r="F221" s="584"/>
      <c r="G221" s="584"/>
      <c r="H221" s="585"/>
      <c r="I221" s="586"/>
      <c r="J221" s="587"/>
      <c r="K221" s="584"/>
      <c r="L221" s="584"/>
      <c r="M221" s="584"/>
      <c r="N221" s="584"/>
      <c r="O221" s="588"/>
      <c r="P221" s="582"/>
      <c r="Q221" s="589"/>
      <c r="R221" s="587"/>
      <c r="S221" s="584"/>
      <c r="T221" s="584"/>
      <c r="U221" s="588"/>
    </row>
    <row r="222" spans="1:21">
      <c r="A222" s="554"/>
      <c r="B222" s="556"/>
      <c r="C222" s="566"/>
      <c r="D222" s="94"/>
      <c r="E222" s="94"/>
      <c r="F222" s="94"/>
      <c r="G222" s="95"/>
      <c r="H222" s="567"/>
      <c r="I222" s="568"/>
      <c r="J222" s="569"/>
      <c r="K222" s="94"/>
      <c r="L222" s="94"/>
      <c r="M222" s="94"/>
      <c r="N222" s="570"/>
      <c r="O222" s="571"/>
      <c r="P222" s="566"/>
      <c r="Q222" s="572"/>
      <c r="R222" s="569"/>
      <c r="S222" s="570"/>
      <c r="T222" s="570"/>
      <c r="U222" s="571"/>
    </row>
    <row r="223" spans="1:21">
      <c r="A223" s="554"/>
      <c r="B223" s="573"/>
      <c r="C223" s="574"/>
      <c r="D223" s="226"/>
      <c r="E223" s="226"/>
      <c r="F223" s="226"/>
      <c r="G223" s="226"/>
      <c r="H223" s="575"/>
      <c r="I223" s="576"/>
      <c r="J223" s="577"/>
      <c r="K223" s="226"/>
      <c r="L223" s="226"/>
      <c r="M223" s="226"/>
      <c r="N223" s="226"/>
      <c r="O223" s="578"/>
      <c r="P223" s="574"/>
      <c r="Q223" s="579"/>
      <c r="R223" s="577"/>
      <c r="S223" s="226"/>
      <c r="T223" s="226"/>
      <c r="U223" s="578"/>
    </row>
    <row r="224" spans="1:21">
      <c r="A224" s="580"/>
      <c r="B224" s="581"/>
      <c r="C224" s="582"/>
      <c r="D224" s="584"/>
      <c r="E224" s="584"/>
      <c r="F224" s="584"/>
      <c r="G224" s="584"/>
      <c r="H224" s="585"/>
      <c r="I224" s="586"/>
      <c r="J224" s="587"/>
      <c r="K224" s="584"/>
      <c r="L224" s="584"/>
      <c r="M224" s="584"/>
      <c r="N224" s="584"/>
      <c r="O224" s="588"/>
      <c r="P224" s="582"/>
      <c r="Q224" s="589"/>
      <c r="R224" s="587"/>
      <c r="S224" s="584"/>
      <c r="T224" s="584"/>
      <c r="U224" s="588"/>
    </row>
    <row r="225" spans="1:21">
      <c r="A225" s="554"/>
      <c r="B225" s="556"/>
      <c r="C225" s="566"/>
      <c r="D225" s="94"/>
      <c r="E225" s="94"/>
      <c r="F225" s="94"/>
      <c r="G225" s="95"/>
      <c r="H225" s="567"/>
      <c r="I225" s="568"/>
      <c r="J225" s="569"/>
      <c r="K225" s="94"/>
      <c r="L225" s="94"/>
      <c r="M225" s="94"/>
      <c r="N225" s="570"/>
      <c r="O225" s="571"/>
      <c r="P225" s="566"/>
      <c r="Q225" s="572"/>
      <c r="R225" s="569"/>
      <c r="S225" s="570"/>
      <c r="T225" s="570"/>
      <c r="U225" s="571"/>
    </row>
    <row r="226" spans="1:21">
      <c r="A226" s="554"/>
      <c r="B226" s="573"/>
      <c r="C226" s="574"/>
      <c r="D226" s="226"/>
      <c r="E226" s="226"/>
      <c r="F226" s="226"/>
      <c r="G226" s="226"/>
      <c r="H226" s="575"/>
      <c r="I226" s="576"/>
      <c r="J226" s="577"/>
      <c r="K226" s="226"/>
      <c r="L226" s="226"/>
      <c r="M226" s="226"/>
      <c r="N226" s="226"/>
      <c r="O226" s="578"/>
      <c r="P226" s="574"/>
      <c r="Q226" s="579"/>
      <c r="R226" s="577"/>
      <c r="S226" s="226"/>
      <c r="T226" s="226"/>
      <c r="U226" s="578"/>
    </row>
    <row r="227" spans="1:21">
      <c r="A227" s="580"/>
      <c r="B227" s="581"/>
      <c r="C227" s="582"/>
      <c r="D227" s="584"/>
      <c r="E227" s="584"/>
      <c r="F227" s="584"/>
      <c r="G227" s="584"/>
      <c r="H227" s="585"/>
      <c r="I227" s="586"/>
      <c r="J227" s="587"/>
      <c r="K227" s="584"/>
      <c r="L227" s="584"/>
      <c r="M227" s="584"/>
      <c r="N227" s="584"/>
      <c r="O227" s="588"/>
      <c r="P227" s="582"/>
      <c r="Q227" s="589"/>
      <c r="R227" s="587"/>
      <c r="S227" s="584"/>
      <c r="T227" s="584"/>
      <c r="U227" s="588"/>
    </row>
    <row r="228" spans="1:21">
      <c r="A228" s="554"/>
      <c r="B228" s="556"/>
      <c r="C228" s="566"/>
      <c r="D228" s="94"/>
      <c r="E228" s="94"/>
      <c r="F228" s="94"/>
      <c r="G228" s="95"/>
      <c r="H228" s="567"/>
      <c r="I228" s="568"/>
      <c r="J228" s="569"/>
      <c r="K228" s="94"/>
      <c r="L228" s="94"/>
      <c r="M228" s="94"/>
      <c r="N228" s="570"/>
      <c r="O228" s="571"/>
      <c r="P228" s="566"/>
      <c r="Q228" s="572"/>
      <c r="R228" s="569"/>
      <c r="S228" s="570"/>
      <c r="T228" s="570"/>
      <c r="U228" s="571"/>
    </row>
    <row r="229" spans="1:21">
      <c r="A229" s="554"/>
      <c r="B229" s="573"/>
      <c r="C229" s="574"/>
      <c r="D229" s="226"/>
      <c r="E229" s="226"/>
      <c r="F229" s="226"/>
      <c r="G229" s="226"/>
      <c r="H229" s="575"/>
      <c r="I229" s="576"/>
      <c r="J229" s="577"/>
      <c r="K229" s="226"/>
      <c r="L229" s="226"/>
      <c r="M229" s="226"/>
      <c r="N229" s="226"/>
      <c r="O229" s="578"/>
      <c r="P229" s="574"/>
      <c r="Q229" s="579"/>
      <c r="R229" s="577"/>
      <c r="S229" s="226"/>
      <c r="T229" s="226"/>
      <c r="U229" s="578"/>
    </row>
    <row r="230" spans="1:21">
      <c r="A230" s="580"/>
      <c r="B230" s="581"/>
      <c r="C230" s="582"/>
      <c r="D230" s="584"/>
      <c r="E230" s="584"/>
      <c r="F230" s="584"/>
      <c r="G230" s="584"/>
      <c r="H230" s="585"/>
      <c r="I230" s="586"/>
      <c r="J230" s="587"/>
      <c r="K230" s="584"/>
      <c r="L230" s="584"/>
      <c r="M230" s="584"/>
      <c r="N230" s="584"/>
      <c r="O230" s="588"/>
      <c r="P230" s="582"/>
      <c r="Q230" s="589"/>
      <c r="R230" s="587"/>
      <c r="S230" s="584"/>
      <c r="T230" s="584"/>
      <c r="U230" s="588"/>
    </row>
    <row r="231" spans="1:21">
      <c r="A231" s="554"/>
      <c r="B231" s="556"/>
      <c r="C231" s="566"/>
      <c r="D231" s="94"/>
      <c r="E231" s="94"/>
      <c r="F231" s="94"/>
      <c r="G231" s="95"/>
      <c r="H231" s="567"/>
      <c r="I231" s="568"/>
      <c r="J231" s="569"/>
      <c r="K231" s="94"/>
      <c r="L231" s="94"/>
      <c r="M231" s="94"/>
      <c r="N231" s="570"/>
      <c r="O231" s="571"/>
      <c r="P231" s="566"/>
      <c r="Q231" s="572"/>
      <c r="R231" s="569"/>
      <c r="S231" s="570"/>
      <c r="T231" s="570"/>
      <c r="U231" s="571"/>
    </row>
    <row r="232" spans="1:21">
      <c r="A232" s="554"/>
      <c r="B232" s="573"/>
      <c r="C232" s="574"/>
      <c r="D232" s="226"/>
      <c r="E232" s="226"/>
      <c r="F232" s="226"/>
      <c r="G232" s="226"/>
      <c r="H232" s="575"/>
      <c r="I232" s="576"/>
      <c r="J232" s="577"/>
      <c r="K232" s="226"/>
      <c r="L232" s="226"/>
      <c r="M232" s="226"/>
      <c r="N232" s="226"/>
      <c r="O232" s="578"/>
      <c r="P232" s="574"/>
      <c r="Q232" s="579"/>
      <c r="R232" s="577"/>
      <c r="S232" s="226"/>
      <c r="T232" s="226"/>
      <c r="U232" s="578"/>
    </row>
    <row r="233" spans="1:21">
      <c r="A233" s="580"/>
      <c r="B233" s="581"/>
      <c r="C233" s="582"/>
      <c r="D233" s="584"/>
      <c r="E233" s="584"/>
      <c r="F233" s="584"/>
      <c r="G233" s="584"/>
      <c r="H233" s="585"/>
      <c r="I233" s="586"/>
      <c r="J233" s="587"/>
      <c r="K233" s="584"/>
      <c r="L233" s="584"/>
      <c r="M233" s="584"/>
      <c r="N233" s="584"/>
      <c r="O233" s="588"/>
      <c r="P233" s="582"/>
      <c r="Q233" s="589"/>
      <c r="R233" s="587"/>
      <c r="S233" s="584"/>
      <c r="T233" s="584"/>
      <c r="U233" s="588"/>
    </row>
    <row r="234" spans="1:21">
      <c r="A234" s="554"/>
      <c r="B234" s="556"/>
      <c r="C234" s="566"/>
      <c r="D234" s="94"/>
      <c r="E234" s="94"/>
      <c r="F234" s="94"/>
      <c r="G234" s="95"/>
      <c r="H234" s="567"/>
      <c r="I234" s="568"/>
      <c r="J234" s="569"/>
      <c r="K234" s="94"/>
      <c r="L234" s="94"/>
      <c r="M234" s="94"/>
      <c r="N234" s="570"/>
      <c r="O234" s="571"/>
      <c r="P234" s="566"/>
      <c r="Q234" s="572"/>
      <c r="R234" s="569"/>
      <c r="S234" s="570"/>
      <c r="T234" s="570"/>
      <c r="U234" s="571"/>
    </row>
    <row r="235" spans="1:21">
      <c r="A235" s="554"/>
      <c r="B235" s="573"/>
      <c r="C235" s="574"/>
      <c r="D235" s="226"/>
      <c r="E235" s="226"/>
      <c r="F235" s="226"/>
      <c r="G235" s="226"/>
      <c r="H235" s="575"/>
      <c r="I235" s="576"/>
      <c r="J235" s="577"/>
      <c r="K235" s="226"/>
      <c r="L235" s="226"/>
      <c r="M235" s="226"/>
      <c r="N235" s="226"/>
      <c r="O235" s="578"/>
      <c r="P235" s="574"/>
      <c r="Q235" s="579"/>
      <c r="R235" s="577"/>
      <c r="S235" s="226"/>
      <c r="T235" s="226"/>
      <c r="U235" s="578"/>
    </row>
    <row r="236" spans="1:21">
      <c r="A236" s="580"/>
      <c r="B236" s="581"/>
      <c r="C236" s="582"/>
      <c r="D236" s="584"/>
      <c r="E236" s="584"/>
      <c r="F236" s="584"/>
      <c r="G236" s="584"/>
      <c r="H236" s="585"/>
      <c r="I236" s="586"/>
      <c r="J236" s="587"/>
      <c r="K236" s="584"/>
      <c r="L236" s="584"/>
      <c r="M236" s="584"/>
      <c r="N236" s="584"/>
      <c r="O236" s="588"/>
      <c r="P236" s="582"/>
      <c r="Q236" s="589"/>
      <c r="R236" s="587"/>
      <c r="S236" s="584"/>
      <c r="T236" s="584"/>
      <c r="U236" s="588"/>
    </row>
    <row r="237" spans="1:21">
      <c r="A237" s="554"/>
      <c r="B237" s="556"/>
      <c r="C237" s="566"/>
      <c r="D237" s="94"/>
      <c r="E237" s="94"/>
      <c r="F237" s="94"/>
      <c r="G237" s="95"/>
      <c r="H237" s="567"/>
      <c r="I237" s="568"/>
      <c r="J237" s="569"/>
      <c r="K237" s="94"/>
      <c r="L237" s="94"/>
      <c r="M237" s="94"/>
      <c r="N237" s="570"/>
      <c r="O237" s="571"/>
      <c r="P237" s="566"/>
      <c r="Q237" s="572"/>
      <c r="R237" s="569"/>
      <c r="S237" s="570"/>
      <c r="T237" s="570"/>
      <c r="U237" s="571"/>
    </row>
    <row r="238" spans="1:21">
      <c r="A238" s="554"/>
      <c r="B238" s="573"/>
      <c r="C238" s="574"/>
      <c r="D238" s="226"/>
      <c r="E238" s="226"/>
      <c r="F238" s="226"/>
      <c r="G238" s="226"/>
      <c r="H238" s="575"/>
      <c r="I238" s="576"/>
      <c r="J238" s="577"/>
      <c r="K238" s="226"/>
      <c r="L238" s="226"/>
      <c r="M238" s="226"/>
      <c r="N238" s="226"/>
      <c r="O238" s="578"/>
      <c r="P238" s="574"/>
      <c r="Q238" s="579"/>
      <c r="R238" s="577"/>
      <c r="S238" s="226"/>
      <c r="T238" s="226"/>
      <c r="U238" s="578"/>
    </row>
    <row r="239" spans="1:21">
      <c r="A239" s="580"/>
      <c r="B239" s="581"/>
      <c r="C239" s="582"/>
      <c r="D239" s="584"/>
      <c r="E239" s="584"/>
      <c r="F239" s="584"/>
      <c r="G239" s="584"/>
      <c r="H239" s="585"/>
      <c r="I239" s="586"/>
      <c r="J239" s="587"/>
      <c r="K239" s="584"/>
      <c r="L239" s="584"/>
      <c r="M239" s="584"/>
      <c r="N239" s="584"/>
      <c r="O239" s="588"/>
      <c r="P239" s="582"/>
      <c r="Q239" s="589"/>
      <c r="R239" s="587"/>
      <c r="S239" s="584"/>
      <c r="T239" s="584"/>
      <c r="U239" s="588"/>
    </row>
    <row r="240" spans="1:21">
      <c r="A240" s="554"/>
      <c r="B240" s="556"/>
      <c r="C240" s="566"/>
      <c r="D240" s="94"/>
      <c r="E240" s="94"/>
      <c r="F240" s="94"/>
      <c r="G240" s="95"/>
      <c r="H240" s="567"/>
      <c r="I240" s="568"/>
      <c r="J240" s="569"/>
      <c r="K240" s="94"/>
      <c r="L240" s="94"/>
      <c r="M240" s="94"/>
      <c r="N240" s="570"/>
      <c r="O240" s="571"/>
      <c r="P240" s="566"/>
      <c r="Q240" s="572"/>
      <c r="R240" s="569"/>
      <c r="S240" s="570"/>
      <c r="T240" s="570"/>
      <c r="U240" s="571"/>
    </row>
    <row r="241" spans="1:21">
      <c r="A241" s="554"/>
      <c r="B241" s="573"/>
      <c r="C241" s="574"/>
      <c r="D241" s="226"/>
      <c r="E241" s="226"/>
      <c r="F241" s="226"/>
      <c r="G241" s="226"/>
      <c r="H241" s="575"/>
      <c r="I241" s="576"/>
      <c r="J241" s="577"/>
      <c r="K241" s="226"/>
      <c r="L241" s="226"/>
      <c r="M241" s="226"/>
      <c r="N241" s="226"/>
      <c r="O241" s="578"/>
      <c r="P241" s="574"/>
      <c r="Q241" s="579"/>
      <c r="R241" s="577"/>
      <c r="S241" s="226"/>
      <c r="T241" s="226"/>
      <c r="U241" s="578"/>
    </row>
    <row r="242" spans="1:21">
      <c r="A242" s="580"/>
      <c r="B242" s="581"/>
      <c r="C242" s="582"/>
      <c r="D242" s="584"/>
      <c r="E242" s="584"/>
      <c r="F242" s="584"/>
      <c r="G242" s="584"/>
      <c r="H242" s="585"/>
      <c r="I242" s="586"/>
      <c r="J242" s="587"/>
      <c r="K242" s="584"/>
      <c r="L242" s="584"/>
      <c r="M242" s="584"/>
      <c r="N242" s="584"/>
      <c r="O242" s="588"/>
      <c r="P242" s="582"/>
      <c r="Q242" s="589"/>
      <c r="R242" s="587"/>
      <c r="S242" s="584"/>
      <c r="T242" s="584"/>
      <c r="U242" s="588"/>
    </row>
    <row r="243" spans="1:21">
      <c r="A243" s="554"/>
      <c r="B243" s="556"/>
      <c r="C243" s="566"/>
      <c r="D243" s="94"/>
      <c r="E243" s="94"/>
      <c r="F243" s="94"/>
      <c r="G243" s="95"/>
      <c r="H243" s="567"/>
      <c r="I243" s="568"/>
      <c r="J243" s="569"/>
      <c r="K243" s="94"/>
      <c r="L243" s="94"/>
      <c r="M243" s="94"/>
      <c r="N243" s="570"/>
      <c r="O243" s="571"/>
      <c r="P243" s="566"/>
      <c r="Q243" s="572"/>
      <c r="R243" s="569"/>
      <c r="S243" s="570"/>
      <c r="T243" s="570"/>
      <c r="U243" s="571"/>
    </row>
    <row r="244" spans="1:21">
      <c r="A244" s="554"/>
      <c r="B244" s="573"/>
      <c r="C244" s="574"/>
      <c r="D244" s="226"/>
      <c r="E244" s="226"/>
      <c r="F244" s="226"/>
      <c r="G244" s="226"/>
      <c r="H244" s="575"/>
      <c r="I244" s="576"/>
      <c r="J244" s="577"/>
      <c r="K244" s="226"/>
      <c r="L244" s="226"/>
      <c r="M244" s="226"/>
      <c r="N244" s="226"/>
      <c r="O244" s="578"/>
      <c r="P244" s="574"/>
      <c r="Q244" s="579"/>
      <c r="R244" s="577"/>
      <c r="S244" s="226"/>
      <c r="T244" s="226"/>
      <c r="U244" s="578"/>
    </row>
    <row r="245" spans="1:21">
      <c r="A245" s="580"/>
      <c r="B245" s="581"/>
      <c r="C245" s="582"/>
      <c r="D245" s="584"/>
      <c r="E245" s="584"/>
      <c r="F245" s="584"/>
      <c r="G245" s="584"/>
      <c r="H245" s="585"/>
      <c r="I245" s="586"/>
      <c r="J245" s="587"/>
      <c r="K245" s="584"/>
      <c r="L245" s="584"/>
      <c r="M245" s="584"/>
      <c r="N245" s="584"/>
      <c r="O245" s="588"/>
      <c r="P245" s="582"/>
      <c r="Q245" s="589"/>
      <c r="R245" s="587"/>
      <c r="S245" s="584"/>
      <c r="T245" s="584"/>
      <c r="U245" s="588"/>
    </row>
    <row r="246" spans="1:21">
      <c r="A246" s="549"/>
      <c r="B246" s="556"/>
      <c r="C246" s="566"/>
      <c r="D246" s="94"/>
      <c r="E246" s="94"/>
      <c r="F246" s="94"/>
      <c r="G246" s="95"/>
      <c r="H246" s="567"/>
      <c r="I246" s="568"/>
      <c r="J246" s="569"/>
      <c r="K246" s="94"/>
      <c r="L246" s="94"/>
      <c r="M246" s="94"/>
      <c r="N246" s="570"/>
      <c r="O246" s="571"/>
      <c r="P246" s="566"/>
      <c r="Q246" s="572"/>
      <c r="R246" s="569"/>
      <c r="S246" s="570"/>
      <c r="T246" s="570"/>
      <c r="U246" s="571"/>
    </row>
    <row r="247" spans="1:21">
      <c r="A247" s="554"/>
      <c r="B247" s="573"/>
      <c r="C247" s="574"/>
      <c r="D247" s="226"/>
      <c r="E247" s="226"/>
      <c r="F247" s="226"/>
      <c r="G247" s="226"/>
      <c r="H247" s="575"/>
      <c r="I247" s="576"/>
      <c r="J247" s="577"/>
      <c r="K247" s="226"/>
      <c r="L247" s="226"/>
      <c r="M247" s="226"/>
      <c r="N247" s="226"/>
      <c r="O247" s="578"/>
      <c r="P247" s="574"/>
      <c r="Q247" s="579"/>
      <c r="R247" s="577"/>
      <c r="S247" s="226"/>
      <c r="T247" s="226"/>
      <c r="U247" s="578"/>
    </row>
    <row r="248" spans="1:21">
      <c r="A248" s="580"/>
      <c r="B248" s="581"/>
      <c r="C248" s="582"/>
      <c r="D248" s="584"/>
      <c r="E248" s="584"/>
      <c r="F248" s="584"/>
      <c r="G248" s="584"/>
      <c r="H248" s="585"/>
      <c r="I248" s="586"/>
      <c r="J248" s="587"/>
      <c r="K248" s="584"/>
      <c r="L248" s="584"/>
      <c r="M248" s="584"/>
      <c r="N248" s="584"/>
      <c r="O248" s="588"/>
      <c r="P248" s="582"/>
      <c r="Q248" s="589"/>
      <c r="R248" s="587"/>
      <c r="S248" s="584"/>
      <c r="T248" s="584"/>
      <c r="U248" s="588"/>
    </row>
    <row r="249" spans="1:21">
      <c r="A249" s="554"/>
      <c r="B249" s="556"/>
      <c r="C249" s="566"/>
      <c r="D249" s="94"/>
      <c r="E249" s="94"/>
      <c r="F249" s="94"/>
      <c r="G249" s="95"/>
      <c r="H249" s="567"/>
      <c r="I249" s="568"/>
      <c r="J249" s="569"/>
      <c r="K249" s="94"/>
      <c r="L249" s="94"/>
      <c r="M249" s="94"/>
      <c r="N249" s="570"/>
      <c r="O249" s="571"/>
      <c r="P249" s="566"/>
      <c r="Q249" s="572"/>
      <c r="R249" s="569"/>
      <c r="S249" s="570"/>
      <c r="T249" s="570"/>
      <c r="U249" s="571"/>
    </row>
    <row r="250" spans="1:21">
      <c r="A250" s="554"/>
      <c r="B250" s="573"/>
      <c r="C250" s="574"/>
      <c r="D250" s="226"/>
      <c r="E250" s="226"/>
      <c r="F250" s="226"/>
      <c r="G250" s="226"/>
      <c r="H250" s="575"/>
      <c r="I250" s="576"/>
      <c r="J250" s="577"/>
      <c r="K250" s="226"/>
      <c r="L250" s="226"/>
      <c r="M250" s="226"/>
      <c r="N250" s="226"/>
      <c r="O250" s="578"/>
      <c r="P250" s="574"/>
      <c r="Q250" s="579"/>
      <c r="R250" s="577"/>
      <c r="S250" s="226"/>
      <c r="T250" s="226"/>
      <c r="U250" s="578"/>
    </row>
    <row r="251" spans="1:21">
      <c r="A251" s="580"/>
      <c r="B251" s="581"/>
      <c r="C251" s="582"/>
      <c r="D251" s="584"/>
      <c r="E251" s="584"/>
      <c r="F251" s="584"/>
      <c r="G251" s="584"/>
      <c r="H251" s="585"/>
      <c r="I251" s="586"/>
      <c r="J251" s="587"/>
      <c r="K251" s="584"/>
      <c r="L251" s="584"/>
      <c r="M251" s="584"/>
      <c r="N251" s="584"/>
      <c r="O251" s="588"/>
      <c r="P251" s="582"/>
      <c r="Q251" s="589"/>
      <c r="R251" s="587"/>
      <c r="S251" s="584"/>
      <c r="T251" s="584"/>
      <c r="U251" s="588"/>
    </row>
    <row r="252" spans="1:21">
      <c r="A252" s="554"/>
      <c r="B252" s="556"/>
      <c r="C252" s="566"/>
      <c r="D252" s="94"/>
      <c r="E252" s="94"/>
      <c r="F252" s="94"/>
      <c r="G252" s="95"/>
      <c r="H252" s="567"/>
      <c r="I252" s="568"/>
      <c r="J252" s="569"/>
      <c r="K252" s="94"/>
      <c r="L252" s="94"/>
      <c r="M252" s="94"/>
      <c r="N252" s="570"/>
      <c r="O252" s="571"/>
      <c r="P252" s="566"/>
      <c r="Q252" s="572"/>
      <c r="R252" s="569"/>
      <c r="S252" s="570"/>
      <c r="T252" s="570"/>
      <c r="U252" s="571"/>
    </row>
    <row r="253" spans="1:21">
      <c r="A253" s="554"/>
      <c r="B253" s="573"/>
      <c r="C253" s="574"/>
      <c r="D253" s="226"/>
      <c r="E253" s="226"/>
      <c r="F253" s="226"/>
      <c r="G253" s="226"/>
      <c r="H253" s="575"/>
      <c r="I253" s="576"/>
      <c r="J253" s="577"/>
      <c r="K253" s="226"/>
      <c r="L253" s="226"/>
      <c r="M253" s="226"/>
      <c r="N253" s="226"/>
      <c r="O253" s="578"/>
      <c r="P253" s="574"/>
      <c r="Q253" s="579"/>
      <c r="R253" s="577"/>
      <c r="S253" s="226"/>
      <c r="T253" s="226"/>
      <c r="U253" s="578"/>
    </row>
    <row r="254" spans="1:21">
      <c r="A254" s="580"/>
      <c r="B254" s="581"/>
      <c r="C254" s="582"/>
      <c r="D254" s="584"/>
      <c r="E254" s="584"/>
      <c r="F254" s="584"/>
      <c r="G254" s="584"/>
      <c r="H254" s="585"/>
      <c r="I254" s="586"/>
      <c r="J254" s="587"/>
      <c r="K254" s="584"/>
      <c r="L254" s="584"/>
      <c r="M254" s="584"/>
      <c r="N254" s="584"/>
      <c r="O254" s="588"/>
      <c r="P254" s="582"/>
      <c r="Q254" s="589"/>
      <c r="R254" s="587"/>
      <c r="S254" s="584"/>
      <c r="T254" s="584"/>
      <c r="U254" s="588"/>
    </row>
    <row r="255" spans="1:21">
      <c r="A255" s="554"/>
      <c r="B255" s="556"/>
      <c r="C255" s="566"/>
      <c r="D255" s="94"/>
      <c r="E255" s="94"/>
      <c r="F255" s="94"/>
      <c r="G255" s="95"/>
      <c r="H255" s="567"/>
      <c r="I255" s="568"/>
      <c r="J255" s="569"/>
      <c r="K255" s="94"/>
      <c r="L255" s="94"/>
      <c r="M255" s="94"/>
      <c r="N255" s="570"/>
      <c r="O255" s="571"/>
      <c r="P255" s="566"/>
      <c r="Q255" s="572"/>
      <c r="R255" s="569"/>
      <c r="S255" s="570"/>
      <c r="T255" s="570"/>
      <c r="U255" s="571"/>
    </row>
    <row r="256" spans="1:21">
      <c r="A256" s="554"/>
      <c r="B256" s="573"/>
      <c r="C256" s="574"/>
      <c r="D256" s="226"/>
      <c r="E256" s="226"/>
      <c r="F256" s="226"/>
      <c r="G256" s="226"/>
      <c r="H256" s="575"/>
      <c r="I256" s="576"/>
      <c r="J256" s="577"/>
      <c r="K256" s="226"/>
      <c r="L256" s="226"/>
      <c r="M256" s="226"/>
      <c r="N256" s="226"/>
      <c r="O256" s="578"/>
      <c r="P256" s="574"/>
      <c r="Q256" s="579"/>
      <c r="R256" s="577"/>
      <c r="S256" s="226"/>
      <c r="T256" s="226"/>
      <c r="U256" s="578"/>
    </row>
    <row r="257" spans="1:21">
      <c r="A257" s="580"/>
      <c r="B257" s="581"/>
      <c r="C257" s="582"/>
      <c r="D257" s="584"/>
      <c r="E257" s="584"/>
      <c r="F257" s="584"/>
      <c r="G257" s="584"/>
      <c r="H257" s="585"/>
      <c r="I257" s="586"/>
      <c r="J257" s="587"/>
      <c r="K257" s="584"/>
      <c r="L257" s="584"/>
      <c r="M257" s="584"/>
      <c r="N257" s="584"/>
      <c r="O257" s="588"/>
      <c r="P257" s="582"/>
      <c r="Q257" s="589"/>
      <c r="R257" s="587"/>
      <c r="S257" s="584"/>
      <c r="T257" s="584"/>
      <c r="U257" s="588"/>
    </row>
    <row r="258" spans="1:21">
      <c r="A258" s="554"/>
      <c r="B258" s="556"/>
      <c r="C258" s="566"/>
      <c r="D258" s="94"/>
      <c r="E258" s="94"/>
      <c r="F258" s="94"/>
      <c r="G258" s="95"/>
      <c r="H258" s="567"/>
      <c r="I258" s="568"/>
      <c r="J258" s="569"/>
      <c r="K258" s="94"/>
      <c r="L258" s="94"/>
      <c r="M258" s="94"/>
      <c r="N258" s="570"/>
      <c r="O258" s="571"/>
      <c r="P258" s="566"/>
      <c r="Q258" s="572"/>
      <c r="R258" s="569"/>
      <c r="S258" s="570"/>
      <c r="T258" s="570"/>
      <c r="U258" s="571"/>
    </row>
    <row r="259" spans="1:21">
      <c r="A259" s="554"/>
      <c r="B259" s="573"/>
      <c r="C259" s="574"/>
      <c r="D259" s="226"/>
      <c r="E259" s="226"/>
      <c r="F259" s="226"/>
      <c r="G259" s="226"/>
      <c r="H259" s="575"/>
      <c r="I259" s="576"/>
      <c r="J259" s="577"/>
      <c r="K259" s="226"/>
      <c r="L259" s="226"/>
      <c r="M259" s="226"/>
      <c r="N259" s="226"/>
      <c r="O259" s="578"/>
      <c r="P259" s="574"/>
      <c r="Q259" s="579"/>
      <c r="R259" s="577"/>
      <c r="S259" s="226"/>
      <c r="T259" s="226"/>
      <c r="U259" s="578"/>
    </row>
    <row r="260" spans="1:21">
      <c r="A260" s="580"/>
      <c r="B260" s="581"/>
      <c r="C260" s="582"/>
      <c r="D260" s="584"/>
      <c r="E260" s="584"/>
      <c r="F260" s="584"/>
      <c r="G260" s="584"/>
      <c r="H260" s="585"/>
      <c r="I260" s="586"/>
      <c r="J260" s="587"/>
      <c r="K260" s="584"/>
      <c r="L260" s="584"/>
      <c r="M260" s="584"/>
      <c r="N260" s="584"/>
      <c r="O260" s="588"/>
      <c r="P260" s="582"/>
      <c r="Q260" s="589"/>
      <c r="R260" s="587"/>
      <c r="S260" s="584"/>
      <c r="T260" s="584"/>
      <c r="U260" s="588"/>
    </row>
    <row r="261" spans="1:21">
      <c r="A261" s="554"/>
      <c r="B261" s="556"/>
      <c r="C261" s="566"/>
      <c r="D261" s="94"/>
      <c r="E261" s="94"/>
      <c r="F261" s="94"/>
      <c r="G261" s="95"/>
      <c r="H261" s="567"/>
      <c r="I261" s="568"/>
      <c r="J261" s="569"/>
      <c r="K261" s="94"/>
      <c r="L261" s="94"/>
      <c r="M261" s="94"/>
      <c r="N261" s="570"/>
      <c r="O261" s="571"/>
      <c r="P261" s="566"/>
      <c r="Q261" s="572"/>
      <c r="R261" s="569"/>
      <c r="S261" s="570"/>
      <c r="T261" s="570"/>
      <c r="U261" s="571"/>
    </row>
    <row r="262" spans="1:21">
      <c r="A262" s="554"/>
      <c r="B262" s="573"/>
      <c r="C262" s="574"/>
      <c r="D262" s="226"/>
      <c r="E262" s="226"/>
      <c r="F262" s="226"/>
      <c r="G262" s="226"/>
      <c r="H262" s="575"/>
      <c r="I262" s="576"/>
      <c r="J262" s="577"/>
      <c r="K262" s="226"/>
      <c r="L262" s="226"/>
      <c r="M262" s="226"/>
      <c r="N262" s="226"/>
      <c r="O262" s="578"/>
      <c r="P262" s="574"/>
      <c r="Q262" s="579"/>
      <c r="R262" s="577"/>
      <c r="S262" s="226"/>
      <c r="T262" s="226"/>
      <c r="U262" s="578"/>
    </row>
    <row r="263" spans="1:21">
      <c r="A263" s="580"/>
      <c r="B263" s="581"/>
      <c r="C263" s="582"/>
      <c r="D263" s="584"/>
      <c r="E263" s="584"/>
      <c r="F263" s="584"/>
      <c r="G263" s="584"/>
      <c r="H263" s="585"/>
      <c r="I263" s="586"/>
      <c r="J263" s="587"/>
      <c r="K263" s="584"/>
      <c r="L263" s="584"/>
      <c r="M263" s="584"/>
      <c r="N263" s="584"/>
      <c r="O263" s="588"/>
      <c r="P263" s="582"/>
      <c r="Q263" s="589"/>
      <c r="R263" s="587"/>
      <c r="S263" s="584"/>
      <c r="T263" s="584"/>
      <c r="U263" s="588"/>
    </row>
    <row r="264" spans="1:21">
      <c r="A264" s="554"/>
      <c r="B264" s="556"/>
      <c r="C264" s="566"/>
      <c r="D264" s="94"/>
      <c r="E264" s="94"/>
      <c r="F264" s="94"/>
      <c r="G264" s="95"/>
      <c r="H264" s="567"/>
      <c r="I264" s="568"/>
      <c r="J264" s="569"/>
      <c r="K264" s="94"/>
      <c r="L264" s="94"/>
      <c r="M264" s="94"/>
      <c r="N264" s="570"/>
      <c r="O264" s="571"/>
      <c r="P264" s="566"/>
      <c r="Q264" s="572"/>
      <c r="R264" s="569"/>
      <c r="S264" s="570"/>
      <c r="T264" s="570"/>
      <c r="U264" s="571"/>
    </row>
    <row r="265" spans="1:21">
      <c r="A265" s="554"/>
      <c r="B265" s="573"/>
      <c r="C265" s="574"/>
      <c r="D265" s="226"/>
      <c r="E265" s="226"/>
      <c r="F265" s="226"/>
      <c r="G265" s="226"/>
      <c r="H265" s="575"/>
      <c r="I265" s="576"/>
      <c r="J265" s="577"/>
      <c r="K265" s="226"/>
      <c r="L265" s="226"/>
      <c r="M265" s="226"/>
      <c r="N265" s="226"/>
      <c r="O265" s="578"/>
      <c r="P265" s="574"/>
      <c r="Q265" s="579"/>
      <c r="R265" s="577"/>
      <c r="S265" s="226"/>
      <c r="T265" s="226"/>
      <c r="U265" s="578"/>
    </row>
    <row r="266" spans="1:21">
      <c r="A266" s="580"/>
      <c r="B266" s="581"/>
      <c r="C266" s="582"/>
      <c r="D266" s="584"/>
      <c r="E266" s="584"/>
      <c r="F266" s="584"/>
      <c r="G266" s="584"/>
      <c r="H266" s="585"/>
      <c r="I266" s="586"/>
      <c r="J266" s="587"/>
      <c r="K266" s="584"/>
      <c r="L266" s="584"/>
      <c r="M266" s="584"/>
      <c r="N266" s="584"/>
      <c r="O266" s="588"/>
      <c r="P266" s="582"/>
      <c r="Q266" s="589"/>
      <c r="R266" s="587"/>
      <c r="S266" s="584"/>
      <c r="T266" s="584"/>
      <c r="U266" s="588"/>
    </row>
    <row r="267" spans="1:21">
      <c r="A267" s="554"/>
      <c r="B267" s="556"/>
      <c r="C267" s="566"/>
      <c r="D267" s="94"/>
      <c r="E267" s="94"/>
      <c r="F267" s="94"/>
      <c r="G267" s="95"/>
      <c r="H267" s="567"/>
      <c r="I267" s="568"/>
      <c r="J267" s="569"/>
      <c r="K267" s="94"/>
      <c r="L267" s="94"/>
      <c r="M267" s="94"/>
      <c r="N267" s="570"/>
      <c r="O267" s="571"/>
      <c r="P267" s="566"/>
      <c r="Q267" s="572"/>
      <c r="R267" s="569"/>
      <c r="S267" s="570"/>
      <c r="T267" s="570"/>
      <c r="U267" s="571"/>
    </row>
    <row r="268" spans="1:21">
      <c r="A268" s="554"/>
      <c r="B268" s="573"/>
      <c r="C268" s="574"/>
      <c r="D268" s="226"/>
      <c r="E268" s="226"/>
      <c r="F268" s="226"/>
      <c r="G268" s="226"/>
      <c r="H268" s="575"/>
      <c r="I268" s="576"/>
      <c r="J268" s="577"/>
      <c r="K268" s="226"/>
      <c r="L268" s="226"/>
      <c r="M268" s="226"/>
      <c r="N268" s="226"/>
      <c r="O268" s="578"/>
      <c r="P268" s="574"/>
      <c r="Q268" s="579"/>
      <c r="R268" s="577"/>
      <c r="S268" s="226"/>
      <c r="T268" s="226"/>
      <c r="U268" s="578"/>
    </row>
    <row r="269" spans="1:21">
      <c r="A269" s="580"/>
      <c r="B269" s="581"/>
      <c r="C269" s="582"/>
      <c r="D269" s="584"/>
      <c r="E269" s="584"/>
      <c r="F269" s="584"/>
      <c r="G269" s="584"/>
      <c r="H269" s="585"/>
      <c r="I269" s="586"/>
      <c r="J269" s="587"/>
      <c r="K269" s="584"/>
      <c r="L269" s="584"/>
      <c r="M269" s="584"/>
      <c r="N269" s="584"/>
      <c r="O269" s="588"/>
      <c r="P269" s="582"/>
      <c r="Q269" s="589"/>
      <c r="R269" s="587"/>
      <c r="S269" s="584"/>
      <c r="T269" s="584"/>
      <c r="U269" s="588"/>
    </row>
    <row r="270" spans="1:21">
      <c r="A270" s="554"/>
      <c r="B270" s="556"/>
      <c r="C270" s="566"/>
      <c r="D270" s="94"/>
      <c r="E270" s="94"/>
      <c r="F270" s="94"/>
      <c r="G270" s="95"/>
      <c r="H270" s="567"/>
      <c r="I270" s="568"/>
      <c r="J270" s="569"/>
      <c r="K270" s="94"/>
      <c r="L270" s="94"/>
      <c r="M270" s="94"/>
      <c r="N270" s="570"/>
      <c r="O270" s="571"/>
      <c r="P270" s="566"/>
      <c r="Q270" s="572"/>
      <c r="R270" s="569"/>
      <c r="S270" s="570"/>
      <c r="T270" s="570"/>
      <c r="U270" s="571"/>
    </row>
    <row r="271" spans="1:21">
      <c r="A271" s="554"/>
      <c r="B271" s="573"/>
      <c r="C271" s="574"/>
      <c r="D271" s="226"/>
      <c r="E271" s="226"/>
      <c r="F271" s="226"/>
      <c r="G271" s="226"/>
      <c r="H271" s="575"/>
      <c r="I271" s="576"/>
      <c r="J271" s="577"/>
      <c r="K271" s="226"/>
      <c r="L271" s="226"/>
      <c r="M271" s="226"/>
      <c r="N271" s="226"/>
      <c r="O271" s="578"/>
      <c r="P271" s="574"/>
      <c r="Q271" s="579"/>
      <c r="R271" s="577"/>
      <c r="S271" s="226"/>
      <c r="T271" s="226"/>
      <c r="U271" s="578"/>
    </row>
    <row r="272" spans="1:21">
      <c r="A272" s="580"/>
      <c r="B272" s="581"/>
      <c r="C272" s="582"/>
      <c r="D272" s="584"/>
      <c r="E272" s="584"/>
      <c r="F272" s="584"/>
      <c r="G272" s="584"/>
      <c r="H272" s="585"/>
      <c r="I272" s="586"/>
      <c r="J272" s="587"/>
      <c r="K272" s="584"/>
      <c r="L272" s="584"/>
      <c r="M272" s="584"/>
      <c r="N272" s="584"/>
      <c r="O272" s="588"/>
      <c r="P272" s="582"/>
      <c r="Q272" s="589"/>
      <c r="R272" s="587"/>
      <c r="S272" s="584"/>
      <c r="T272" s="584"/>
      <c r="U272" s="588"/>
    </row>
    <row r="273" spans="1:21">
      <c r="A273" s="554"/>
      <c r="B273" s="556"/>
      <c r="C273" s="566"/>
      <c r="D273" s="94"/>
      <c r="E273" s="94"/>
      <c r="F273" s="94"/>
      <c r="G273" s="95"/>
      <c r="H273" s="567"/>
      <c r="I273" s="568"/>
      <c r="J273" s="569"/>
      <c r="K273" s="94"/>
      <c r="L273" s="94"/>
      <c r="M273" s="94"/>
      <c r="N273" s="570"/>
      <c r="O273" s="571"/>
      <c r="P273" s="566"/>
      <c r="Q273" s="572"/>
      <c r="R273" s="569"/>
      <c r="S273" s="570"/>
      <c r="T273" s="570"/>
      <c r="U273" s="571"/>
    </row>
    <row r="274" spans="1:21">
      <c r="A274" s="554"/>
      <c r="B274" s="573"/>
      <c r="C274" s="574"/>
      <c r="D274" s="226"/>
      <c r="E274" s="226"/>
      <c r="F274" s="226"/>
      <c r="G274" s="226"/>
      <c r="H274" s="575"/>
      <c r="I274" s="576"/>
      <c r="J274" s="577"/>
      <c r="K274" s="226"/>
      <c r="L274" s="226"/>
      <c r="M274" s="226"/>
      <c r="N274" s="226"/>
      <c r="O274" s="578"/>
      <c r="P274" s="574"/>
      <c r="Q274" s="579"/>
      <c r="R274" s="577"/>
      <c r="S274" s="226"/>
      <c r="T274" s="226"/>
      <c r="U274" s="578"/>
    </row>
    <row r="275" spans="1:21">
      <c r="A275" s="580"/>
      <c r="B275" s="581"/>
      <c r="C275" s="582"/>
      <c r="D275" s="584"/>
      <c r="E275" s="584"/>
      <c r="F275" s="584"/>
      <c r="G275" s="584"/>
      <c r="H275" s="585"/>
      <c r="I275" s="586"/>
      <c r="J275" s="587"/>
      <c r="K275" s="584"/>
      <c r="L275" s="584"/>
      <c r="M275" s="584"/>
      <c r="N275" s="584"/>
      <c r="O275" s="588"/>
      <c r="P275" s="582"/>
      <c r="Q275" s="589"/>
      <c r="R275" s="587"/>
      <c r="S275" s="584"/>
      <c r="T275" s="584"/>
      <c r="U275" s="588"/>
    </row>
    <row r="276" spans="1:21">
      <c r="A276" s="549"/>
      <c r="B276" s="556"/>
      <c r="C276" s="566"/>
      <c r="D276" s="94"/>
      <c r="E276" s="94"/>
      <c r="F276" s="94"/>
      <c r="G276" s="95"/>
      <c r="H276" s="567"/>
      <c r="I276" s="568"/>
      <c r="J276" s="569"/>
      <c r="K276" s="94"/>
      <c r="L276" s="94"/>
      <c r="M276" s="94"/>
      <c r="N276" s="570"/>
      <c r="O276" s="571"/>
      <c r="P276" s="566"/>
      <c r="Q276" s="572"/>
      <c r="R276" s="569"/>
      <c r="S276" s="570"/>
      <c r="T276" s="570"/>
      <c r="U276" s="571"/>
    </row>
    <row r="277" spans="1:21">
      <c r="A277" s="554"/>
      <c r="B277" s="573"/>
      <c r="C277" s="574"/>
      <c r="D277" s="226"/>
      <c r="E277" s="226"/>
      <c r="F277" s="226"/>
      <c r="G277" s="226"/>
      <c r="H277" s="575"/>
      <c r="I277" s="576"/>
      <c r="J277" s="577"/>
      <c r="K277" s="226"/>
      <c r="L277" s="226"/>
      <c r="M277" s="226"/>
      <c r="N277" s="226"/>
      <c r="O277" s="578"/>
      <c r="P277" s="574"/>
      <c r="Q277" s="579"/>
      <c r="R277" s="577"/>
      <c r="S277" s="226"/>
      <c r="T277" s="226"/>
      <c r="U277" s="578"/>
    </row>
    <row r="278" spans="1:21">
      <c r="A278" s="580"/>
      <c r="B278" s="581"/>
      <c r="C278" s="582"/>
      <c r="D278" s="584"/>
      <c r="E278" s="584"/>
      <c r="F278" s="584"/>
      <c r="G278" s="584"/>
      <c r="H278" s="585"/>
      <c r="I278" s="586"/>
      <c r="J278" s="587"/>
      <c r="K278" s="584"/>
      <c r="L278" s="584"/>
      <c r="M278" s="584"/>
      <c r="N278" s="584"/>
      <c r="O278" s="588"/>
      <c r="P278" s="582"/>
      <c r="Q278" s="589"/>
      <c r="R278" s="587"/>
      <c r="S278" s="584"/>
      <c r="T278" s="584"/>
      <c r="U278" s="588"/>
    </row>
    <row r="279" spans="1:21">
      <c r="A279" s="554"/>
      <c r="B279" s="556"/>
      <c r="C279" s="566"/>
      <c r="D279" s="94"/>
      <c r="E279" s="94"/>
      <c r="F279" s="94"/>
      <c r="G279" s="95"/>
      <c r="H279" s="567"/>
      <c r="I279" s="568"/>
      <c r="J279" s="569"/>
      <c r="K279" s="94"/>
      <c r="L279" s="94"/>
      <c r="M279" s="94"/>
      <c r="N279" s="570"/>
      <c r="O279" s="571"/>
      <c r="P279" s="566"/>
      <c r="Q279" s="572"/>
      <c r="R279" s="569"/>
      <c r="S279" s="570"/>
      <c r="T279" s="570"/>
      <c r="U279" s="571"/>
    </row>
    <row r="280" spans="1:21">
      <c r="A280" s="554"/>
      <c r="B280" s="573"/>
      <c r="C280" s="574"/>
      <c r="D280" s="226"/>
      <c r="E280" s="226"/>
      <c r="F280" s="226"/>
      <c r="G280" s="226"/>
      <c r="H280" s="575"/>
      <c r="I280" s="576"/>
      <c r="J280" s="577"/>
      <c r="K280" s="226"/>
      <c r="L280" s="226"/>
      <c r="M280" s="226"/>
      <c r="N280" s="226"/>
      <c r="O280" s="578"/>
      <c r="P280" s="574"/>
      <c r="Q280" s="579"/>
      <c r="R280" s="577"/>
      <c r="S280" s="226"/>
      <c r="T280" s="226"/>
      <c r="U280" s="578"/>
    </row>
    <row r="281" spans="1:21">
      <c r="A281" s="580"/>
      <c r="B281" s="581"/>
      <c r="C281" s="582"/>
      <c r="D281" s="584"/>
      <c r="E281" s="584"/>
      <c r="F281" s="584"/>
      <c r="G281" s="584"/>
      <c r="H281" s="585"/>
      <c r="I281" s="586"/>
      <c r="J281" s="587"/>
      <c r="K281" s="584"/>
      <c r="L281" s="584"/>
      <c r="M281" s="584"/>
      <c r="N281" s="584"/>
      <c r="O281" s="588"/>
      <c r="P281" s="582"/>
      <c r="Q281" s="589"/>
      <c r="R281" s="587"/>
      <c r="S281" s="584"/>
      <c r="T281" s="584"/>
      <c r="U281" s="588"/>
    </row>
    <row r="282" spans="1:21">
      <c r="A282" s="554"/>
      <c r="B282" s="556"/>
      <c r="C282" s="566"/>
      <c r="D282" s="94"/>
      <c r="E282" s="94"/>
      <c r="F282" s="94"/>
      <c r="G282" s="95"/>
      <c r="H282" s="567"/>
      <c r="I282" s="568"/>
      <c r="J282" s="569"/>
      <c r="K282" s="94"/>
      <c r="L282" s="94"/>
      <c r="M282" s="94"/>
      <c r="N282" s="570"/>
      <c r="O282" s="571"/>
      <c r="P282" s="566"/>
      <c r="Q282" s="572"/>
      <c r="R282" s="569"/>
      <c r="S282" s="570"/>
      <c r="T282" s="570"/>
      <c r="U282" s="571"/>
    </row>
    <row r="283" spans="1:21">
      <c r="A283" s="554"/>
      <c r="B283" s="573"/>
      <c r="C283" s="574"/>
      <c r="D283" s="226"/>
      <c r="E283" s="226"/>
      <c r="F283" s="226"/>
      <c r="G283" s="226"/>
      <c r="H283" s="575"/>
      <c r="I283" s="576"/>
      <c r="J283" s="577"/>
      <c r="K283" s="226"/>
      <c r="L283" s="226"/>
      <c r="M283" s="226"/>
      <c r="N283" s="226"/>
      <c r="O283" s="578"/>
      <c r="P283" s="574"/>
      <c r="Q283" s="579"/>
      <c r="R283" s="577"/>
      <c r="S283" s="226"/>
      <c r="T283" s="226"/>
      <c r="U283" s="578"/>
    </row>
    <row r="284" spans="1:21">
      <c r="A284" s="580"/>
      <c r="B284" s="581"/>
      <c r="C284" s="582"/>
      <c r="D284" s="584"/>
      <c r="E284" s="584"/>
      <c r="F284" s="584"/>
      <c r="G284" s="584"/>
      <c r="H284" s="585"/>
      <c r="I284" s="586"/>
      <c r="J284" s="587"/>
      <c r="K284" s="584"/>
      <c r="L284" s="584"/>
      <c r="M284" s="584"/>
      <c r="N284" s="584"/>
      <c r="O284" s="588"/>
      <c r="P284" s="582"/>
      <c r="Q284" s="589"/>
      <c r="R284" s="587"/>
      <c r="S284" s="584"/>
      <c r="T284" s="584"/>
      <c r="U284" s="588"/>
    </row>
    <row r="285" spans="1:21">
      <c r="A285" s="554"/>
      <c r="B285" s="556"/>
      <c r="C285" s="566"/>
      <c r="D285" s="94"/>
      <c r="E285" s="94"/>
      <c r="F285" s="94"/>
      <c r="G285" s="95"/>
      <c r="H285" s="567"/>
      <c r="I285" s="568"/>
      <c r="J285" s="569"/>
      <c r="K285" s="94"/>
      <c r="L285" s="94"/>
      <c r="M285" s="94"/>
      <c r="N285" s="570"/>
      <c r="O285" s="571"/>
      <c r="P285" s="566"/>
      <c r="Q285" s="572"/>
      <c r="R285" s="569"/>
      <c r="S285" s="570"/>
      <c r="T285" s="570"/>
      <c r="U285" s="571"/>
    </row>
    <row r="286" spans="1:21">
      <c r="A286" s="554"/>
      <c r="B286" s="573"/>
      <c r="C286" s="574"/>
      <c r="D286" s="226"/>
      <c r="E286" s="226"/>
      <c r="F286" s="226"/>
      <c r="G286" s="226"/>
      <c r="H286" s="575"/>
      <c r="I286" s="576"/>
      <c r="J286" s="577"/>
      <c r="K286" s="226"/>
      <c r="L286" s="226"/>
      <c r="M286" s="226"/>
      <c r="N286" s="226"/>
      <c r="O286" s="578"/>
      <c r="P286" s="574"/>
      <c r="Q286" s="579"/>
      <c r="R286" s="577"/>
      <c r="S286" s="226"/>
      <c r="T286" s="226"/>
      <c r="U286" s="578"/>
    </row>
    <row r="287" spans="1:21">
      <c r="A287" s="580"/>
      <c r="B287" s="581"/>
      <c r="C287" s="582"/>
      <c r="D287" s="584"/>
      <c r="E287" s="584"/>
      <c r="F287" s="584"/>
      <c r="G287" s="584"/>
      <c r="H287" s="585"/>
      <c r="I287" s="586"/>
      <c r="J287" s="587"/>
      <c r="K287" s="584"/>
      <c r="L287" s="584"/>
      <c r="M287" s="584"/>
      <c r="N287" s="584"/>
      <c r="O287" s="588"/>
      <c r="P287" s="582"/>
      <c r="Q287" s="589"/>
      <c r="R287" s="587"/>
      <c r="S287" s="584"/>
      <c r="T287" s="584"/>
      <c r="U287" s="588"/>
    </row>
    <row r="288" spans="1:21">
      <c r="A288" s="554"/>
      <c r="B288" s="556"/>
      <c r="C288" s="566"/>
      <c r="D288" s="94"/>
      <c r="E288" s="94"/>
      <c r="F288" s="94"/>
      <c r="G288" s="95"/>
      <c r="H288" s="567"/>
      <c r="I288" s="568"/>
      <c r="J288" s="569"/>
      <c r="K288" s="94"/>
      <c r="L288" s="94"/>
      <c r="M288" s="94"/>
      <c r="N288" s="570"/>
      <c r="O288" s="571"/>
      <c r="P288" s="566"/>
      <c r="Q288" s="572"/>
      <c r="R288" s="569"/>
      <c r="S288" s="570"/>
      <c r="T288" s="570"/>
      <c r="U288" s="571"/>
    </row>
    <row r="289" spans="1:21">
      <c r="A289" s="554"/>
      <c r="B289" s="573"/>
      <c r="C289" s="574"/>
      <c r="D289" s="226"/>
      <c r="E289" s="226"/>
      <c r="F289" s="226"/>
      <c r="G289" s="226"/>
      <c r="H289" s="575"/>
      <c r="I289" s="576"/>
      <c r="J289" s="577"/>
      <c r="K289" s="226"/>
      <c r="L289" s="226"/>
      <c r="M289" s="226"/>
      <c r="N289" s="226"/>
      <c r="O289" s="578"/>
      <c r="P289" s="574"/>
      <c r="Q289" s="579"/>
      <c r="R289" s="577"/>
      <c r="S289" s="226"/>
      <c r="T289" s="226"/>
      <c r="U289" s="578"/>
    </row>
    <row r="290" spans="1:21">
      <c r="A290" s="580"/>
      <c r="B290" s="581"/>
      <c r="C290" s="582"/>
      <c r="D290" s="584"/>
      <c r="E290" s="584"/>
      <c r="F290" s="584"/>
      <c r="G290" s="584"/>
      <c r="H290" s="585"/>
      <c r="I290" s="586"/>
      <c r="J290" s="587"/>
      <c r="K290" s="584"/>
      <c r="L290" s="584"/>
      <c r="M290" s="584"/>
      <c r="N290" s="584"/>
      <c r="O290" s="588"/>
      <c r="P290" s="582"/>
      <c r="Q290" s="589"/>
      <c r="R290" s="587"/>
      <c r="S290" s="584"/>
      <c r="T290" s="584"/>
      <c r="U290" s="588"/>
    </row>
    <row r="291" spans="1:21">
      <c r="A291" s="554"/>
      <c r="B291" s="556"/>
      <c r="C291" s="566"/>
      <c r="D291" s="94"/>
      <c r="E291" s="94"/>
      <c r="F291" s="94"/>
      <c r="G291" s="95"/>
      <c r="H291" s="567"/>
      <c r="I291" s="568"/>
      <c r="J291" s="569"/>
      <c r="K291" s="94"/>
      <c r="L291" s="94"/>
      <c r="M291" s="94"/>
      <c r="N291" s="570"/>
      <c r="O291" s="571"/>
      <c r="P291" s="566"/>
      <c r="Q291" s="572"/>
      <c r="R291" s="569"/>
      <c r="S291" s="570"/>
      <c r="T291" s="570"/>
      <c r="U291" s="571"/>
    </row>
    <row r="292" spans="1:21">
      <c r="A292" s="554"/>
      <c r="B292" s="573"/>
      <c r="C292" s="574"/>
      <c r="D292" s="226"/>
      <c r="E292" s="226"/>
      <c r="F292" s="226"/>
      <c r="G292" s="226"/>
      <c r="H292" s="575"/>
      <c r="I292" s="576"/>
      <c r="J292" s="577"/>
      <c r="K292" s="226"/>
      <c r="L292" s="226"/>
      <c r="M292" s="226"/>
      <c r="N292" s="226"/>
      <c r="O292" s="578"/>
      <c r="P292" s="574"/>
      <c r="Q292" s="579"/>
      <c r="R292" s="577"/>
      <c r="S292" s="226"/>
      <c r="T292" s="226"/>
      <c r="U292" s="578"/>
    </row>
    <row r="293" spans="1:21">
      <c r="A293" s="580"/>
      <c r="B293" s="581"/>
      <c r="C293" s="582"/>
      <c r="D293" s="584"/>
      <c r="E293" s="584"/>
      <c r="F293" s="584"/>
      <c r="G293" s="584"/>
      <c r="H293" s="585"/>
      <c r="I293" s="586"/>
      <c r="J293" s="587"/>
      <c r="K293" s="584"/>
      <c r="L293" s="584"/>
      <c r="M293" s="584"/>
      <c r="N293" s="584"/>
      <c r="O293" s="588"/>
      <c r="P293" s="582"/>
      <c r="Q293" s="589"/>
      <c r="R293" s="587"/>
      <c r="S293" s="584"/>
      <c r="T293" s="584"/>
      <c r="U293" s="588"/>
    </row>
    <row r="294" spans="1:21">
      <c r="A294" s="554"/>
      <c r="B294" s="556"/>
      <c r="C294" s="566"/>
      <c r="D294" s="94"/>
      <c r="E294" s="94"/>
      <c r="F294" s="94"/>
      <c r="G294" s="95"/>
      <c r="H294" s="567"/>
      <c r="I294" s="568"/>
      <c r="J294" s="569"/>
      <c r="K294" s="94"/>
      <c r="L294" s="94"/>
      <c r="M294" s="94"/>
      <c r="N294" s="570"/>
      <c r="O294" s="571"/>
      <c r="P294" s="566"/>
      <c r="Q294" s="572"/>
      <c r="R294" s="569"/>
      <c r="S294" s="570"/>
      <c r="T294" s="570"/>
      <c r="U294" s="571"/>
    </row>
    <row r="295" spans="1:21">
      <c r="A295" s="554"/>
      <c r="B295" s="573"/>
      <c r="C295" s="574"/>
      <c r="D295" s="226"/>
      <c r="E295" s="226"/>
      <c r="F295" s="226"/>
      <c r="G295" s="226"/>
      <c r="H295" s="575"/>
      <c r="I295" s="576"/>
      <c r="J295" s="577"/>
      <c r="K295" s="226"/>
      <c r="L295" s="226"/>
      <c r="M295" s="226"/>
      <c r="N295" s="226"/>
      <c r="O295" s="578"/>
      <c r="P295" s="574"/>
      <c r="Q295" s="579"/>
      <c r="R295" s="577"/>
      <c r="S295" s="226"/>
      <c r="T295" s="226"/>
      <c r="U295" s="578"/>
    </row>
    <row r="296" spans="1:21">
      <c r="A296" s="580"/>
      <c r="B296" s="581"/>
      <c r="C296" s="582"/>
      <c r="D296" s="584"/>
      <c r="E296" s="584"/>
      <c r="F296" s="584"/>
      <c r="G296" s="584"/>
      <c r="H296" s="585"/>
      <c r="I296" s="586"/>
      <c r="J296" s="587"/>
      <c r="K296" s="584"/>
      <c r="L296" s="584"/>
      <c r="M296" s="584"/>
      <c r="N296" s="584"/>
      <c r="O296" s="588"/>
      <c r="P296" s="582"/>
      <c r="Q296" s="589"/>
      <c r="R296" s="587"/>
      <c r="S296" s="584"/>
      <c r="T296" s="584"/>
      <c r="U296" s="588"/>
    </row>
    <row r="297" spans="1:21">
      <c r="A297" s="554"/>
      <c r="B297" s="556"/>
      <c r="C297" s="566"/>
      <c r="D297" s="94"/>
      <c r="E297" s="94"/>
      <c r="F297" s="94"/>
      <c r="G297" s="95"/>
      <c r="H297" s="567"/>
      <c r="I297" s="568"/>
      <c r="J297" s="569"/>
      <c r="K297" s="94"/>
      <c r="L297" s="94"/>
      <c r="M297" s="94"/>
      <c r="N297" s="570"/>
      <c r="O297" s="571"/>
      <c r="P297" s="566"/>
      <c r="Q297" s="572"/>
      <c r="R297" s="569"/>
      <c r="S297" s="570"/>
      <c r="T297" s="570"/>
      <c r="U297" s="571"/>
    </row>
    <row r="298" spans="1:21">
      <c r="A298" s="554"/>
      <c r="B298" s="573"/>
      <c r="C298" s="574"/>
      <c r="D298" s="226"/>
      <c r="E298" s="226"/>
      <c r="F298" s="226"/>
      <c r="G298" s="226"/>
      <c r="H298" s="575"/>
      <c r="I298" s="576"/>
      <c r="J298" s="577"/>
      <c r="K298" s="226"/>
      <c r="L298" s="226"/>
      <c r="M298" s="226"/>
      <c r="N298" s="226"/>
      <c r="O298" s="578"/>
      <c r="P298" s="574"/>
      <c r="Q298" s="579"/>
      <c r="R298" s="577"/>
      <c r="S298" s="226"/>
      <c r="T298" s="226"/>
      <c r="U298" s="578"/>
    </row>
    <row r="299" spans="1:21">
      <c r="A299" s="580"/>
      <c r="B299" s="581"/>
      <c r="C299" s="582"/>
      <c r="D299" s="584"/>
      <c r="E299" s="584"/>
      <c r="F299" s="584"/>
      <c r="G299" s="584"/>
      <c r="H299" s="585"/>
      <c r="I299" s="586"/>
      <c r="J299" s="587"/>
      <c r="K299" s="584"/>
      <c r="L299" s="584"/>
      <c r="M299" s="584"/>
      <c r="N299" s="584"/>
      <c r="O299" s="588"/>
      <c r="P299" s="582"/>
      <c r="Q299" s="589"/>
      <c r="R299" s="587"/>
      <c r="S299" s="584"/>
      <c r="T299" s="584"/>
      <c r="U299" s="588"/>
    </row>
    <row r="300" spans="1:21">
      <c r="A300" s="554"/>
      <c r="B300" s="556"/>
      <c r="C300" s="566"/>
      <c r="D300" s="94"/>
      <c r="E300" s="94"/>
      <c r="F300" s="94"/>
      <c r="G300" s="95"/>
      <c r="H300" s="567"/>
      <c r="I300" s="568"/>
      <c r="J300" s="569"/>
      <c r="K300" s="94"/>
      <c r="L300" s="94"/>
      <c r="M300" s="94"/>
      <c r="N300" s="570"/>
      <c r="O300" s="571"/>
      <c r="P300" s="566"/>
      <c r="Q300" s="572"/>
      <c r="R300" s="569"/>
      <c r="S300" s="570"/>
      <c r="T300" s="570"/>
      <c r="U300" s="571"/>
    </row>
    <row r="301" spans="1:21">
      <c r="A301" s="554"/>
      <c r="B301" s="573"/>
      <c r="C301" s="574"/>
      <c r="D301" s="226"/>
      <c r="E301" s="226"/>
      <c r="F301" s="226"/>
      <c r="G301" s="226"/>
      <c r="H301" s="575"/>
      <c r="I301" s="576"/>
      <c r="J301" s="577"/>
      <c r="K301" s="226"/>
      <c r="L301" s="226"/>
      <c r="M301" s="226"/>
      <c r="N301" s="226"/>
      <c r="O301" s="578"/>
      <c r="P301" s="574"/>
      <c r="Q301" s="579"/>
      <c r="R301" s="577"/>
      <c r="S301" s="226"/>
      <c r="T301" s="226"/>
      <c r="U301" s="578"/>
    </row>
    <row r="302" spans="1:21">
      <c r="A302" s="580"/>
      <c r="B302" s="581"/>
      <c r="C302" s="582"/>
      <c r="D302" s="584"/>
      <c r="E302" s="584"/>
      <c r="F302" s="584"/>
      <c r="G302" s="584"/>
      <c r="H302" s="585"/>
      <c r="I302" s="586"/>
      <c r="J302" s="587"/>
      <c r="K302" s="584"/>
      <c r="L302" s="584"/>
      <c r="M302" s="584"/>
      <c r="N302" s="584"/>
      <c r="O302" s="588"/>
      <c r="P302" s="582"/>
      <c r="Q302" s="589"/>
      <c r="R302" s="587"/>
      <c r="S302" s="584"/>
      <c r="T302" s="584"/>
      <c r="U302" s="588"/>
    </row>
    <row r="303" spans="1:21">
      <c r="A303" s="554"/>
      <c r="B303" s="556"/>
      <c r="C303" s="566"/>
      <c r="D303" s="94"/>
      <c r="E303" s="94"/>
      <c r="F303" s="94"/>
      <c r="G303" s="95"/>
      <c r="H303" s="567"/>
      <c r="I303" s="568"/>
      <c r="J303" s="569"/>
      <c r="K303" s="94"/>
      <c r="L303" s="94"/>
      <c r="M303" s="94"/>
      <c r="N303" s="570"/>
      <c r="O303" s="571"/>
      <c r="P303" s="566"/>
      <c r="Q303" s="572"/>
      <c r="R303" s="569"/>
      <c r="S303" s="570"/>
      <c r="T303" s="570"/>
      <c r="U303" s="571"/>
    </row>
    <row r="304" spans="1:21">
      <c r="A304" s="554"/>
      <c r="B304" s="573"/>
      <c r="C304" s="574"/>
      <c r="D304" s="226"/>
      <c r="E304" s="226"/>
      <c r="F304" s="226"/>
      <c r="G304" s="226"/>
      <c r="H304" s="575"/>
      <c r="I304" s="576"/>
      <c r="J304" s="577"/>
      <c r="K304" s="226"/>
      <c r="L304" s="226"/>
      <c r="M304" s="226"/>
      <c r="N304" s="226"/>
      <c r="O304" s="578"/>
      <c r="P304" s="574"/>
      <c r="Q304" s="579"/>
      <c r="R304" s="577"/>
      <c r="S304" s="226"/>
      <c r="T304" s="226"/>
      <c r="U304" s="578"/>
    </row>
    <row r="305" spans="1:21">
      <c r="A305" s="580"/>
      <c r="B305" s="581"/>
      <c r="C305" s="582"/>
      <c r="D305" s="584"/>
      <c r="E305" s="584"/>
      <c r="F305" s="584"/>
      <c r="G305" s="584"/>
      <c r="H305" s="585"/>
      <c r="I305" s="586"/>
      <c r="J305" s="587"/>
      <c r="K305" s="584"/>
      <c r="L305" s="584"/>
      <c r="M305" s="584"/>
      <c r="N305" s="584"/>
      <c r="O305" s="588"/>
      <c r="P305" s="582"/>
      <c r="Q305" s="589"/>
      <c r="R305" s="587"/>
      <c r="S305" s="584"/>
      <c r="T305" s="584"/>
      <c r="U305" s="588"/>
    </row>
    <row r="306" spans="1:21">
      <c r="A306" s="549"/>
      <c r="B306" s="556"/>
      <c r="C306" s="566"/>
      <c r="D306" s="94"/>
      <c r="E306" s="94"/>
      <c r="F306" s="94"/>
      <c r="G306" s="95"/>
      <c r="H306" s="567"/>
      <c r="I306" s="568"/>
      <c r="J306" s="569"/>
      <c r="K306" s="94"/>
      <c r="L306" s="94"/>
      <c r="M306" s="94"/>
      <c r="N306" s="570"/>
      <c r="O306" s="571"/>
      <c r="P306" s="566"/>
      <c r="Q306" s="572"/>
      <c r="R306" s="569"/>
      <c r="S306" s="570"/>
      <c r="T306" s="570"/>
      <c r="U306" s="571"/>
    </row>
    <row r="307" spans="1:21">
      <c r="A307" s="554"/>
      <c r="B307" s="573"/>
      <c r="C307" s="574"/>
      <c r="D307" s="226"/>
      <c r="E307" s="226"/>
      <c r="F307" s="226"/>
      <c r="G307" s="226"/>
      <c r="H307" s="575"/>
      <c r="I307" s="576"/>
      <c r="J307" s="577"/>
      <c r="K307" s="226"/>
      <c r="L307" s="226"/>
      <c r="M307" s="226"/>
      <c r="N307" s="226"/>
      <c r="O307" s="578"/>
      <c r="P307" s="574"/>
      <c r="Q307" s="579"/>
      <c r="R307" s="577"/>
      <c r="S307" s="226"/>
      <c r="T307" s="226"/>
      <c r="U307" s="578"/>
    </row>
    <row r="308" spans="1:21">
      <c r="A308" s="580"/>
      <c r="B308" s="581"/>
      <c r="C308" s="582"/>
      <c r="D308" s="584"/>
      <c r="E308" s="584"/>
      <c r="F308" s="584"/>
      <c r="G308" s="584"/>
      <c r="H308" s="585"/>
      <c r="I308" s="586"/>
      <c r="J308" s="587"/>
      <c r="K308" s="584"/>
      <c r="L308" s="584"/>
      <c r="M308" s="584"/>
      <c r="N308" s="584"/>
      <c r="O308" s="588"/>
      <c r="P308" s="582"/>
      <c r="Q308" s="589"/>
      <c r="R308" s="587"/>
      <c r="S308" s="584"/>
      <c r="T308" s="584"/>
      <c r="U308" s="588"/>
    </row>
    <row r="309" spans="1:21">
      <c r="A309" s="554"/>
      <c r="B309" s="556"/>
      <c r="C309" s="566"/>
      <c r="D309" s="94"/>
      <c r="E309" s="94"/>
      <c r="F309" s="94"/>
      <c r="G309" s="95"/>
      <c r="H309" s="567"/>
      <c r="I309" s="568"/>
      <c r="J309" s="569"/>
      <c r="K309" s="94"/>
      <c r="L309" s="94"/>
      <c r="M309" s="94"/>
      <c r="N309" s="570"/>
      <c r="O309" s="571"/>
      <c r="P309" s="566"/>
      <c r="Q309" s="572"/>
      <c r="R309" s="569"/>
      <c r="S309" s="570"/>
      <c r="T309" s="570"/>
      <c r="U309" s="571"/>
    </row>
    <row r="310" spans="1:21">
      <c r="A310" s="554"/>
      <c r="B310" s="573"/>
      <c r="C310" s="574"/>
      <c r="D310" s="226"/>
      <c r="E310" s="226"/>
      <c r="F310" s="226"/>
      <c r="G310" s="226"/>
      <c r="H310" s="575"/>
      <c r="I310" s="576"/>
      <c r="J310" s="577"/>
      <c r="K310" s="226"/>
      <c r="L310" s="226"/>
      <c r="M310" s="226"/>
      <c r="N310" s="226"/>
      <c r="O310" s="578"/>
      <c r="P310" s="574"/>
      <c r="Q310" s="579"/>
      <c r="R310" s="577"/>
      <c r="S310" s="226"/>
      <c r="T310" s="226"/>
      <c r="U310" s="578"/>
    </row>
    <row r="311" spans="1:21">
      <c r="A311" s="580"/>
      <c r="B311" s="581"/>
      <c r="C311" s="582"/>
      <c r="D311" s="584"/>
      <c r="E311" s="584"/>
      <c r="F311" s="584"/>
      <c r="G311" s="584"/>
      <c r="H311" s="585"/>
      <c r="I311" s="586"/>
      <c r="J311" s="587"/>
      <c r="K311" s="584"/>
      <c r="L311" s="584"/>
      <c r="M311" s="584"/>
      <c r="N311" s="584"/>
      <c r="O311" s="588"/>
      <c r="P311" s="582"/>
      <c r="Q311" s="589"/>
      <c r="R311" s="587"/>
      <c r="S311" s="584"/>
      <c r="T311" s="584"/>
      <c r="U311" s="588"/>
    </row>
    <row r="312" spans="1:21">
      <c r="A312" s="554"/>
      <c r="B312" s="556"/>
      <c r="C312" s="566"/>
      <c r="D312" s="94"/>
      <c r="E312" s="94"/>
      <c r="F312" s="94"/>
      <c r="G312" s="95"/>
      <c r="H312" s="567"/>
      <c r="I312" s="568"/>
      <c r="J312" s="569"/>
      <c r="K312" s="94"/>
      <c r="L312" s="94"/>
      <c r="M312" s="94"/>
      <c r="N312" s="570"/>
      <c r="O312" s="571"/>
      <c r="P312" s="566"/>
      <c r="Q312" s="572"/>
      <c r="R312" s="569"/>
      <c r="S312" s="570"/>
      <c r="T312" s="570"/>
      <c r="U312" s="571"/>
    </row>
    <row r="313" spans="1:21">
      <c r="A313" s="554"/>
      <c r="B313" s="573"/>
      <c r="C313" s="574"/>
      <c r="D313" s="226"/>
      <c r="E313" s="226"/>
      <c r="F313" s="226"/>
      <c r="G313" s="226"/>
      <c r="H313" s="575"/>
      <c r="I313" s="576"/>
      <c r="J313" s="577"/>
      <c r="K313" s="226"/>
      <c r="L313" s="226"/>
      <c r="M313" s="226"/>
      <c r="N313" s="226"/>
      <c r="O313" s="578"/>
      <c r="P313" s="574"/>
      <c r="Q313" s="579"/>
      <c r="R313" s="577"/>
      <c r="S313" s="226"/>
      <c r="T313" s="226"/>
      <c r="U313" s="578"/>
    </row>
    <row r="314" spans="1:21">
      <c r="A314" s="580"/>
      <c r="B314" s="581"/>
      <c r="C314" s="582"/>
      <c r="D314" s="584"/>
      <c r="E314" s="584"/>
      <c r="F314" s="584"/>
      <c r="G314" s="584"/>
      <c r="H314" s="585"/>
      <c r="I314" s="586"/>
      <c r="J314" s="587"/>
      <c r="K314" s="584"/>
      <c r="L314" s="584"/>
      <c r="M314" s="584"/>
      <c r="N314" s="584"/>
      <c r="O314" s="588"/>
      <c r="P314" s="582"/>
      <c r="Q314" s="589"/>
      <c r="R314" s="587"/>
      <c r="S314" s="584"/>
      <c r="T314" s="584"/>
      <c r="U314" s="588"/>
    </row>
    <row r="315" spans="1:21">
      <c r="A315" s="554"/>
      <c r="B315" s="556"/>
      <c r="C315" s="566"/>
      <c r="D315" s="94"/>
      <c r="E315" s="94"/>
      <c r="F315" s="94"/>
      <c r="G315" s="95"/>
      <c r="H315" s="567"/>
      <c r="I315" s="568"/>
      <c r="J315" s="569"/>
      <c r="K315" s="94"/>
      <c r="L315" s="94"/>
      <c r="M315" s="94"/>
      <c r="N315" s="570"/>
      <c r="O315" s="571"/>
      <c r="P315" s="566"/>
      <c r="Q315" s="572"/>
      <c r="R315" s="569"/>
      <c r="S315" s="570"/>
      <c r="T315" s="570"/>
      <c r="U315" s="571"/>
    </row>
    <row r="316" spans="1:21">
      <c r="A316" s="554"/>
      <c r="B316" s="573"/>
      <c r="C316" s="574"/>
      <c r="D316" s="226"/>
      <c r="E316" s="226"/>
      <c r="F316" s="226"/>
      <c r="G316" s="226"/>
      <c r="H316" s="575"/>
      <c r="I316" s="576"/>
      <c r="J316" s="577"/>
      <c r="K316" s="226"/>
      <c r="L316" s="226"/>
      <c r="M316" s="226"/>
      <c r="N316" s="226"/>
      <c r="O316" s="578"/>
      <c r="P316" s="574"/>
      <c r="Q316" s="579"/>
      <c r="R316" s="577"/>
      <c r="S316" s="226"/>
      <c r="T316" s="226"/>
      <c r="U316" s="578"/>
    </row>
    <row r="317" spans="1:21">
      <c r="A317" s="580"/>
      <c r="B317" s="581"/>
      <c r="C317" s="582"/>
      <c r="D317" s="584"/>
      <c r="E317" s="584"/>
      <c r="F317" s="584"/>
      <c r="G317" s="584"/>
      <c r="H317" s="585"/>
      <c r="I317" s="586"/>
      <c r="J317" s="587"/>
      <c r="K317" s="584"/>
      <c r="L317" s="584"/>
      <c r="M317" s="584"/>
      <c r="N317" s="584"/>
      <c r="O317" s="588"/>
      <c r="P317" s="582"/>
      <c r="Q317" s="589"/>
      <c r="R317" s="587"/>
      <c r="S317" s="584"/>
      <c r="T317" s="584"/>
      <c r="U317" s="588"/>
    </row>
    <row r="318" spans="1:21">
      <c r="A318" s="554"/>
      <c r="B318" s="556"/>
      <c r="C318" s="566"/>
      <c r="D318" s="94"/>
      <c r="E318" s="94"/>
      <c r="F318" s="94"/>
      <c r="G318" s="95"/>
      <c r="H318" s="567"/>
      <c r="I318" s="568"/>
      <c r="J318" s="569"/>
      <c r="K318" s="94"/>
      <c r="L318" s="94"/>
      <c r="M318" s="94"/>
      <c r="N318" s="570"/>
      <c r="O318" s="571"/>
      <c r="P318" s="566"/>
      <c r="Q318" s="572"/>
      <c r="R318" s="569"/>
      <c r="S318" s="570"/>
      <c r="T318" s="570"/>
      <c r="U318" s="571"/>
    </row>
    <row r="319" spans="1:21">
      <c r="A319" s="554"/>
      <c r="B319" s="573"/>
      <c r="C319" s="574"/>
      <c r="D319" s="226"/>
      <c r="E319" s="226"/>
      <c r="F319" s="226"/>
      <c r="G319" s="226"/>
      <c r="H319" s="575"/>
      <c r="I319" s="576"/>
      <c r="J319" s="577"/>
      <c r="K319" s="226"/>
      <c r="L319" s="226"/>
      <c r="M319" s="226"/>
      <c r="N319" s="226"/>
      <c r="O319" s="578"/>
      <c r="P319" s="574"/>
      <c r="Q319" s="579"/>
      <c r="R319" s="577"/>
      <c r="S319" s="226"/>
      <c r="T319" s="226"/>
      <c r="U319" s="578"/>
    </row>
    <row r="320" spans="1:21">
      <c r="A320" s="580"/>
      <c r="B320" s="581"/>
      <c r="C320" s="582"/>
      <c r="D320" s="584"/>
      <c r="E320" s="584"/>
      <c r="F320" s="584"/>
      <c r="G320" s="584"/>
      <c r="H320" s="585"/>
      <c r="I320" s="586"/>
      <c r="J320" s="587"/>
      <c r="K320" s="584"/>
      <c r="L320" s="584"/>
      <c r="M320" s="584"/>
      <c r="N320" s="584"/>
      <c r="O320" s="588"/>
      <c r="P320" s="582"/>
      <c r="Q320" s="589"/>
      <c r="R320" s="587"/>
      <c r="S320" s="584"/>
      <c r="T320" s="584"/>
      <c r="U320" s="588"/>
    </row>
    <row r="321" spans="1:21">
      <c r="A321" s="554"/>
      <c r="B321" s="556"/>
      <c r="C321" s="566"/>
      <c r="D321" s="94"/>
      <c r="E321" s="94"/>
      <c r="F321" s="94"/>
      <c r="G321" s="95"/>
      <c r="H321" s="567"/>
      <c r="I321" s="568"/>
      <c r="J321" s="569"/>
      <c r="K321" s="94"/>
      <c r="L321" s="94"/>
      <c r="M321" s="94"/>
      <c r="N321" s="570"/>
      <c r="O321" s="571"/>
      <c r="P321" s="566"/>
      <c r="Q321" s="572"/>
      <c r="R321" s="569"/>
      <c r="S321" s="570"/>
      <c r="T321" s="570"/>
      <c r="U321" s="571"/>
    </row>
    <row r="322" spans="1:21">
      <c r="A322" s="554"/>
      <c r="B322" s="573"/>
      <c r="C322" s="574"/>
      <c r="D322" s="226"/>
      <c r="E322" s="226"/>
      <c r="F322" s="226"/>
      <c r="G322" s="226"/>
      <c r="H322" s="575"/>
      <c r="I322" s="576"/>
      <c r="J322" s="577"/>
      <c r="K322" s="226"/>
      <c r="L322" s="226"/>
      <c r="M322" s="226"/>
      <c r="N322" s="226"/>
      <c r="O322" s="578"/>
      <c r="P322" s="574"/>
      <c r="Q322" s="579"/>
      <c r="R322" s="577"/>
      <c r="S322" s="226"/>
      <c r="T322" s="226"/>
      <c r="U322" s="578"/>
    </row>
    <row r="323" spans="1:21">
      <c r="A323" s="580"/>
      <c r="B323" s="581"/>
      <c r="C323" s="582"/>
      <c r="D323" s="584"/>
      <c r="E323" s="584"/>
      <c r="F323" s="584"/>
      <c r="G323" s="584"/>
      <c r="H323" s="585"/>
      <c r="I323" s="586"/>
      <c r="J323" s="587"/>
      <c r="K323" s="584"/>
      <c r="L323" s="584"/>
      <c r="M323" s="584"/>
      <c r="N323" s="584"/>
      <c r="O323" s="588"/>
      <c r="P323" s="582"/>
      <c r="Q323" s="589"/>
      <c r="R323" s="587"/>
      <c r="S323" s="584"/>
      <c r="T323" s="584"/>
      <c r="U323" s="588"/>
    </row>
    <row r="324" spans="1:21">
      <c r="A324" s="554"/>
      <c r="B324" s="556"/>
      <c r="C324" s="566"/>
      <c r="D324" s="94"/>
      <c r="E324" s="94"/>
      <c r="F324" s="94"/>
      <c r="G324" s="95"/>
      <c r="H324" s="567"/>
      <c r="I324" s="568"/>
      <c r="J324" s="569"/>
      <c r="K324" s="94"/>
      <c r="L324" s="94"/>
      <c r="M324" s="94"/>
      <c r="N324" s="570"/>
      <c r="O324" s="571"/>
      <c r="P324" s="566"/>
      <c r="Q324" s="572"/>
      <c r="R324" s="569"/>
      <c r="S324" s="570"/>
      <c r="T324" s="570"/>
      <c r="U324" s="571"/>
    </row>
    <row r="325" spans="1:21">
      <c r="A325" s="554"/>
      <c r="B325" s="573"/>
      <c r="C325" s="574"/>
      <c r="D325" s="226"/>
      <c r="E325" s="226"/>
      <c r="F325" s="226"/>
      <c r="G325" s="226"/>
      <c r="H325" s="575"/>
      <c r="I325" s="576"/>
      <c r="J325" s="577"/>
      <c r="K325" s="226"/>
      <c r="L325" s="226"/>
      <c r="M325" s="226"/>
      <c r="N325" s="226"/>
      <c r="O325" s="578"/>
      <c r="P325" s="574"/>
      <c r="Q325" s="579"/>
      <c r="R325" s="577"/>
      <c r="S325" s="226"/>
      <c r="T325" s="226"/>
      <c r="U325" s="578"/>
    </row>
    <row r="326" spans="1:21">
      <c r="A326" s="580"/>
      <c r="B326" s="581"/>
      <c r="C326" s="582"/>
      <c r="D326" s="584"/>
      <c r="E326" s="584"/>
      <c r="F326" s="584"/>
      <c r="G326" s="584"/>
      <c r="H326" s="585"/>
      <c r="I326" s="586"/>
      <c r="J326" s="587"/>
      <c r="K326" s="584"/>
      <c r="L326" s="584"/>
      <c r="M326" s="584"/>
      <c r="N326" s="584"/>
      <c r="O326" s="588"/>
      <c r="P326" s="582"/>
      <c r="Q326" s="589"/>
      <c r="R326" s="587"/>
      <c r="S326" s="584"/>
      <c r="T326" s="584"/>
      <c r="U326" s="588"/>
    </row>
    <row r="327" spans="1:21">
      <c r="A327" s="554"/>
      <c r="B327" s="556"/>
      <c r="C327" s="566"/>
      <c r="D327" s="94"/>
      <c r="E327" s="94"/>
      <c r="F327" s="94"/>
      <c r="G327" s="95"/>
      <c r="H327" s="567"/>
      <c r="I327" s="568"/>
      <c r="J327" s="569"/>
      <c r="K327" s="94"/>
      <c r="L327" s="94"/>
      <c r="M327" s="94"/>
      <c r="N327" s="570"/>
      <c r="O327" s="571"/>
      <c r="P327" s="566"/>
      <c r="Q327" s="572"/>
      <c r="R327" s="569"/>
      <c r="S327" s="570"/>
      <c r="T327" s="570"/>
      <c r="U327" s="571"/>
    </row>
    <row r="328" spans="1:21">
      <c r="A328" s="554"/>
      <c r="B328" s="573"/>
      <c r="C328" s="574"/>
      <c r="D328" s="226"/>
      <c r="E328" s="226"/>
      <c r="F328" s="226"/>
      <c r="G328" s="226"/>
      <c r="H328" s="575"/>
      <c r="I328" s="576"/>
      <c r="J328" s="577"/>
      <c r="K328" s="226"/>
      <c r="L328" s="226"/>
      <c r="M328" s="226"/>
      <c r="N328" s="226"/>
      <c r="O328" s="578"/>
      <c r="P328" s="574"/>
      <c r="Q328" s="579"/>
      <c r="R328" s="577"/>
      <c r="S328" s="226"/>
      <c r="T328" s="226"/>
      <c r="U328" s="578"/>
    </row>
    <row r="329" spans="1:21">
      <c r="A329" s="580"/>
      <c r="B329" s="581"/>
      <c r="C329" s="582"/>
      <c r="D329" s="584"/>
      <c r="E329" s="584"/>
      <c r="F329" s="584"/>
      <c r="G329" s="584"/>
      <c r="H329" s="585"/>
      <c r="I329" s="586"/>
      <c r="J329" s="587"/>
      <c r="K329" s="584"/>
      <c r="L329" s="584"/>
      <c r="M329" s="584"/>
      <c r="N329" s="584"/>
      <c r="O329" s="588"/>
      <c r="P329" s="582"/>
      <c r="Q329" s="589"/>
      <c r="R329" s="587"/>
      <c r="S329" s="584"/>
      <c r="T329" s="584"/>
      <c r="U329" s="588"/>
    </row>
    <row r="330" spans="1:21">
      <c r="A330" s="554"/>
      <c r="B330" s="556"/>
      <c r="C330" s="566"/>
      <c r="D330" s="94"/>
      <c r="E330" s="94"/>
      <c r="F330" s="94"/>
      <c r="G330" s="95"/>
      <c r="H330" s="567"/>
      <c r="I330" s="568"/>
      <c r="J330" s="569"/>
      <c r="K330" s="94"/>
      <c r="L330" s="94"/>
      <c r="M330" s="94"/>
      <c r="N330" s="570"/>
      <c r="O330" s="571"/>
      <c r="P330" s="566"/>
      <c r="Q330" s="572"/>
      <c r="R330" s="569"/>
      <c r="S330" s="570"/>
      <c r="T330" s="570"/>
      <c r="U330" s="571"/>
    </row>
    <row r="331" spans="1:21">
      <c r="A331" s="554"/>
      <c r="B331" s="573"/>
      <c r="C331" s="574"/>
      <c r="D331" s="226"/>
      <c r="E331" s="226"/>
      <c r="F331" s="226"/>
      <c r="G331" s="226"/>
      <c r="H331" s="575"/>
      <c r="I331" s="576"/>
      <c r="J331" s="577"/>
      <c r="K331" s="226"/>
      <c r="L331" s="226"/>
      <c r="M331" s="226"/>
      <c r="N331" s="226"/>
      <c r="O331" s="578"/>
      <c r="P331" s="574"/>
      <c r="Q331" s="579"/>
      <c r="R331" s="577"/>
      <c r="S331" s="226"/>
      <c r="T331" s="226"/>
      <c r="U331" s="578"/>
    </row>
    <row r="332" spans="1:21">
      <c r="A332" s="580"/>
      <c r="B332" s="581"/>
      <c r="C332" s="582"/>
      <c r="D332" s="584"/>
      <c r="E332" s="584"/>
      <c r="F332" s="584"/>
      <c r="G332" s="584"/>
      <c r="H332" s="585"/>
      <c r="I332" s="586"/>
      <c r="J332" s="587"/>
      <c r="K332" s="584"/>
      <c r="L332" s="584"/>
      <c r="M332" s="584"/>
      <c r="N332" s="584"/>
      <c r="O332" s="588"/>
      <c r="P332" s="582"/>
      <c r="Q332" s="589"/>
      <c r="R332" s="587"/>
      <c r="S332" s="584"/>
      <c r="T332" s="584"/>
      <c r="U332" s="588"/>
    </row>
    <row r="333" spans="1:21">
      <c r="A333" s="554"/>
      <c r="B333" s="556"/>
      <c r="C333" s="566"/>
      <c r="D333" s="94"/>
      <c r="E333" s="94"/>
      <c r="F333" s="94"/>
      <c r="G333" s="95"/>
      <c r="H333" s="567"/>
      <c r="I333" s="568"/>
      <c r="J333" s="569"/>
      <c r="K333" s="94"/>
      <c r="L333" s="94"/>
      <c r="M333" s="94"/>
      <c r="N333" s="570"/>
      <c r="O333" s="571"/>
      <c r="P333" s="566"/>
      <c r="Q333" s="572"/>
      <c r="R333" s="569"/>
      <c r="S333" s="570"/>
      <c r="T333" s="570"/>
      <c r="U333" s="571"/>
    </row>
    <row r="334" spans="1:21">
      <c r="A334" s="554"/>
      <c r="B334" s="573"/>
      <c r="C334" s="574"/>
      <c r="D334" s="226"/>
      <c r="E334" s="226"/>
      <c r="F334" s="226"/>
      <c r="G334" s="226"/>
      <c r="H334" s="575"/>
      <c r="I334" s="576"/>
      <c r="J334" s="577"/>
      <c r="K334" s="226"/>
      <c r="L334" s="226"/>
      <c r="M334" s="226"/>
      <c r="N334" s="226"/>
      <c r="O334" s="578"/>
      <c r="P334" s="574"/>
      <c r="Q334" s="579"/>
      <c r="R334" s="577"/>
      <c r="S334" s="226"/>
      <c r="T334" s="226"/>
      <c r="U334" s="578"/>
    </row>
    <row r="335" spans="1:21">
      <c r="A335" s="580"/>
      <c r="B335" s="581"/>
      <c r="C335" s="582"/>
      <c r="D335" s="584"/>
      <c r="E335" s="584"/>
      <c r="F335" s="584"/>
      <c r="G335" s="584"/>
      <c r="H335" s="585"/>
      <c r="I335" s="586"/>
      <c r="J335" s="587"/>
      <c r="K335" s="584"/>
      <c r="L335" s="584"/>
      <c r="M335" s="584"/>
      <c r="N335" s="584"/>
      <c r="O335" s="588"/>
      <c r="P335" s="582"/>
      <c r="Q335" s="589"/>
      <c r="R335" s="587"/>
      <c r="S335" s="584"/>
      <c r="T335" s="584"/>
      <c r="U335" s="588"/>
    </row>
    <row r="336" spans="1:21">
      <c r="A336" s="549"/>
      <c r="B336" s="556"/>
      <c r="C336" s="566"/>
      <c r="D336" s="94"/>
      <c r="E336" s="94"/>
      <c r="F336" s="94"/>
      <c r="G336" s="95"/>
      <c r="H336" s="567"/>
      <c r="I336" s="568"/>
      <c r="J336" s="569"/>
      <c r="K336" s="94"/>
      <c r="L336" s="94"/>
      <c r="M336" s="94"/>
      <c r="N336" s="570"/>
      <c r="O336" s="571"/>
      <c r="P336" s="566"/>
      <c r="Q336" s="572"/>
      <c r="R336" s="569"/>
      <c r="S336" s="570"/>
      <c r="T336" s="570"/>
      <c r="U336" s="571"/>
    </row>
    <row r="337" spans="1:21">
      <c r="A337" s="554"/>
      <c r="B337" s="573"/>
      <c r="C337" s="574"/>
      <c r="D337" s="226"/>
      <c r="E337" s="226"/>
      <c r="F337" s="226"/>
      <c r="G337" s="226"/>
      <c r="H337" s="575"/>
      <c r="I337" s="576"/>
      <c r="J337" s="577"/>
      <c r="K337" s="226"/>
      <c r="L337" s="226"/>
      <c r="M337" s="226"/>
      <c r="N337" s="226"/>
      <c r="O337" s="578"/>
      <c r="P337" s="574"/>
      <c r="Q337" s="579"/>
      <c r="R337" s="577"/>
      <c r="S337" s="226"/>
      <c r="T337" s="226"/>
      <c r="U337" s="578"/>
    </row>
    <row r="338" spans="1:21">
      <c r="A338" s="580"/>
      <c r="B338" s="581"/>
      <c r="C338" s="582"/>
      <c r="D338" s="584"/>
      <c r="E338" s="584"/>
      <c r="F338" s="584"/>
      <c r="G338" s="584"/>
      <c r="H338" s="585"/>
      <c r="I338" s="586"/>
      <c r="J338" s="587"/>
      <c r="K338" s="584"/>
      <c r="L338" s="584"/>
      <c r="M338" s="584"/>
      <c r="N338" s="584"/>
      <c r="O338" s="588"/>
      <c r="P338" s="582"/>
      <c r="Q338" s="589"/>
      <c r="R338" s="587"/>
      <c r="S338" s="584"/>
      <c r="T338" s="584"/>
      <c r="U338" s="588"/>
    </row>
    <row r="339" spans="1:21">
      <c r="A339" s="554"/>
      <c r="B339" s="556"/>
      <c r="C339" s="566"/>
      <c r="D339" s="94"/>
      <c r="E339" s="94"/>
      <c r="F339" s="94"/>
      <c r="G339" s="95"/>
      <c r="H339" s="567"/>
      <c r="I339" s="568"/>
      <c r="J339" s="569"/>
      <c r="K339" s="94"/>
      <c r="L339" s="94"/>
      <c r="M339" s="94"/>
      <c r="N339" s="570"/>
      <c r="O339" s="571"/>
      <c r="P339" s="566"/>
      <c r="Q339" s="572"/>
      <c r="R339" s="569"/>
      <c r="S339" s="570"/>
      <c r="T339" s="570"/>
      <c r="U339" s="571"/>
    </row>
    <row r="340" spans="1:21">
      <c r="A340" s="554"/>
      <c r="B340" s="573"/>
      <c r="C340" s="574"/>
      <c r="D340" s="226"/>
      <c r="E340" s="226"/>
      <c r="F340" s="226"/>
      <c r="G340" s="226"/>
      <c r="H340" s="575"/>
      <c r="I340" s="576"/>
      <c r="J340" s="577"/>
      <c r="K340" s="226"/>
      <c r="L340" s="226"/>
      <c r="M340" s="226"/>
      <c r="N340" s="226"/>
      <c r="O340" s="578"/>
      <c r="P340" s="574"/>
      <c r="Q340" s="579"/>
      <c r="R340" s="577"/>
      <c r="S340" s="226"/>
      <c r="T340" s="226"/>
      <c r="U340" s="578"/>
    </row>
    <row r="341" spans="1:21">
      <c r="A341" s="580"/>
      <c r="B341" s="581"/>
      <c r="C341" s="582"/>
      <c r="D341" s="584"/>
      <c r="E341" s="584"/>
      <c r="F341" s="584"/>
      <c r="G341" s="584"/>
      <c r="H341" s="585"/>
      <c r="I341" s="586"/>
      <c r="J341" s="587"/>
      <c r="K341" s="584"/>
      <c r="L341" s="584"/>
      <c r="M341" s="584"/>
      <c r="N341" s="584"/>
      <c r="O341" s="588"/>
      <c r="P341" s="582"/>
      <c r="Q341" s="589"/>
      <c r="R341" s="587"/>
      <c r="S341" s="584"/>
      <c r="T341" s="584"/>
      <c r="U341" s="588"/>
    </row>
    <row r="342" spans="1:21">
      <c r="A342" s="554"/>
      <c r="B342" s="556"/>
      <c r="C342" s="566"/>
      <c r="D342" s="94"/>
      <c r="E342" s="94"/>
      <c r="F342" s="94"/>
      <c r="G342" s="95"/>
      <c r="H342" s="567"/>
      <c r="I342" s="568"/>
      <c r="J342" s="569"/>
      <c r="K342" s="94"/>
      <c r="L342" s="94"/>
      <c r="M342" s="94"/>
      <c r="N342" s="570"/>
      <c r="O342" s="571"/>
      <c r="P342" s="566"/>
      <c r="Q342" s="572"/>
      <c r="R342" s="569"/>
      <c r="S342" s="570"/>
      <c r="T342" s="570"/>
      <c r="U342" s="571"/>
    </row>
    <row r="343" spans="1:21">
      <c r="A343" s="554"/>
      <c r="B343" s="573"/>
      <c r="C343" s="574"/>
      <c r="D343" s="226"/>
      <c r="E343" s="226"/>
      <c r="F343" s="226"/>
      <c r="G343" s="226"/>
      <c r="H343" s="575"/>
      <c r="I343" s="576"/>
      <c r="J343" s="577"/>
      <c r="K343" s="226"/>
      <c r="L343" s="226"/>
      <c r="M343" s="226"/>
      <c r="N343" s="226"/>
      <c r="O343" s="578"/>
      <c r="P343" s="574"/>
      <c r="Q343" s="579"/>
      <c r="R343" s="577"/>
      <c r="S343" s="226"/>
      <c r="T343" s="226"/>
      <c r="U343" s="578"/>
    </row>
    <row r="344" spans="1:21">
      <c r="A344" s="580"/>
      <c r="B344" s="581"/>
      <c r="C344" s="582"/>
      <c r="D344" s="584"/>
      <c r="E344" s="584"/>
      <c r="F344" s="584"/>
      <c r="G344" s="584"/>
      <c r="H344" s="585"/>
      <c r="I344" s="586"/>
      <c r="J344" s="587"/>
      <c r="K344" s="584"/>
      <c r="L344" s="584"/>
      <c r="M344" s="584"/>
      <c r="N344" s="584"/>
      <c r="O344" s="588"/>
      <c r="P344" s="582"/>
      <c r="Q344" s="589"/>
      <c r="R344" s="587"/>
      <c r="S344" s="584"/>
      <c r="T344" s="584"/>
      <c r="U344" s="588"/>
    </row>
    <row r="345" spans="1:21">
      <c r="A345" s="554"/>
      <c r="B345" s="556"/>
      <c r="C345" s="566"/>
      <c r="D345" s="94"/>
      <c r="E345" s="94"/>
      <c r="F345" s="94"/>
      <c r="G345" s="95"/>
      <c r="H345" s="567"/>
      <c r="I345" s="568"/>
      <c r="J345" s="569"/>
      <c r="K345" s="94"/>
      <c r="L345" s="94"/>
      <c r="M345" s="94"/>
      <c r="N345" s="570"/>
      <c r="O345" s="571"/>
      <c r="P345" s="566"/>
      <c r="Q345" s="572"/>
      <c r="R345" s="569"/>
      <c r="S345" s="570"/>
      <c r="T345" s="570"/>
      <c r="U345" s="571"/>
    </row>
    <row r="346" spans="1:21">
      <c r="A346" s="554"/>
      <c r="B346" s="573"/>
      <c r="C346" s="574"/>
      <c r="D346" s="226"/>
      <c r="E346" s="226"/>
      <c r="F346" s="226"/>
      <c r="G346" s="226"/>
      <c r="H346" s="575"/>
      <c r="I346" s="576"/>
      <c r="J346" s="577"/>
      <c r="K346" s="226"/>
      <c r="L346" s="226"/>
      <c r="M346" s="226"/>
      <c r="N346" s="226"/>
      <c r="O346" s="578"/>
      <c r="P346" s="574"/>
      <c r="Q346" s="579"/>
      <c r="R346" s="577"/>
      <c r="S346" s="226"/>
      <c r="T346" s="226"/>
      <c r="U346" s="578"/>
    </row>
    <row r="347" spans="1:21">
      <c r="A347" s="580"/>
      <c r="B347" s="581"/>
      <c r="C347" s="582"/>
      <c r="D347" s="584"/>
      <c r="E347" s="584"/>
      <c r="F347" s="584"/>
      <c r="G347" s="584"/>
      <c r="H347" s="585"/>
      <c r="I347" s="586"/>
      <c r="J347" s="587"/>
      <c r="K347" s="584"/>
      <c r="L347" s="584"/>
      <c r="M347" s="584"/>
      <c r="N347" s="584"/>
      <c r="O347" s="588"/>
      <c r="P347" s="582"/>
      <c r="Q347" s="589"/>
      <c r="R347" s="587"/>
      <c r="S347" s="584"/>
      <c r="T347" s="584"/>
      <c r="U347" s="588"/>
    </row>
    <row r="348" spans="1:21">
      <c r="A348" s="554"/>
      <c r="B348" s="556"/>
      <c r="C348" s="566"/>
      <c r="D348" s="94"/>
      <c r="E348" s="94"/>
      <c r="F348" s="94"/>
      <c r="G348" s="95"/>
      <c r="H348" s="567"/>
      <c r="I348" s="568"/>
      <c r="J348" s="569"/>
      <c r="K348" s="94"/>
      <c r="L348" s="94"/>
      <c r="M348" s="94"/>
      <c r="N348" s="570"/>
      <c r="O348" s="571"/>
      <c r="P348" s="566"/>
      <c r="Q348" s="572"/>
      <c r="R348" s="569"/>
      <c r="S348" s="570"/>
      <c r="T348" s="570"/>
      <c r="U348" s="571"/>
    </row>
    <row r="349" spans="1:21">
      <c r="A349" s="554"/>
      <c r="B349" s="573"/>
      <c r="C349" s="574"/>
      <c r="D349" s="226"/>
      <c r="E349" s="226"/>
      <c r="F349" s="226"/>
      <c r="G349" s="226"/>
      <c r="H349" s="575"/>
      <c r="I349" s="576"/>
      <c r="J349" s="577"/>
      <c r="K349" s="226"/>
      <c r="L349" s="226"/>
      <c r="M349" s="226"/>
      <c r="N349" s="226"/>
      <c r="O349" s="578"/>
      <c r="P349" s="574"/>
      <c r="Q349" s="579"/>
      <c r="R349" s="577"/>
      <c r="S349" s="226"/>
      <c r="T349" s="226"/>
      <c r="U349" s="578"/>
    </row>
    <row r="350" spans="1:21">
      <c r="A350" s="580"/>
      <c r="B350" s="581"/>
      <c r="C350" s="582"/>
      <c r="D350" s="584"/>
      <c r="E350" s="584"/>
      <c r="F350" s="584"/>
      <c r="G350" s="584"/>
      <c r="H350" s="585"/>
      <c r="I350" s="586"/>
      <c r="J350" s="587"/>
      <c r="K350" s="584"/>
      <c r="L350" s="584"/>
      <c r="M350" s="584"/>
      <c r="N350" s="584"/>
      <c r="O350" s="588"/>
      <c r="P350" s="582"/>
      <c r="Q350" s="589"/>
      <c r="R350" s="587"/>
      <c r="S350" s="584"/>
      <c r="T350" s="584"/>
      <c r="U350" s="588"/>
    </row>
    <row r="351" spans="1:21">
      <c r="A351" s="554"/>
      <c r="B351" s="556"/>
      <c r="C351" s="566"/>
      <c r="D351" s="94"/>
      <c r="E351" s="94"/>
      <c r="F351" s="94"/>
      <c r="G351" s="95"/>
      <c r="H351" s="567"/>
      <c r="I351" s="568"/>
      <c r="J351" s="569"/>
      <c r="K351" s="94"/>
      <c r="L351" s="94"/>
      <c r="M351" s="94"/>
      <c r="N351" s="570"/>
      <c r="O351" s="571"/>
      <c r="P351" s="566"/>
      <c r="Q351" s="572"/>
      <c r="R351" s="569"/>
      <c r="S351" s="570"/>
      <c r="T351" s="570"/>
      <c r="U351" s="571"/>
    </row>
    <row r="352" spans="1:21">
      <c r="A352" s="554"/>
      <c r="B352" s="573"/>
      <c r="C352" s="574"/>
      <c r="D352" s="226"/>
      <c r="E352" s="226"/>
      <c r="F352" s="226"/>
      <c r="G352" s="226"/>
      <c r="H352" s="575"/>
      <c r="I352" s="576"/>
      <c r="J352" s="577"/>
      <c r="K352" s="226"/>
      <c r="L352" s="226"/>
      <c r="M352" s="226"/>
      <c r="N352" s="226"/>
      <c r="O352" s="578"/>
      <c r="P352" s="574"/>
      <c r="Q352" s="579"/>
      <c r="R352" s="577"/>
      <c r="S352" s="226"/>
      <c r="T352" s="226"/>
      <c r="U352" s="578"/>
    </row>
    <row r="353" spans="1:21">
      <c r="A353" s="580"/>
      <c r="B353" s="581"/>
      <c r="C353" s="582"/>
      <c r="D353" s="584"/>
      <c r="E353" s="584"/>
      <c r="F353" s="584"/>
      <c r="G353" s="584"/>
      <c r="H353" s="585"/>
      <c r="I353" s="586"/>
      <c r="J353" s="587"/>
      <c r="K353" s="584"/>
      <c r="L353" s="584"/>
      <c r="M353" s="584"/>
      <c r="N353" s="584"/>
      <c r="O353" s="588"/>
      <c r="P353" s="582"/>
      <c r="Q353" s="589"/>
      <c r="R353" s="587"/>
      <c r="S353" s="584"/>
      <c r="T353" s="584"/>
      <c r="U353" s="588"/>
    </row>
    <row r="354" spans="1:21">
      <c r="A354" s="554"/>
      <c r="B354" s="556"/>
      <c r="C354" s="566"/>
      <c r="D354" s="94"/>
      <c r="E354" s="94"/>
      <c r="F354" s="94"/>
      <c r="G354" s="95"/>
      <c r="H354" s="567"/>
      <c r="I354" s="568"/>
      <c r="J354" s="569"/>
      <c r="K354" s="94"/>
      <c r="L354" s="94"/>
      <c r="M354" s="94"/>
      <c r="N354" s="570"/>
      <c r="O354" s="571"/>
      <c r="P354" s="566"/>
      <c r="Q354" s="572"/>
      <c r="R354" s="569"/>
      <c r="S354" s="570"/>
      <c r="T354" s="570"/>
      <c r="U354" s="571"/>
    </row>
    <row r="355" spans="1:21">
      <c r="A355" s="554"/>
      <c r="B355" s="573"/>
      <c r="C355" s="574"/>
      <c r="D355" s="226"/>
      <c r="E355" s="226"/>
      <c r="F355" s="226"/>
      <c r="G355" s="226"/>
      <c r="H355" s="575"/>
      <c r="I355" s="576"/>
      <c r="J355" s="577"/>
      <c r="K355" s="226"/>
      <c r="L355" s="226"/>
      <c r="M355" s="226"/>
      <c r="N355" s="226"/>
      <c r="O355" s="578"/>
      <c r="P355" s="574"/>
      <c r="Q355" s="579"/>
      <c r="R355" s="577"/>
      <c r="S355" s="226"/>
      <c r="T355" s="226"/>
      <c r="U355" s="578"/>
    </row>
    <row r="356" spans="1:21">
      <c r="A356" s="580"/>
      <c r="B356" s="581"/>
      <c r="C356" s="582"/>
      <c r="D356" s="584"/>
      <c r="E356" s="584"/>
      <c r="F356" s="584"/>
      <c r="G356" s="584"/>
      <c r="H356" s="585"/>
      <c r="I356" s="586"/>
      <c r="J356" s="587"/>
      <c r="K356" s="584"/>
      <c r="L356" s="584"/>
      <c r="M356" s="584"/>
      <c r="N356" s="584"/>
      <c r="O356" s="588"/>
      <c r="P356" s="582"/>
      <c r="Q356" s="589"/>
      <c r="R356" s="587"/>
      <c r="S356" s="584"/>
      <c r="T356" s="584"/>
      <c r="U356" s="588"/>
    </row>
    <row r="357" spans="1:21">
      <c r="A357" s="554"/>
      <c r="B357" s="556"/>
      <c r="C357" s="566"/>
      <c r="D357" s="94"/>
      <c r="E357" s="94"/>
      <c r="F357" s="94"/>
      <c r="G357" s="95"/>
      <c r="H357" s="567"/>
      <c r="I357" s="568"/>
      <c r="J357" s="569"/>
      <c r="K357" s="94"/>
      <c r="L357" s="94"/>
      <c r="M357" s="94"/>
      <c r="N357" s="570"/>
      <c r="O357" s="571"/>
      <c r="P357" s="566"/>
      <c r="Q357" s="572"/>
      <c r="R357" s="569"/>
      <c r="S357" s="570"/>
      <c r="T357" s="570"/>
      <c r="U357" s="571"/>
    </row>
    <row r="358" spans="1:21">
      <c r="A358" s="554"/>
      <c r="B358" s="573"/>
      <c r="C358" s="574"/>
      <c r="D358" s="226"/>
      <c r="E358" s="226"/>
      <c r="F358" s="226"/>
      <c r="G358" s="226"/>
      <c r="H358" s="575"/>
      <c r="I358" s="576"/>
      <c r="J358" s="577"/>
      <c r="K358" s="226"/>
      <c r="L358" s="226"/>
      <c r="M358" s="226"/>
      <c r="N358" s="226"/>
      <c r="O358" s="578"/>
      <c r="P358" s="574"/>
      <c r="Q358" s="579"/>
      <c r="R358" s="577"/>
      <c r="S358" s="226"/>
      <c r="T358" s="226"/>
      <c r="U358" s="578"/>
    </row>
    <row r="359" spans="1:21">
      <c r="A359" s="580"/>
      <c r="B359" s="581"/>
      <c r="C359" s="582"/>
      <c r="D359" s="584"/>
      <c r="E359" s="584"/>
      <c r="F359" s="584"/>
      <c r="G359" s="584"/>
      <c r="H359" s="585"/>
      <c r="I359" s="586"/>
      <c r="J359" s="587"/>
      <c r="K359" s="584"/>
      <c r="L359" s="584"/>
      <c r="M359" s="584"/>
      <c r="N359" s="584"/>
      <c r="O359" s="588"/>
      <c r="P359" s="582"/>
      <c r="Q359" s="589"/>
      <c r="R359" s="587"/>
      <c r="S359" s="584"/>
      <c r="T359" s="584"/>
      <c r="U359" s="588"/>
    </row>
    <row r="360" spans="1:21">
      <c r="A360" s="554"/>
      <c r="B360" s="556"/>
      <c r="C360" s="566"/>
      <c r="D360" s="94"/>
      <c r="E360" s="94"/>
      <c r="F360" s="94"/>
      <c r="G360" s="95"/>
      <c r="H360" s="567"/>
      <c r="I360" s="568"/>
      <c r="J360" s="569"/>
      <c r="K360" s="94"/>
      <c r="L360" s="94"/>
      <c r="M360" s="94"/>
      <c r="N360" s="570"/>
      <c r="O360" s="571"/>
      <c r="P360" s="566"/>
      <c r="Q360" s="572"/>
      <c r="R360" s="569"/>
      <c r="S360" s="570"/>
      <c r="T360" s="570"/>
      <c r="U360" s="571"/>
    </row>
    <row r="361" spans="1:21">
      <c r="A361" s="554"/>
      <c r="B361" s="573"/>
      <c r="C361" s="574"/>
      <c r="D361" s="226"/>
      <c r="E361" s="226"/>
      <c r="F361" s="226"/>
      <c r="G361" s="226"/>
      <c r="H361" s="575"/>
      <c r="I361" s="576"/>
      <c r="J361" s="577"/>
      <c r="K361" s="226"/>
      <c r="L361" s="226"/>
      <c r="M361" s="226"/>
      <c r="N361" s="226"/>
      <c r="O361" s="578"/>
      <c r="P361" s="574"/>
      <c r="Q361" s="579"/>
      <c r="R361" s="577"/>
      <c r="S361" s="226"/>
      <c r="T361" s="226"/>
      <c r="U361" s="578"/>
    </row>
    <row r="362" spans="1:21">
      <c r="A362" s="580"/>
      <c r="B362" s="581"/>
      <c r="C362" s="582"/>
      <c r="D362" s="584"/>
      <c r="E362" s="584"/>
      <c r="F362" s="584"/>
      <c r="G362" s="584"/>
      <c r="H362" s="585"/>
      <c r="I362" s="586"/>
      <c r="J362" s="587"/>
      <c r="K362" s="584"/>
      <c r="L362" s="584"/>
      <c r="M362" s="584"/>
      <c r="N362" s="584"/>
      <c r="O362" s="588"/>
      <c r="P362" s="582"/>
      <c r="Q362" s="589"/>
      <c r="R362" s="587"/>
      <c r="S362" s="584"/>
      <c r="T362" s="584"/>
      <c r="U362" s="588"/>
    </row>
    <row r="363" spans="1:21">
      <c r="A363" s="554"/>
      <c r="B363" s="556"/>
      <c r="C363" s="566"/>
      <c r="D363" s="94"/>
      <c r="E363" s="94"/>
      <c r="F363" s="94"/>
      <c r="G363" s="95"/>
      <c r="H363" s="567"/>
      <c r="I363" s="568"/>
      <c r="J363" s="569"/>
      <c r="K363" s="94"/>
      <c r="L363" s="94"/>
      <c r="M363" s="94"/>
      <c r="N363" s="570"/>
      <c r="O363" s="571"/>
      <c r="P363" s="566"/>
      <c r="Q363" s="572"/>
      <c r="R363" s="569"/>
      <c r="S363" s="570"/>
      <c r="T363" s="570"/>
      <c r="U363" s="571"/>
    </row>
    <row r="364" spans="1:21">
      <c r="A364" s="554"/>
      <c r="B364" s="573"/>
      <c r="C364" s="574"/>
      <c r="D364" s="226"/>
      <c r="E364" s="226"/>
      <c r="F364" s="226"/>
      <c r="G364" s="226"/>
      <c r="H364" s="575"/>
      <c r="I364" s="576"/>
      <c r="J364" s="577"/>
      <c r="K364" s="226"/>
      <c r="L364" s="226"/>
      <c r="M364" s="226"/>
      <c r="N364" s="226"/>
      <c r="O364" s="578"/>
      <c r="P364" s="574"/>
      <c r="Q364" s="579"/>
      <c r="R364" s="577"/>
      <c r="S364" s="226"/>
      <c r="T364" s="226"/>
      <c r="U364" s="578"/>
    </row>
    <row r="365" spans="1:21">
      <c r="A365" s="580"/>
      <c r="B365" s="581"/>
      <c r="C365" s="582"/>
      <c r="D365" s="584"/>
      <c r="E365" s="584"/>
      <c r="F365" s="584"/>
      <c r="G365" s="584"/>
      <c r="H365" s="585"/>
      <c r="I365" s="586"/>
      <c r="J365" s="587"/>
      <c r="K365" s="584"/>
      <c r="L365" s="584"/>
      <c r="M365" s="584"/>
      <c r="N365" s="584"/>
      <c r="O365" s="588"/>
      <c r="P365" s="582"/>
      <c r="Q365" s="589"/>
      <c r="R365" s="587"/>
      <c r="S365" s="584"/>
      <c r="T365" s="584"/>
      <c r="U365" s="588"/>
    </row>
    <row r="366" spans="1:21">
      <c r="A366" s="549"/>
      <c r="B366" s="556"/>
      <c r="C366" s="566"/>
      <c r="D366" s="94"/>
      <c r="E366" s="94"/>
      <c r="F366" s="94"/>
      <c r="G366" s="95"/>
      <c r="H366" s="567"/>
      <c r="I366" s="568"/>
      <c r="J366" s="569"/>
      <c r="K366" s="94"/>
      <c r="L366" s="94"/>
      <c r="M366" s="94"/>
      <c r="N366" s="570"/>
      <c r="O366" s="571"/>
      <c r="P366" s="566"/>
      <c r="Q366" s="572"/>
      <c r="R366" s="569"/>
      <c r="S366" s="570"/>
      <c r="T366" s="570"/>
      <c r="U366" s="571"/>
    </row>
    <row r="367" spans="1:21">
      <c r="A367" s="554"/>
      <c r="B367" s="573"/>
      <c r="C367" s="574"/>
      <c r="D367" s="226"/>
      <c r="E367" s="226"/>
      <c r="F367" s="226"/>
      <c r="G367" s="226"/>
      <c r="H367" s="575"/>
      <c r="I367" s="576"/>
      <c r="J367" s="577"/>
      <c r="K367" s="226"/>
      <c r="L367" s="226"/>
      <c r="M367" s="226"/>
      <c r="N367" s="226"/>
      <c r="O367" s="578"/>
      <c r="P367" s="574"/>
      <c r="Q367" s="579"/>
      <c r="R367" s="577"/>
      <c r="S367" s="226"/>
      <c r="T367" s="226"/>
      <c r="U367" s="578"/>
    </row>
    <row r="368" spans="1:21">
      <c r="A368" s="580"/>
      <c r="B368" s="581"/>
      <c r="C368" s="582"/>
      <c r="D368" s="584"/>
      <c r="E368" s="584"/>
      <c r="F368" s="584"/>
      <c r="G368" s="584"/>
      <c r="H368" s="585"/>
      <c r="I368" s="586"/>
      <c r="J368" s="587"/>
      <c r="K368" s="584"/>
      <c r="L368" s="584"/>
      <c r="M368" s="584"/>
      <c r="N368" s="584"/>
      <c r="O368" s="588"/>
      <c r="P368" s="582"/>
      <c r="Q368" s="589"/>
      <c r="R368" s="587"/>
      <c r="S368" s="584"/>
      <c r="T368" s="584"/>
      <c r="U368" s="588"/>
    </row>
    <row r="369" spans="1:21">
      <c r="A369" s="554"/>
      <c r="B369" s="556"/>
      <c r="C369" s="566"/>
      <c r="D369" s="94"/>
      <c r="E369" s="94"/>
      <c r="F369" s="94"/>
      <c r="G369" s="95"/>
      <c r="H369" s="567"/>
      <c r="I369" s="568"/>
      <c r="J369" s="569"/>
      <c r="K369" s="94"/>
      <c r="L369" s="94"/>
      <c r="M369" s="94"/>
      <c r="N369" s="570"/>
      <c r="O369" s="571"/>
      <c r="P369" s="566"/>
      <c r="Q369" s="572"/>
      <c r="R369" s="569"/>
      <c r="S369" s="570"/>
      <c r="T369" s="570"/>
      <c r="U369" s="571"/>
    </row>
    <row r="370" spans="1:21">
      <c r="A370" s="554"/>
      <c r="B370" s="573"/>
      <c r="C370" s="574"/>
      <c r="D370" s="226"/>
      <c r="E370" s="226"/>
      <c r="F370" s="226"/>
      <c r="G370" s="226"/>
      <c r="H370" s="575"/>
      <c r="I370" s="576"/>
      <c r="J370" s="577"/>
      <c r="K370" s="226"/>
      <c r="L370" s="226"/>
      <c r="M370" s="226"/>
      <c r="N370" s="226"/>
      <c r="O370" s="578"/>
      <c r="P370" s="574"/>
      <c r="Q370" s="579"/>
      <c r="R370" s="577"/>
      <c r="S370" s="226"/>
      <c r="T370" s="226"/>
      <c r="U370" s="578"/>
    </row>
    <row r="371" spans="1:21">
      <c r="A371" s="580"/>
      <c r="B371" s="581"/>
      <c r="C371" s="582"/>
      <c r="D371" s="584"/>
      <c r="E371" s="584"/>
      <c r="F371" s="584"/>
      <c r="G371" s="584"/>
      <c r="H371" s="585"/>
      <c r="I371" s="586"/>
      <c r="J371" s="587"/>
      <c r="K371" s="584"/>
      <c r="L371" s="584"/>
      <c r="M371" s="584"/>
      <c r="N371" s="584"/>
      <c r="O371" s="588"/>
      <c r="P371" s="582"/>
      <c r="Q371" s="589"/>
      <c r="R371" s="587"/>
      <c r="S371" s="584"/>
      <c r="T371" s="584"/>
      <c r="U371" s="588"/>
    </row>
    <row r="372" spans="1:21">
      <c r="A372" s="554"/>
      <c r="B372" s="556"/>
      <c r="C372" s="566"/>
      <c r="D372" s="94"/>
      <c r="E372" s="94"/>
      <c r="F372" s="94"/>
      <c r="G372" s="95"/>
      <c r="H372" s="567"/>
      <c r="I372" s="568"/>
      <c r="J372" s="569"/>
      <c r="K372" s="94"/>
      <c r="L372" s="94"/>
      <c r="M372" s="94"/>
      <c r="N372" s="570"/>
      <c r="O372" s="571"/>
      <c r="P372" s="566"/>
      <c r="Q372" s="572"/>
      <c r="R372" s="569"/>
      <c r="S372" s="570"/>
      <c r="T372" s="570"/>
      <c r="U372" s="571"/>
    </row>
    <row r="373" spans="1:21">
      <c r="A373" s="554"/>
      <c r="B373" s="573"/>
      <c r="C373" s="574"/>
      <c r="D373" s="226"/>
      <c r="E373" s="226"/>
      <c r="F373" s="226"/>
      <c r="G373" s="226"/>
      <c r="H373" s="575"/>
      <c r="I373" s="576"/>
      <c r="J373" s="577"/>
      <c r="K373" s="226"/>
      <c r="L373" s="226"/>
      <c r="M373" s="226"/>
      <c r="N373" s="226"/>
      <c r="O373" s="578"/>
      <c r="P373" s="574"/>
      <c r="Q373" s="579"/>
      <c r="R373" s="577"/>
      <c r="S373" s="226"/>
      <c r="T373" s="226"/>
      <c r="U373" s="578"/>
    </row>
    <row r="374" spans="1:21">
      <c r="A374" s="580"/>
      <c r="B374" s="581"/>
      <c r="C374" s="582"/>
      <c r="D374" s="584"/>
      <c r="E374" s="584"/>
      <c r="F374" s="584"/>
      <c r="G374" s="584"/>
      <c r="H374" s="585"/>
      <c r="I374" s="586"/>
      <c r="J374" s="587"/>
      <c r="K374" s="584"/>
      <c r="L374" s="584"/>
      <c r="M374" s="584"/>
      <c r="N374" s="584"/>
      <c r="O374" s="588"/>
      <c r="P374" s="582"/>
      <c r="Q374" s="589"/>
      <c r="R374" s="587"/>
      <c r="S374" s="584"/>
      <c r="T374" s="584"/>
      <c r="U374" s="588"/>
    </row>
    <row r="375" spans="1:21">
      <c r="A375" s="554"/>
      <c r="B375" s="556"/>
      <c r="C375" s="566"/>
      <c r="D375" s="94"/>
      <c r="E375" s="94"/>
      <c r="F375" s="94"/>
      <c r="G375" s="95"/>
      <c r="H375" s="567"/>
      <c r="I375" s="568"/>
      <c r="J375" s="569"/>
      <c r="K375" s="94"/>
      <c r="L375" s="94"/>
      <c r="M375" s="94"/>
      <c r="N375" s="570"/>
      <c r="O375" s="571"/>
      <c r="P375" s="566"/>
      <c r="Q375" s="572"/>
      <c r="R375" s="569"/>
      <c r="S375" s="570"/>
      <c r="T375" s="570"/>
      <c r="U375" s="571"/>
    </row>
    <row r="376" spans="1:21">
      <c r="A376" s="554"/>
      <c r="B376" s="573"/>
      <c r="C376" s="574"/>
      <c r="D376" s="226"/>
      <c r="E376" s="226"/>
      <c r="F376" s="226"/>
      <c r="G376" s="226"/>
      <c r="H376" s="575"/>
      <c r="I376" s="576"/>
      <c r="J376" s="577"/>
      <c r="K376" s="226"/>
      <c r="L376" s="226"/>
      <c r="M376" s="226"/>
      <c r="N376" s="226"/>
      <c r="O376" s="578"/>
      <c r="P376" s="574"/>
      <c r="Q376" s="579"/>
      <c r="R376" s="577"/>
      <c r="S376" s="226"/>
      <c r="T376" s="226"/>
      <c r="U376" s="578"/>
    </row>
    <row r="377" spans="1:21">
      <c r="A377" s="580"/>
      <c r="B377" s="581"/>
      <c r="C377" s="582"/>
      <c r="D377" s="584"/>
      <c r="E377" s="584"/>
      <c r="F377" s="584"/>
      <c r="G377" s="584"/>
      <c r="H377" s="585"/>
      <c r="I377" s="586"/>
      <c r="J377" s="587"/>
      <c r="K377" s="584"/>
      <c r="L377" s="584"/>
      <c r="M377" s="584"/>
      <c r="N377" s="584"/>
      <c r="O377" s="588"/>
      <c r="P377" s="582"/>
      <c r="Q377" s="589"/>
      <c r="R377" s="587"/>
      <c r="S377" s="584"/>
      <c r="T377" s="584"/>
      <c r="U377" s="588"/>
    </row>
    <row r="378" spans="1:21">
      <c r="A378" s="554"/>
      <c r="B378" s="556"/>
      <c r="C378" s="566"/>
      <c r="D378" s="94"/>
      <c r="E378" s="94"/>
      <c r="F378" s="94"/>
      <c r="G378" s="95"/>
      <c r="H378" s="567"/>
      <c r="I378" s="568"/>
      <c r="J378" s="569"/>
      <c r="K378" s="94"/>
      <c r="L378" s="94"/>
      <c r="M378" s="94"/>
      <c r="N378" s="570"/>
      <c r="O378" s="571"/>
      <c r="P378" s="566"/>
      <c r="Q378" s="572"/>
      <c r="R378" s="569"/>
      <c r="S378" s="570"/>
      <c r="T378" s="570"/>
      <c r="U378" s="571"/>
    </row>
    <row r="379" spans="1:21">
      <c r="A379" s="554"/>
      <c r="B379" s="573"/>
      <c r="C379" s="574"/>
      <c r="D379" s="226"/>
      <c r="E379" s="226"/>
      <c r="F379" s="226"/>
      <c r="G379" s="226"/>
      <c r="H379" s="575"/>
      <c r="I379" s="576"/>
      <c r="J379" s="577"/>
      <c r="K379" s="226"/>
      <c r="L379" s="226"/>
      <c r="M379" s="226"/>
      <c r="N379" s="226"/>
      <c r="O379" s="578"/>
      <c r="P379" s="574"/>
      <c r="Q379" s="579"/>
      <c r="R379" s="577"/>
      <c r="S379" s="226"/>
      <c r="T379" s="226"/>
      <c r="U379" s="578"/>
    </row>
    <row r="380" spans="1:21">
      <c r="A380" s="580"/>
      <c r="B380" s="581"/>
      <c r="C380" s="582"/>
      <c r="D380" s="584"/>
      <c r="E380" s="584"/>
      <c r="F380" s="584"/>
      <c r="G380" s="584"/>
      <c r="H380" s="585"/>
      <c r="I380" s="586"/>
      <c r="J380" s="587"/>
      <c r="K380" s="584"/>
      <c r="L380" s="584"/>
      <c r="M380" s="584"/>
      <c r="N380" s="584"/>
      <c r="O380" s="588"/>
      <c r="P380" s="582"/>
      <c r="Q380" s="589"/>
      <c r="R380" s="587"/>
      <c r="S380" s="584"/>
      <c r="T380" s="584"/>
      <c r="U380" s="588"/>
    </row>
    <row r="381" spans="1:21">
      <c r="A381" s="554"/>
      <c r="B381" s="556"/>
      <c r="C381" s="566"/>
      <c r="D381" s="94"/>
      <c r="E381" s="94"/>
      <c r="F381" s="94"/>
      <c r="G381" s="95"/>
      <c r="H381" s="567"/>
      <c r="I381" s="568"/>
      <c r="J381" s="569"/>
      <c r="K381" s="94"/>
      <c r="L381" s="94"/>
      <c r="M381" s="94"/>
      <c r="N381" s="570"/>
      <c r="O381" s="571"/>
      <c r="P381" s="566"/>
      <c r="Q381" s="572"/>
      <c r="R381" s="569"/>
      <c r="S381" s="570"/>
      <c r="T381" s="570"/>
      <c r="U381" s="571"/>
    </row>
    <row r="382" spans="1:21">
      <c r="A382" s="554"/>
      <c r="B382" s="573"/>
      <c r="C382" s="574"/>
      <c r="D382" s="226"/>
      <c r="E382" s="226"/>
      <c r="F382" s="226"/>
      <c r="G382" s="226"/>
      <c r="H382" s="575"/>
      <c r="I382" s="576"/>
      <c r="J382" s="577"/>
      <c r="K382" s="226"/>
      <c r="L382" s="226"/>
      <c r="M382" s="226"/>
      <c r="N382" s="226"/>
      <c r="O382" s="578"/>
      <c r="P382" s="574"/>
      <c r="Q382" s="579"/>
      <c r="R382" s="577"/>
      <c r="S382" s="226"/>
      <c r="T382" s="226"/>
      <c r="U382" s="578"/>
    </row>
    <row r="383" spans="1:21">
      <c r="A383" s="580"/>
      <c r="B383" s="581"/>
      <c r="C383" s="582"/>
      <c r="D383" s="584"/>
      <c r="E383" s="584"/>
      <c r="F383" s="584"/>
      <c r="G383" s="584"/>
      <c r="H383" s="585"/>
      <c r="I383" s="586"/>
      <c r="J383" s="587"/>
      <c r="K383" s="584"/>
      <c r="L383" s="584"/>
      <c r="M383" s="584"/>
      <c r="N383" s="584"/>
      <c r="O383" s="588"/>
      <c r="P383" s="582"/>
      <c r="Q383" s="589"/>
      <c r="R383" s="587"/>
      <c r="S383" s="584"/>
      <c r="T383" s="584"/>
      <c r="U383" s="588"/>
    </row>
    <row r="384" spans="1:21">
      <c r="A384" s="554"/>
      <c r="B384" s="556"/>
      <c r="C384" s="566"/>
      <c r="D384" s="94"/>
      <c r="E384" s="94"/>
      <c r="F384" s="94"/>
      <c r="G384" s="95"/>
      <c r="H384" s="567"/>
      <c r="I384" s="568"/>
      <c r="J384" s="569"/>
      <c r="K384" s="94"/>
      <c r="L384" s="94"/>
      <c r="M384" s="94"/>
      <c r="N384" s="570"/>
      <c r="O384" s="571"/>
      <c r="P384" s="566"/>
      <c r="Q384" s="572"/>
      <c r="R384" s="569"/>
      <c r="S384" s="570"/>
      <c r="T384" s="570"/>
      <c r="U384" s="571"/>
    </row>
    <row r="385" spans="1:21">
      <c r="A385" s="554"/>
      <c r="B385" s="573"/>
      <c r="C385" s="574"/>
      <c r="D385" s="226"/>
      <c r="E385" s="226"/>
      <c r="F385" s="226"/>
      <c r="G385" s="226"/>
      <c r="H385" s="575"/>
      <c r="I385" s="576"/>
      <c r="J385" s="577"/>
      <c r="K385" s="226"/>
      <c r="L385" s="226"/>
      <c r="M385" s="226"/>
      <c r="N385" s="226"/>
      <c r="O385" s="578"/>
      <c r="P385" s="574"/>
      <c r="Q385" s="579"/>
      <c r="R385" s="577"/>
      <c r="S385" s="226"/>
      <c r="T385" s="226"/>
      <c r="U385" s="578"/>
    </row>
    <row r="386" spans="1:21">
      <c r="A386" s="580"/>
      <c r="B386" s="581"/>
      <c r="C386" s="582"/>
      <c r="D386" s="584"/>
      <c r="E386" s="584"/>
      <c r="F386" s="584"/>
      <c r="G386" s="584"/>
      <c r="H386" s="585"/>
      <c r="I386" s="586"/>
      <c r="J386" s="587"/>
      <c r="K386" s="584"/>
      <c r="L386" s="584"/>
      <c r="M386" s="584"/>
      <c r="N386" s="584"/>
      <c r="O386" s="588"/>
      <c r="P386" s="582"/>
      <c r="Q386" s="589"/>
      <c r="R386" s="587"/>
      <c r="S386" s="584"/>
      <c r="T386" s="584"/>
      <c r="U386" s="588"/>
    </row>
    <row r="387" spans="1:21">
      <c r="A387" s="554"/>
      <c r="B387" s="556"/>
      <c r="C387" s="566"/>
      <c r="D387" s="94"/>
      <c r="E387" s="94"/>
      <c r="F387" s="94"/>
      <c r="G387" s="95"/>
      <c r="H387" s="567"/>
      <c r="I387" s="568"/>
      <c r="J387" s="569"/>
      <c r="K387" s="94"/>
      <c r="L387" s="94"/>
      <c r="M387" s="94"/>
      <c r="N387" s="570"/>
      <c r="O387" s="571"/>
      <c r="P387" s="566"/>
      <c r="Q387" s="572"/>
      <c r="R387" s="569"/>
      <c r="S387" s="570"/>
      <c r="T387" s="570"/>
      <c r="U387" s="571"/>
    </row>
    <row r="388" spans="1:21">
      <c r="A388" s="554"/>
      <c r="B388" s="573"/>
      <c r="C388" s="574"/>
      <c r="D388" s="226"/>
      <c r="E388" s="226"/>
      <c r="F388" s="226"/>
      <c r="G388" s="226"/>
      <c r="H388" s="575"/>
      <c r="I388" s="576"/>
      <c r="J388" s="577"/>
      <c r="K388" s="226"/>
      <c r="L388" s="226"/>
      <c r="M388" s="226"/>
      <c r="N388" s="226"/>
      <c r="O388" s="578"/>
      <c r="P388" s="574"/>
      <c r="Q388" s="579"/>
      <c r="R388" s="577"/>
      <c r="S388" s="226"/>
      <c r="T388" s="226"/>
      <c r="U388" s="578"/>
    </row>
    <row r="389" spans="1:21">
      <c r="A389" s="580"/>
      <c r="B389" s="581"/>
      <c r="C389" s="582"/>
      <c r="D389" s="584"/>
      <c r="E389" s="584"/>
      <c r="F389" s="584"/>
      <c r="G389" s="584"/>
      <c r="H389" s="585"/>
      <c r="I389" s="586"/>
      <c r="J389" s="587"/>
      <c r="K389" s="584"/>
      <c r="L389" s="584"/>
      <c r="M389" s="584"/>
      <c r="N389" s="584"/>
      <c r="O389" s="588"/>
      <c r="P389" s="582"/>
      <c r="Q389" s="589"/>
      <c r="R389" s="587"/>
      <c r="S389" s="584"/>
      <c r="T389" s="584"/>
      <c r="U389" s="588"/>
    </row>
    <row r="390" spans="1:21">
      <c r="A390" s="554"/>
      <c r="B390" s="556"/>
      <c r="C390" s="566"/>
      <c r="D390" s="94"/>
      <c r="E390" s="94"/>
      <c r="F390" s="94"/>
      <c r="G390" s="95"/>
      <c r="H390" s="567"/>
      <c r="I390" s="568"/>
      <c r="J390" s="569"/>
      <c r="K390" s="94"/>
      <c r="L390" s="94"/>
      <c r="M390" s="94"/>
      <c r="N390" s="570"/>
      <c r="O390" s="571"/>
      <c r="P390" s="566"/>
      <c r="Q390" s="572"/>
      <c r="R390" s="569"/>
      <c r="S390" s="570"/>
      <c r="T390" s="570"/>
      <c r="U390" s="571"/>
    </row>
    <row r="391" spans="1:21">
      <c r="A391" s="554"/>
      <c r="B391" s="573"/>
      <c r="C391" s="574"/>
      <c r="D391" s="226"/>
      <c r="E391" s="226"/>
      <c r="F391" s="226"/>
      <c r="G391" s="226"/>
      <c r="H391" s="575"/>
      <c r="I391" s="576"/>
      <c r="J391" s="577"/>
      <c r="K391" s="226"/>
      <c r="L391" s="226"/>
      <c r="M391" s="226"/>
      <c r="N391" s="226"/>
      <c r="O391" s="578"/>
      <c r="P391" s="574"/>
      <c r="Q391" s="579"/>
      <c r="R391" s="577"/>
      <c r="S391" s="226"/>
      <c r="T391" s="226"/>
      <c r="U391" s="578"/>
    </row>
    <row r="392" spans="1:21">
      <c r="A392" s="580"/>
      <c r="B392" s="581"/>
      <c r="C392" s="582"/>
      <c r="D392" s="584"/>
      <c r="E392" s="584"/>
      <c r="F392" s="584"/>
      <c r="G392" s="584"/>
      <c r="H392" s="585"/>
      <c r="I392" s="586"/>
      <c r="J392" s="587"/>
      <c r="K392" s="584"/>
      <c r="L392" s="584"/>
      <c r="M392" s="584"/>
      <c r="N392" s="584"/>
      <c r="O392" s="588"/>
      <c r="P392" s="582"/>
      <c r="Q392" s="589"/>
      <c r="R392" s="587"/>
      <c r="S392" s="584"/>
      <c r="T392" s="584"/>
      <c r="U392" s="588"/>
    </row>
    <row r="393" spans="1:21">
      <c r="A393" s="554"/>
      <c r="B393" s="556"/>
      <c r="C393" s="566"/>
      <c r="D393" s="94"/>
      <c r="E393" s="94"/>
      <c r="F393" s="94"/>
      <c r="G393" s="95"/>
      <c r="H393" s="567"/>
      <c r="I393" s="568"/>
      <c r="J393" s="569"/>
      <c r="K393" s="94"/>
      <c r="L393" s="94"/>
      <c r="M393" s="94"/>
      <c r="N393" s="570"/>
      <c r="O393" s="571"/>
      <c r="P393" s="566"/>
      <c r="Q393" s="572"/>
      <c r="R393" s="569"/>
      <c r="S393" s="570"/>
      <c r="T393" s="570"/>
      <c r="U393" s="571"/>
    </row>
    <row r="394" spans="1:21">
      <c r="A394" s="554"/>
      <c r="B394" s="573"/>
      <c r="C394" s="574"/>
      <c r="D394" s="226"/>
      <c r="E394" s="226"/>
      <c r="F394" s="226"/>
      <c r="G394" s="226"/>
      <c r="H394" s="575"/>
      <c r="I394" s="576"/>
      <c r="J394" s="577"/>
      <c r="K394" s="226"/>
      <c r="L394" s="226"/>
      <c r="M394" s="226"/>
      <c r="N394" s="226"/>
      <c r="O394" s="578"/>
      <c r="P394" s="574"/>
      <c r="Q394" s="579"/>
      <c r="R394" s="577"/>
      <c r="S394" s="226"/>
      <c r="T394" s="226"/>
      <c r="U394" s="578"/>
    </row>
    <row r="395" spans="1:21">
      <c r="A395" s="580"/>
      <c r="B395" s="581"/>
      <c r="C395" s="582"/>
      <c r="D395" s="584"/>
      <c r="E395" s="584"/>
      <c r="F395" s="584"/>
      <c r="G395" s="584"/>
      <c r="H395" s="585"/>
      <c r="I395" s="586"/>
      <c r="J395" s="587"/>
      <c r="K395" s="584"/>
      <c r="L395" s="584"/>
      <c r="M395" s="584"/>
      <c r="N395" s="584"/>
      <c r="O395" s="588"/>
      <c r="P395" s="582"/>
      <c r="Q395" s="589"/>
      <c r="R395" s="587"/>
      <c r="S395" s="584"/>
      <c r="T395" s="584"/>
      <c r="U395" s="588"/>
    </row>
    <row r="396" spans="1:21">
      <c r="A396" s="549"/>
      <c r="B396" s="556"/>
      <c r="C396" s="566"/>
      <c r="D396" s="94"/>
      <c r="E396" s="94"/>
      <c r="F396" s="94"/>
      <c r="G396" s="95"/>
      <c r="H396" s="567"/>
      <c r="I396" s="568"/>
      <c r="J396" s="569"/>
      <c r="K396" s="94"/>
      <c r="L396" s="94"/>
      <c r="M396" s="94"/>
      <c r="N396" s="570"/>
      <c r="O396" s="571"/>
      <c r="P396" s="566"/>
      <c r="Q396" s="572"/>
      <c r="R396" s="569"/>
      <c r="S396" s="570"/>
      <c r="T396" s="570"/>
      <c r="U396" s="571"/>
    </row>
    <row r="397" spans="1:21">
      <c r="A397" s="554"/>
      <c r="B397" s="573"/>
      <c r="C397" s="574"/>
      <c r="D397" s="226"/>
      <c r="E397" s="226"/>
      <c r="F397" s="226"/>
      <c r="G397" s="226"/>
      <c r="H397" s="575"/>
      <c r="I397" s="576"/>
      <c r="J397" s="577"/>
      <c r="K397" s="226"/>
      <c r="L397" s="226"/>
      <c r="M397" s="226"/>
      <c r="N397" s="226"/>
      <c r="O397" s="578"/>
      <c r="P397" s="574"/>
      <c r="Q397" s="579"/>
      <c r="R397" s="577"/>
      <c r="S397" s="226"/>
      <c r="T397" s="226"/>
      <c r="U397" s="578"/>
    </row>
    <row r="398" spans="1:21">
      <c r="A398" s="580"/>
      <c r="B398" s="581"/>
      <c r="C398" s="582"/>
      <c r="D398" s="584"/>
      <c r="E398" s="584"/>
      <c r="F398" s="584"/>
      <c r="G398" s="584"/>
      <c r="H398" s="585"/>
      <c r="I398" s="586"/>
      <c r="J398" s="587"/>
      <c r="K398" s="584"/>
      <c r="L398" s="584"/>
      <c r="M398" s="584"/>
      <c r="N398" s="584"/>
      <c r="O398" s="588"/>
      <c r="P398" s="582"/>
      <c r="Q398" s="589"/>
      <c r="R398" s="587"/>
      <c r="S398" s="584"/>
      <c r="T398" s="584"/>
      <c r="U398" s="588"/>
    </row>
    <row r="399" spans="1:21">
      <c r="A399" s="554"/>
      <c r="B399" s="556"/>
      <c r="C399" s="566"/>
      <c r="D399" s="94"/>
      <c r="E399" s="94"/>
      <c r="F399" s="94"/>
      <c r="G399" s="95"/>
      <c r="H399" s="567"/>
      <c r="I399" s="568"/>
      <c r="J399" s="569"/>
      <c r="K399" s="94"/>
      <c r="L399" s="94"/>
      <c r="M399" s="94"/>
      <c r="N399" s="570"/>
      <c r="O399" s="571"/>
      <c r="P399" s="566"/>
      <c r="Q399" s="572"/>
      <c r="R399" s="569"/>
      <c r="S399" s="570"/>
      <c r="T399" s="570"/>
      <c r="U399" s="571"/>
    </row>
    <row r="400" spans="1:21">
      <c r="A400" s="554"/>
      <c r="B400" s="573"/>
      <c r="C400" s="574"/>
      <c r="D400" s="226"/>
      <c r="E400" s="226"/>
      <c r="F400" s="226"/>
      <c r="G400" s="226"/>
      <c r="H400" s="575"/>
      <c r="I400" s="576"/>
      <c r="J400" s="577"/>
      <c r="K400" s="226"/>
      <c r="L400" s="226"/>
      <c r="M400" s="226"/>
      <c r="N400" s="226"/>
      <c r="O400" s="578"/>
      <c r="P400" s="574"/>
      <c r="Q400" s="579"/>
      <c r="R400" s="577"/>
      <c r="S400" s="226"/>
      <c r="T400" s="226"/>
      <c r="U400" s="578"/>
    </row>
    <row r="401" spans="1:21">
      <c r="A401" s="580"/>
      <c r="B401" s="581"/>
      <c r="C401" s="582"/>
      <c r="D401" s="584"/>
      <c r="E401" s="584"/>
      <c r="F401" s="584"/>
      <c r="G401" s="584"/>
      <c r="H401" s="585"/>
      <c r="I401" s="586"/>
      <c r="J401" s="587"/>
      <c r="K401" s="584"/>
      <c r="L401" s="584"/>
      <c r="M401" s="584"/>
      <c r="N401" s="584"/>
      <c r="O401" s="588"/>
      <c r="P401" s="582"/>
      <c r="Q401" s="589"/>
      <c r="R401" s="587"/>
      <c r="S401" s="584"/>
      <c r="T401" s="584"/>
      <c r="U401" s="588"/>
    </row>
    <row r="402" spans="1:21">
      <c r="A402" s="554"/>
      <c r="B402" s="556"/>
      <c r="C402" s="566"/>
      <c r="D402" s="94"/>
      <c r="E402" s="94"/>
      <c r="F402" s="94"/>
      <c r="G402" s="95"/>
      <c r="H402" s="567"/>
      <c r="I402" s="568"/>
      <c r="J402" s="569"/>
      <c r="K402" s="94"/>
      <c r="L402" s="94"/>
      <c r="M402" s="94"/>
      <c r="N402" s="570"/>
      <c r="O402" s="571"/>
      <c r="P402" s="566"/>
      <c r="Q402" s="572"/>
      <c r="R402" s="569"/>
      <c r="S402" s="570"/>
      <c r="T402" s="570"/>
      <c r="U402" s="571"/>
    </row>
    <row r="403" spans="1:21">
      <c r="A403" s="554"/>
      <c r="B403" s="573"/>
      <c r="C403" s="574"/>
      <c r="D403" s="226"/>
      <c r="E403" s="226"/>
      <c r="F403" s="226"/>
      <c r="G403" s="226"/>
      <c r="H403" s="575"/>
      <c r="I403" s="576"/>
      <c r="J403" s="577"/>
      <c r="K403" s="226"/>
      <c r="L403" s="226"/>
      <c r="M403" s="226"/>
      <c r="N403" s="226"/>
      <c r="O403" s="578"/>
      <c r="P403" s="574"/>
      <c r="Q403" s="579"/>
      <c r="R403" s="577"/>
      <c r="S403" s="226"/>
      <c r="T403" s="226"/>
      <c r="U403" s="578"/>
    </row>
    <row r="404" spans="1:21">
      <c r="A404" s="580"/>
      <c r="B404" s="581"/>
      <c r="C404" s="582"/>
      <c r="D404" s="584"/>
      <c r="E404" s="584"/>
      <c r="F404" s="584"/>
      <c r="G404" s="584"/>
      <c r="H404" s="585"/>
      <c r="I404" s="586"/>
      <c r="J404" s="587"/>
      <c r="K404" s="584"/>
      <c r="L404" s="584"/>
      <c r="M404" s="584"/>
      <c r="N404" s="584"/>
      <c r="O404" s="588"/>
      <c r="P404" s="582"/>
      <c r="Q404" s="589"/>
      <c r="R404" s="587"/>
      <c r="S404" s="584"/>
      <c r="T404" s="584"/>
      <c r="U404" s="588"/>
    </row>
    <row r="405" spans="1:21">
      <c r="A405" s="554"/>
      <c r="B405" s="556"/>
      <c r="C405" s="566"/>
      <c r="D405" s="94"/>
      <c r="E405" s="94"/>
      <c r="F405" s="94"/>
      <c r="G405" s="95"/>
      <c r="H405" s="567"/>
      <c r="I405" s="568"/>
      <c r="J405" s="569"/>
      <c r="K405" s="94"/>
      <c r="L405" s="94"/>
      <c r="M405" s="94"/>
      <c r="N405" s="570"/>
      <c r="O405" s="571"/>
      <c r="P405" s="566"/>
      <c r="Q405" s="572"/>
      <c r="R405" s="569"/>
      <c r="S405" s="570"/>
      <c r="T405" s="570"/>
      <c r="U405" s="571"/>
    </row>
    <row r="406" spans="1:21">
      <c r="A406" s="554"/>
      <c r="B406" s="573"/>
      <c r="C406" s="574"/>
      <c r="D406" s="226"/>
      <c r="E406" s="226"/>
      <c r="F406" s="226"/>
      <c r="G406" s="226"/>
      <c r="H406" s="575"/>
      <c r="I406" s="576"/>
      <c r="J406" s="577"/>
      <c r="K406" s="226"/>
      <c r="L406" s="226"/>
      <c r="M406" s="226"/>
      <c r="N406" s="226"/>
      <c r="O406" s="578"/>
      <c r="P406" s="574"/>
      <c r="Q406" s="579"/>
      <c r="R406" s="577"/>
      <c r="S406" s="226"/>
      <c r="T406" s="226"/>
      <c r="U406" s="578"/>
    </row>
    <row r="407" spans="1:21">
      <c r="A407" s="580"/>
      <c r="B407" s="581"/>
      <c r="C407" s="582"/>
      <c r="D407" s="584"/>
      <c r="E407" s="584"/>
      <c r="F407" s="584"/>
      <c r="G407" s="584"/>
      <c r="H407" s="585"/>
      <c r="I407" s="586"/>
      <c r="J407" s="587"/>
      <c r="K407" s="584"/>
      <c r="L407" s="584"/>
      <c r="M407" s="584"/>
      <c r="N407" s="584"/>
      <c r="O407" s="588"/>
      <c r="P407" s="582"/>
      <c r="Q407" s="589"/>
      <c r="R407" s="587"/>
      <c r="S407" s="584"/>
      <c r="T407" s="584"/>
      <c r="U407" s="588"/>
    </row>
    <row r="408" spans="1:21">
      <c r="A408" s="554"/>
      <c r="B408" s="556"/>
      <c r="C408" s="566"/>
      <c r="D408" s="94"/>
      <c r="E408" s="94"/>
      <c r="F408" s="94"/>
      <c r="G408" s="95"/>
      <c r="H408" s="567"/>
      <c r="I408" s="568"/>
      <c r="J408" s="569"/>
      <c r="K408" s="94"/>
      <c r="L408" s="94"/>
      <c r="M408" s="94"/>
      <c r="N408" s="570"/>
      <c r="O408" s="571"/>
      <c r="P408" s="566"/>
      <c r="Q408" s="572"/>
      <c r="R408" s="569"/>
      <c r="S408" s="570"/>
      <c r="T408" s="570"/>
      <c r="U408" s="571"/>
    </row>
    <row r="409" spans="1:21">
      <c r="A409" s="554"/>
      <c r="B409" s="573"/>
      <c r="C409" s="574"/>
      <c r="D409" s="226"/>
      <c r="E409" s="226"/>
      <c r="F409" s="226"/>
      <c r="G409" s="226"/>
      <c r="H409" s="575"/>
      <c r="I409" s="576"/>
      <c r="J409" s="577"/>
      <c r="K409" s="226"/>
      <c r="L409" s="226"/>
      <c r="M409" s="226"/>
      <c r="N409" s="226"/>
      <c r="O409" s="578"/>
      <c r="P409" s="574"/>
      <c r="Q409" s="579"/>
      <c r="R409" s="577"/>
      <c r="S409" s="226"/>
      <c r="T409" s="226"/>
      <c r="U409" s="578"/>
    </row>
    <row r="410" spans="1:21">
      <c r="A410" s="580"/>
      <c r="B410" s="581"/>
      <c r="C410" s="582"/>
      <c r="D410" s="584"/>
      <c r="E410" s="584"/>
      <c r="F410" s="584"/>
      <c r="G410" s="584"/>
      <c r="H410" s="585"/>
      <c r="I410" s="586"/>
      <c r="J410" s="587"/>
      <c r="K410" s="584"/>
      <c r="L410" s="584"/>
      <c r="M410" s="584"/>
      <c r="N410" s="584"/>
      <c r="O410" s="588"/>
      <c r="P410" s="582"/>
      <c r="Q410" s="589"/>
      <c r="R410" s="587"/>
      <c r="S410" s="584"/>
      <c r="T410" s="584"/>
      <c r="U410" s="588"/>
    </row>
    <row r="411" spans="1:21">
      <c r="A411" s="554"/>
      <c r="B411" s="556"/>
      <c r="C411" s="566"/>
      <c r="D411" s="94"/>
      <c r="E411" s="94"/>
      <c r="F411" s="94"/>
      <c r="G411" s="95"/>
      <c r="H411" s="567"/>
      <c r="I411" s="568"/>
      <c r="J411" s="569"/>
      <c r="K411" s="94"/>
      <c r="L411" s="94"/>
      <c r="M411" s="94"/>
      <c r="N411" s="570"/>
      <c r="O411" s="571"/>
      <c r="P411" s="566"/>
      <c r="Q411" s="572"/>
      <c r="R411" s="569"/>
      <c r="S411" s="570"/>
      <c r="T411" s="570"/>
      <c r="U411" s="571"/>
    </row>
    <row r="412" spans="1:21">
      <c r="A412" s="554"/>
      <c r="B412" s="573"/>
      <c r="C412" s="574"/>
      <c r="D412" s="226"/>
      <c r="E412" s="226"/>
      <c r="F412" s="226"/>
      <c r="G412" s="226"/>
      <c r="H412" s="575"/>
      <c r="I412" s="576"/>
      <c r="J412" s="577"/>
      <c r="K412" s="226"/>
      <c r="L412" s="226"/>
      <c r="M412" s="226"/>
      <c r="N412" s="226"/>
      <c r="O412" s="578"/>
      <c r="P412" s="574"/>
      <c r="Q412" s="579"/>
      <c r="R412" s="577"/>
      <c r="S412" s="226"/>
      <c r="T412" s="226"/>
      <c r="U412" s="578"/>
    </row>
    <row r="413" spans="1:21">
      <c r="A413" s="580"/>
      <c r="B413" s="581"/>
      <c r="C413" s="582"/>
      <c r="D413" s="584"/>
      <c r="E413" s="584"/>
      <c r="F413" s="584"/>
      <c r="G413" s="584"/>
      <c r="H413" s="585"/>
      <c r="I413" s="586"/>
      <c r="J413" s="587"/>
      <c r="K413" s="584"/>
      <c r="L413" s="584"/>
      <c r="M413" s="584"/>
      <c r="N413" s="584"/>
      <c r="O413" s="588"/>
      <c r="P413" s="582"/>
      <c r="Q413" s="589"/>
      <c r="R413" s="587"/>
      <c r="S413" s="584"/>
      <c r="T413" s="584"/>
      <c r="U413" s="588"/>
    </row>
    <row r="414" spans="1:21">
      <c r="A414" s="554"/>
      <c r="B414" s="556"/>
      <c r="C414" s="566"/>
      <c r="D414" s="94"/>
      <c r="E414" s="94"/>
      <c r="F414" s="94"/>
      <c r="G414" s="95"/>
      <c r="H414" s="567"/>
      <c r="I414" s="568"/>
      <c r="J414" s="569"/>
      <c r="K414" s="94"/>
      <c r="L414" s="94"/>
      <c r="M414" s="94"/>
      <c r="N414" s="570"/>
      <c r="O414" s="571"/>
      <c r="P414" s="566"/>
      <c r="Q414" s="572"/>
      <c r="R414" s="569"/>
      <c r="S414" s="570"/>
      <c r="T414" s="570"/>
      <c r="U414" s="571"/>
    </row>
    <row r="415" spans="1:21">
      <c r="A415" s="554"/>
      <c r="B415" s="573"/>
      <c r="C415" s="574"/>
      <c r="D415" s="226"/>
      <c r="E415" s="226"/>
      <c r="F415" s="226"/>
      <c r="G415" s="226"/>
      <c r="H415" s="575"/>
      <c r="I415" s="576"/>
      <c r="J415" s="577"/>
      <c r="K415" s="226"/>
      <c r="L415" s="226"/>
      <c r="M415" s="226"/>
      <c r="N415" s="226"/>
      <c r="O415" s="578"/>
      <c r="P415" s="574"/>
      <c r="Q415" s="579"/>
      <c r="R415" s="577"/>
      <c r="S415" s="226"/>
      <c r="T415" s="226"/>
      <c r="U415" s="578"/>
    </row>
    <row r="416" spans="1:21">
      <c r="A416" s="580"/>
      <c r="B416" s="581"/>
      <c r="C416" s="582"/>
      <c r="D416" s="584"/>
      <c r="E416" s="584"/>
      <c r="F416" s="584"/>
      <c r="G416" s="584"/>
      <c r="H416" s="585"/>
      <c r="I416" s="586"/>
      <c r="J416" s="587"/>
      <c r="K416" s="584"/>
      <c r="L416" s="584"/>
      <c r="M416" s="584"/>
      <c r="N416" s="584"/>
      <c r="O416" s="588"/>
      <c r="P416" s="582"/>
      <c r="Q416" s="589"/>
      <c r="R416" s="587"/>
      <c r="S416" s="584"/>
      <c r="T416" s="584"/>
      <c r="U416" s="588"/>
    </row>
    <row r="417" spans="1:21">
      <c r="A417" s="554"/>
      <c r="B417" s="556"/>
      <c r="C417" s="566"/>
      <c r="D417" s="94"/>
      <c r="E417" s="94"/>
      <c r="F417" s="94"/>
      <c r="G417" s="95"/>
      <c r="H417" s="567"/>
      <c r="I417" s="568"/>
      <c r="J417" s="569"/>
      <c r="K417" s="94"/>
      <c r="L417" s="94"/>
      <c r="M417" s="94"/>
      <c r="N417" s="570"/>
      <c r="O417" s="571"/>
      <c r="P417" s="566"/>
      <c r="Q417" s="572"/>
      <c r="R417" s="569"/>
      <c r="S417" s="570"/>
      <c r="T417" s="570"/>
      <c r="U417" s="571"/>
    </row>
    <row r="418" spans="1:21">
      <c r="A418" s="554"/>
      <c r="B418" s="573"/>
      <c r="C418" s="574"/>
      <c r="D418" s="226"/>
      <c r="E418" s="226"/>
      <c r="F418" s="226"/>
      <c r="G418" s="226"/>
      <c r="H418" s="575"/>
      <c r="I418" s="576"/>
      <c r="J418" s="577"/>
      <c r="K418" s="226"/>
      <c r="L418" s="226"/>
      <c r="M418" s="226"/>
      <c r="N418" s="226"/>
      <c r="O418" s="578"/>
      <c r="P418" s="574"/>
      <c r="Q418" s="579"/>
      <c r="R418" s="577"/>
      <c r="S418" s="226"/>
      <c r="T418" s="226"/>
      <c r="U418" s="578"/>
    </row>
    <row r="419" spans="1:21">
      <c r="A419" s="580"/>
      <c r="B419" s="581"/>
      <c r="C419" s="582"/>
      <c r="D419" s="584"/>
      <c r="E419" s="584"/>
      <c r="F419" s="584"/>
      <c r="G419" s="584"/>
      <c r="H419" s="585"/>
      <c r="I419" s="586"/>
      <c r="J419" s="587"/>
      <c r="K419" s="584"/>
      <c r="L419" s="584"/>
      <c r="M419" s="584"/>
      <c r="N419" s="584"/>
      <c r="O419" s="588"/>
      <c r="P419" s="582"/>
      <c r="Q419" s="589"/>
      <c r="R419" s="587"/>
      <c r="S419" s="584"/>
      <c r="T419" s="584"/>
      <c r="U419" s="588"/>
    </row>
    <row r="420" spans="1:21">
      <c r="A420" s="554"/>
      <c r="B420" s="556"/>
      <c r="C420" s="566"/>
      <c r="D420" s="94"/>
      <c r="E420" s="94"/>
      <c r="F420" s="94"/>
      <c r="G420" s="95"/>
      <c r="H420" s="567"/>
      <c r="I420" s="568"/>
      <c r="J420" s="569"/>
      <c r="K420" s="94"/>
      <c r="L420" s="94"/>
      <c r="M420" s="94"/>
      <c r="N420" s="570"/>
      <c r="O420" s="571"/>
      <c r="P420" s="566"/>
      <c r="Q420" s="572"/>
      <c r="R420" s="569"/>
      <c r="S420" s="570"/>
      <c r="T420" s="570"/>
      <c r="U420" s="571"/>
    </row>
    <row r="421" spans="1:21">
      <c r="A421" s="554"/>
      <c r="B421" s="573"/>
      <c r="C421" s="574"/>
      <c r="D421" s="226"/>
      <c r="E421" s="226"/>
      <c r="F421" s="226"/>
      <c r="G421" s="226"/>
      <c r="H421" s="575"/>
      <c r="I421" s="576"/>
      <c r="J421" s="577"/>
      <c r="K421" s="226"/>
      <c r="L421" s="226"/>
      <c r="M421" s="226"/>
      <c r="N421" s="226"/>
      <c r="O421" s="578"/>
      <c r="P421" s="574"/>
      <c r="Q421" s="579"/>
      <c r="R421" s="577"/>
      <c r="S421" s="226"/>
      <c r="T421" s="226"/>
      <c r="U421" s="578"/>
    </row>
    <row r="422" spans="1:21">
      <c r="A422" s="580"/>
      <c r="B422" s="581"/>
      <c r="C422" s="582"/>
      <c r="D422" s="584"/>
      <c r="E422" s="584"/>
      <c r="F422" s="584"/>
      <c r="G422" s="584"/>
      <c r="H422" s="585"/>
      <c r="I422" s="586"/>
      <c r="J422" s="587"/>
      <c r="K422" s="584"/>
      <c r="L422" s="584"/>
      <c r="M422" s="584"/>
      <c r="N422" s="584"/>
      <c r="O422" s="588"/>
      <c r="P422" s="582"/>
      <c r="Q422" s="589"/>
      <c r="R422" s="587"/>
      <c r="S422" s="584"/>
      <c r="T422" s="584"/>
      <c r="U422" s="588"/>
    </row>
    <row r="423" spans="1:21">
      <c r="A423" s="554"/>
      <c r="B423" s="556"/>
      <c r="C423" s="566"/>
      <c r="D423" s="94"/>
      <c r="E423" s="94"/>
      <c r="F423" s="94"/>
      <c r="G423" s="95"/>
      <c r="H423" s="567"/>
      <c r="I423" s="568"/>
      <c r="J423" s="569"/>
      <c r="K423" s="94"/>
      <c r="L423" s="94"/>
      <c r="M423" s="94"/>
      <c r="N423" s="570"/>
      <c r="O423" s="571"/>
      <c r="P423" s="566"/>
      <c r="Q423" s="572"/>
      <c r="R423" s="569"/>
      <c r="S423" s="570"/>
      <c r="T423" s="570"/>
      <c r="U423" s="571"/>
    </row>
    <row r="424" spans="1:21">
      <c r="A424" s="554"/>
      <c r="B424" s="573"/>
      <c r="C424" s="574"/>
      <c r="D424" s="226"/>
      <c r="E424" s="226"/>
      <c r="F424" s="226"/>
      <c r="G424" s="226"/>
      <c r="H424" s="575"/>
      <c r="I424" s="576"/>
      <c r="J424" s="577"/>
      <c r="K424" s="226"/>
      <c r="L424" s="226"/>
      <c r="M424" s="226"/>
      <c r="N424" s="226"/>
      <c r="O424" s="578"/>
      <c r="P424" s="574"/>
      <c r="Q424" s="579"/>
      <c r="R424" s="577"/>
      <c r="S424" s="226"/>
      <c r="T424" s="226"/>
      <c r="U424" s="578"/>
    </row>
    <row r="425" spans="1:21">
      <c r="A425" s="580"/>
      <c r="B425" s="581"/>
      <c r="C425" s="582"/>
      <c r="D425" s="584"/>
      <c r="E425" s="584"/>
      <c r="F425" s="584"/>
      <c r="G425" s="584"/>
      <c r="H425" s="585"/>
      <c r="I425" s="586"/>
      <c r="J425" s="587"/>
      <c r="K425" s="584"/>
      <c r="L425" s="584"/>
      <c r="M425" s="584"/>
      <c r="N425" s="584"/>
      <c r="O425" s="588"/>
      <c r="P425" s="582"/>
      <c r="Q425" s="589"/>
      <c r="R425" s="587"/>
      <c r="S425" s="584"/>
      <c r="T425" s="584"/>
      <c r="U425" s="588"/>
    </row>
    <row r="426" spans="1:21">
      <c r="A426" s="549"/>
      <c r="B426" s="556"/>
      <c r="C426" s="566"/>
      <c r="D426" s="94"/>
      <c r="E426" s="94"/>
      <c r="F426" s="94"/>
      <c r="G426" s="95"/>
      <c r="H426" s="567"/>
      <c r="I426" s="568"/>
      <c r="J426" s="569"/>
      <c r="K426" s="94"/>
      <c r="L426" s="94"/>
      <c r="M426" s="94"/>
      <c r="N426" s="570"/>
      <c r="O426" s="571"/>
      <c r="P426" s="566"/>
      <c r="Q426" s="572"/>
      <c r="R426" s="569"/>
      <c r="S426" s="570"/>
      <c r="T426" s="570"/>
      <c r="U426" s="571"/>
    </row>
    <row r="427" spans="1:21">
      <c r="A427" s="554"/>
      <c r="B427" s="573"/>
      <c r="C427" s="574"/>
      <c r="D427" s="226"/>
      <c r="E427" s="226"/>
      <c r="F427" s="226"/>
      <c r="G427" s="226"/>
      <c r="H427" s="575"/>
      <c r="I427" s="576"/>
      <c r="J427" s="577"/>
      <c r="K427" s="226"/>
      <c r="L427" s="226"/>
      <c r="M427" s="226"/>
      <c r="N427" s="226"/>
      <c r="O427" s="578"/>
      <c r="P427" s="574"/>
      <c r="Q427" s="579"/>
      <c r="R427" s="577"/>
      <c r="S427" s="226"/>
      <c r="T427" s="226"/>
      <c r="U427" s="578"/>
    </row>
    <row r="428" spans="1:21">
      <c r="A428" s="580"/>
      <c r="B428" s="581"/>
      <c r="C428" s="582"/>
      <c r="D428" s="584"/>
      <c r="E428" s="584"/>
      <c r="F428" s="584"/>
      <c r="G428" s="584"/>
      <c r="H428" s="585"/>
      <c r="I428" s="586"/>
      <c r="J428" s="587"/>
      <c r="K428" s="584"/>
      <c r="L428" s="584"/>
      <c r="M428" s="584"/>
      <c r="N428" s="584"/>
      <c r="O428" s="588"/>
      <c r="P428" s="582"/>
      <c r="Q428" s="589"/>
      <c r="R428" s="587"/>
      <c r="S428" s="584"/>
      <c r="T428" s="584"/>
      <c r="U428" s="588"/>
    </row>
    <row r="429" spans="1:21">
      <c r="A429" s="554"/>
      <c r="B429" s="556"/>
      <c r="C429" s="566"/>
      <c r="D429" s="94"/>
      <c r="E429" s="94"/>
      <c r="F429" s="94"/>
      <c r="G429" s="95"/>
      <c r="H429" s="567"/>
      <c r="I429" s="568"/>
      <c r="J429" s="569"/>
      <c r="K429" s="94"/>
      <c r="L429" s="94"/>
      <c r="M429" s="94"/>
      <c r="N429" s="570"/>
      <c r="O429" s="571"/>
      <c r="P429" s="566"/>
      <c r="Q429" s="572"/>
      <c r="R429" s="569"/>
      <c r="S429" s="570"/>
      <c r="T429" s="570"/>
      <c r="U429" s="571"/>
    </row>
    <row r="430" spans="1:21">
      <c r="A430" s="554"/>
      <c r="B430" s="573"/>
      <c r="C430" s="574"/>
      <c r="D430" s="226"/>
      <c r="E430" s="226"/>
      <c r="F430" s="226"/>
      <c r="G430" s="226"/>
      <c r="H430" s="575"/>
      <c r="I430" s="576"/>
      <c r="J430" s="577"/>
      <c r="K430" s="226"/>
      <c r="L430" s="226"/>
      <c r="M430" s="226"/>
      <c r="N430" s="226"/>
      <c r="O430" s="578"/>
      <c r="P430" s="574"/>
      <c r="Q430" s="579"/>
      <c r="R430" s="577"/>
      <c r="S430" s="226"/>
      <c r="T430" s="226"/>
      <c r="U430" s="578"/>
    </row>
    <row r="431" spans="1:21">
      <c r="A431" s="580"/>
      <c r="B431" s="581"/>
      <c r="C431" s="582"/>
      <c r="D431" s="584"/>
      <c r="E431" s="584"/>
      <c r="F431" s="584"/>
      <c r="G431" s="584"/>
      <c r="H431" s="585"/>
      <c r="I431" s="586"/>
      <c r="J431" s="587"/>
      <c r="K431" s="584"/>
      <c r="L431" s="584"/>
      <c r="M431" s="584"/>
      <c r="N431" s="584"/>
      <c r="O431" s="588"/>
      <c r="P431" s="582"/>
      <c r="Q431" s="589"/>
      <c r="R431" s="587"/>
      <c r="S431" s="584"/>
      <c r="T431" s="584"/>
      <c r="U431" s="588"/>
    </row>
    <row r="432" spans="1:21">
      <c r="A432" s="554"/>
      <c r="B432" s="556"/>
      <c r="C432" s="566"/>
      <c r="D432" s="94"/>
      <c r="E432" s="94"/>
      <c r="F432" s="94"/>
      <c r="G432" s="95"/>
      <c r="H432" s="567"/>
      <c r="I432" s="568"/>
      <c r="J432" s="569"/>
      <c r="K432" s="94"/>
      <c r="L432" s="94"/>
      <c r="M432" s="94"/>
      <c r="N432" s="570"/>
      <c r="O432" s="571"/>
      <c r="P432" s="566"/>
      <c r="Q432" s="572"/>
      <c r="R432" s="569"/>
      <c r="S432" s="570"/>
      <c r="T432" s="570"/>
      <c r="U432" s="571"/>
    </row>
    <row r="433" spans="1:21">
      <c r="A433" s="554"/>
      <c r="B433" s="573"/>
      <c r="C433" s="574"/>
      <c r="D433" s="226"/>
      <c r="E433" s="226"/>
      <c r="F433" s="226"/>
      <c r="G433" s="226"/>
      <c r="H433" s="575"/>
      <c r="I433" s="576"/>
      <c r="J433" s="577"/>
      <c r="K433" s="226"/>
      <c r="L433" s="226"/>
      <c r="M433" s="226"/>
      <c r="N433" s="226"/>
      <c r="O433" s="578"/>
      <c r="P433" s="574"/>
      <c r="Q433" s="579"/>
      <c r="R433" s="577"/>
      <c r="S433" s="226"/>
      <c r="T433" s="226"/>
      <c r="U433" s="578"/>
    </row>
    <row r="434" spans="1:21">
      <c r="A434" s="580"/>
      <c r="B434" s="581"/>
      <c r="C434" s="582"/>
      <c r="D434" s="584"/>
      <c r="E434" s="584"/>
      <c r="F434" s="584"/>
      <c r="G434" s="584"/>
      <c r="H434" s="585"/>
      <c r="I434" s="586"/>
      <c r="J434" s="587"/>
      <c r="K434" s="584"/>
      <c r="L434" s="584"/>
      <c r="M434" s="584"/>
      <c r="N434" s="584"/>
      <c r="O434" s="588"/>
      <c r="P434" s="582"/>
      <c r="Q434" s="589"/>
      <c r="R434" s="587"/>
      <c r="S434" s="584"/>
      <c r="T434" s="584"/>
      <c r="U434" s="588"/>
    </row>
    <row r="435" spans="1:21">
      <c r="A435" s="554"/>
      <c r="B435" s="556"/>
      <c r="C435" s="566"/>
      <c r="D435" s="94"/>
      <c r="E435" s="94"/>
      <c r="F435" s="94"/>
      <c r="G435" s="95"/>
      <c r="H435" s="567"/>
      <c r="I435" s="568"/>
      <c r="J435" s="569"/>
      <c r="K435" s="94"/>
      <c r="L435" s="94"/>
      <c r="M435" s="94"/>
      <c r="N435" s="570"/>
      <c r="O435" s="571"/>
      <c r="P435" s="566"/>
      <c r="Q435" s="572"/>
      <c r="R435" s="569"/>
      <c r="S435" s="570"/>
      <c r="T435" s="570"/>
      <c r="U435" s="571"/>
    </row>
    <row r="436" spans="1:21">
      <c r="A436" s="554"/>
      <c r="B436" s="573"/>
      <c r="C436" s="574"/>
      <c r="D436" s="226"/>
      <c r="E436" s="226"/>
      <c r="F436" s="226"/>
      <c r="G436" s="226"/>
      <c r="H436" s="575"/>
      <c r="I436" s="576"/>
      <c r="J436" s="577"/>
      <c r="K436" s="226"/>
      <c r="L436" s="226"/>
      <c r="M436" s="226"/>
      <c r="N436" s="226"/>
      <c r="O436" s="578"/>
      <c r="P436" s="574"/>
      <c r="Q436" s="579"/>
      <c r="R436" s="577"/>
      <c r="S436" s="226"/>
      <c r="T436" s="226"/>
      <c r="U436" s="578"/>
    </row>
    <row r="437" spans="1:21">
      <c r="A437" s="580"/>
      <c r="B437" s="581"/>
      <c r="C437" s="582"/>
      <c r="D437" s="584"/>
      <c r="E437" s="584"/>
      <c r="F437" s="584"/>
      <c r="G437" s="584"/>
      <c r="H437" s="585"/>
      <c r="I437" s="586"/>
      <c r="J437" s="587"/>
      <c r="K437" s="584"/>
      <c r="L437" s="584"/>
      <c r="M437" s="584"/>
      <c r="N437" s="584"/>
      <c r="O437" s="588"/>
      <c r="P437" s="582"/>
      <c r="Q437" s="589"/>
      <c r="R437" s="587"/>
      <c r="S437" s="584"/>
      <c r="T437" s="584"/>
      <c r="U437" s="588"/>
    </row>
    <row r="438" spans="1:21">
      <c r="A438" s="554"/>
      <c r="B438" s="556"/>
      <c r="C438" s="566"/>
      <c r="D438" s="94"/>
      <c r="E438" s="94"/>
      <c r="F438" s="94"/>
      <c r="G438" s="95"/>
      <c r="H438" s="567"/>
      <c r="I438" s="568"/>
      <c r="J438" s="569"/>
      <c r="K438" s="94"/>
      <c r="L438" s="94"/>
      <c r="M438" s="94"/>
      <c r="N438" s="570"/>
      <c r="O438" s="571"/>
      <c r="P438" s="566"/>
      <c r="Q438" s="572"/>
      <c r="R438" s="569"/>
      <c r="S438" s="570"/>
      <c r="T438" s="570"/>
      <c r="U438" s="571"/>
    </row>
    <row r="439" spans="1:21">
      <c r="A439" s="554"/>
      <c r="B439" s="573"/>
      <c r="C439" s="574"/>
      <c r="D439" s="226"/>
      <c r="E439" s="226"/>
      <c r="F439" s="226"/>
      <c r="G439" s="226"/>
      <c r="H439" s="575"/>
      <c r="I439" s="576"/>
      <c r="J439" s="577"/>
      <c r="K439" s="226"/>
      <c r="L439" s="226"/>
      <c r="M439" s="226"/>
      <c r="N439" s="226"/>
      <c r="O439" s="578"/>
      <c r="P439" s="574"/>
      <c r="Q439" s="579"/>
      <c r="R439" s="577"/>
      <c r="S439" s="226"/>
      <c r="T439" s="226"/>
      <c r="U439" s="578"/>
    </row>
    <row r="440" spans="1:21">
      <c r="A440" s="580"/>
      <c r="B440" s="581"/>
      <c r="C440" s="582"/>
      <c r="D440" s="584"/>
      <c r="E440" s="584"/>
      <c r="F440" s="584"/>
      <c r="G440" s="584"/>
      <c r="H440" s="585"/>
      <c r="I440" s="586"/>
      <c r="J440" s="587"/>
      <c r="K440" s="584"/>
      <c r="L440" s="584"/>
      <c r="M440" s="584"/>
      <c r="N440" s="584"/>
      <c r="O440" s="588"/>
      <c r="P440" s="582"/>
      <c r="Q440" s="589"/>
      <c r="R440" s="587"/>
      <c r="S440" s="584"/>
      <c r="T440" s="584"/>
      <c r="U440" s="588"/>
    </row>
    <row r="441" spans="1:21">
      <c r="A441" s="554"/>
      <c r="B441" s="556"/>
      <c r="C441" s="566"/>
      <c r="D441" s="94"/>
      <c r="E441" s="94"/>
      <c r="F441" s="94"/>
      <c r="G441" s="95"/>
      <c r="H441" s="567"/>
      <c r="I441" s="568"/>
      <c r="J441" s="569"/>
      <c r="K441" s="94"/>
      <c r="L441" s="94"/>
      <c r="M441" s="94"/>
      <c r="N441" s="570"/>
      <c r="O441" s="571"/>
      <c r="P441" s="566"/>
      <c r="Q441" s="572"/>
      <c r="R441" s="569"/>
      <c r="S441" s="570"/>
      <c r="T441" s="570"/>
      <c r="U441" s="571"/>
    </row>
    <row r="442" spans="1:21">
      <c r="A442" s="554"/>
      <c r="B442" s="573"/>
      <c r="C442" s="574"/>
      <c r="D442" s="226"/>
      <c r="E442" s="226"/>
      <c r="F442" s="226"/>
      <c r="G442" s="226"/>
      <c r="H442" s="575"/>
      <c r="I442" s="576"/>
      <c r="J442" s="577"/>
      <c r="K442" s="226"/>
      <c r="L442" s="226"/>
      <c r="M442" s="226"/>
      <c r="N442" s="226"/>
      <c r="O442" s="578"/>
      <c r="P442" s="574"/>
      <c r="Q442" s="579"/>
      <c r="R442" s="577"/>
      <c r="S442" s="226"/>
      <c r="T442" s="226"/>
      <c r="U442" s="578"/>
    </row>
    <row r="443" spans="1:21">
      <c r="A443" s="580"/>
      <c r="B443" s="581"/>
      <c r="C443" s="582"/>
      <c r="D443" s="584"/>
      <c r="E443" s="584"/>
      <c r="F443" s="584"/>
      <c r="G443" s="584"/>
      <c r="H443" s="585"/>
      <c r="I443" s="586"/>
      <c r="J443" s="587"/>
      <c r="K443" s="584"/>
      <c r="L443" s="584"/>
      <c r="M443" s="584"/>
      <c r="N443" s="584"/>
      <c r="O443" s="588"/>
      <c r="P443" s="582"/>
      <c r="Q443" s="589"/>
      <c r="R443" s="587"/>
      <c r="S443" s="584"/>
      <c r="T443" s="584"/>
      <c r="U443" s="588"/>
    </row>
    <row r="444" spans="1:21">
      <c r="A444" s="554"/>
      <c r="B444" s="556"/>
      <c r="C444" s="566"/>
      <c r="D444" s="94"/>
      <c r="E444" s="94"/>
      <c r="F444" s="94"/>
      <c r="G444" s="95"/>
      <c r="H444" s="567"/>
      <c r="I444" s="568"/>
      <c r="J444" s="569"/>
      <c r="K444" s="94"/>
      <c r="L444" s="94"/>
      <c r="M444" s="94"/>
      <c r="N444" s="570"/>
      <c r="O444" s="571"/>
      <c r="P444" s="566"/>
      <c r="Q444" s="572"/>
      <c r="R444" s="569"/>
      <c r="S444" s="570"/>
      <c r="T444" s="570"/>
      <c r="U444" s="571"/>
    </row>
    <row r="445" spans="1:21">
      <c r="A445" s="554"/>
      <c r="B445" s="573"/>
      <c r="C445" s="574"/>
      <c r="D445" s="226"/>
      <c r="E445" s="226"/>
      <c r="F445" s="226"/>
      <c r="G445" s="226"/>
      <c r="H445" s="575"/>
      <c r="I445" s="576"/>
      <c r="J445" s="577"/>
      <c r="K445" s="226"/>
      <c r="L445" s="226"/>
      <c r="M445" s="226"/>
      <c r="N445" s="226"/>
      <c r="O445" s="578"/>
      <c r="P445" s="574"/>
      <c r="Q445" s="579"/>
      <c r="R445" s="577"/>
      <c r="S445" s="226"/>
      <c r="T445" s="226"/>
      <c r="U445" s="578"/>
    </row>
    <row r="446" spans="1:21">
      <c r="A446" s="580"/>
      <c r="B446" s="581"/>
      <c r="C446" s="582"/>
      <c r="D446" s="584"/>
      <c r="E446" s="584"/>
      <c r="F446" s="584"/>
      <c r="G446" s="584"/>
      <c r="H446" s="585"/>
      <c r="I446" s="586"/>
      <c r="J446" s="587"/>
      <c r="K446" s="584"/>
      <c r="L446" s="584"/>
      <c r="M446" s="584"/>
      <c r="N446" s="584"/>
      <c r="O446" s="588"/>
      <c r="P446" s="582"/>
      <c r="Q446" s="589"/>
      <c r="R446" s="587"/>
      <c r="S446" s="584"/>
      <c r="T446" s="584"/>
      <c r="U446" s="588"/>
    </row>
    <row r="447" spans="1:21">
      <c r="A447" s="554"/>
      <c r="B447" s="556"/>
      <c r="C447" s="566"/>
      <c r="D447" s="94"/>
      <c r="E447" s="94"/>
      <c r="F447" s="94"/>
      <c r="G447" s="95"/>
      <c r="H447" s="567"/>
      <c r="I447" s="568"/>
      <c r="J447" s="569"/>
      <c r="K447" s="94"/>
      <c r="L447" s="94"/>
      <c r="M447" s="94"/>
      <c r="N447" s="570"/>
      <c r="O447" s="571"/>
      <c r="P447" s="566"/>
      <c r="Q447" s="572"/>
      <c r="R447" s="569"/>
      <c r="S447" s="570"/>
      <c r="T447" s="570"/>
      <c r="U447" s="571"/>
    </row>
    <row r="448" spans="1:21">
      <c r="A448" s="554"/>
      <c r="B448" s="573"/>
      <c r="C448" s="574"/>
      <c r="D448" s="226"/>
      <c r="E448" s="226"/>
      <c r="F448" s="226"/>
      <c r="G448" s="226"/>
      <c r="H448" s="575"/>
      <c r="I448" s="576"/>
      <c r="J448" s="577"/>
      <c r="K448" s="226"/>
      <c r="L448" s="226"/>
      <c r="M448" s="226"/>
      <c r="N448" s="226"/>
      <c r="O448" s="578"/>
      <c r="P448" s="574"/>
      <c r="Q448" s="579"/>
      <c r="R448" s="577"/>
      <c r="S448" s="226"/>
      <c r="T448" s="226"/>
      <c r="U448" s="578"/>
    </row>
    <row r="449" spans="1:21">
      <c r="A449" s="580"/>
      <c r="B449" s="581"/>
      <c r="C449" s="582"/>
      <c r="D449" s="584"/>
      <c r="E449" s="584"/>
      <c r="F449" s="584"/>
      <c r="G449" s="584"/>
      <c r="H449" s="585"/>
      <c r="I449" s="586"/>
      <c r="J449" s="587"/>
      <c r="K449" s="584"/>
      <c r="L449" s="584"/>
      <c r="M449" s="584"/>
      <c r="N449" s="584"/>
      <c r="O449" s="588"/>
      <c r="P449" s="582"/>
      <c r="Q449" s="589"/>
      <c r="R449" s="587"/>
      <c r="S449" s="584"/>
      <c r="T449" s="584"/>
      <c r="U449" s="588"/>
    </row>
    <row r="450" spans="1:21">
      <c r="A450" s="554"/>
      <c r="B450" s="556"/>
      <c r="C450" s="566"/>
      <c r="D450" s="94"/>
      <c r="E450" s="94"/>
      <c r="F450" s="94"/>
      <c r="G450" s="95"/>
      <c r="H450" s="567"/>
      <c r="I450" s="568"/>
      <c r="J450" s="569"/>
      <c r="K450" s="94"/>
      <c r="L450" s="94"/>
      <c r="M450" s="94"/>
      <c r="N450" s="570"/>
      <c r="O450" s="571"/>
      <c r="P450" s="566"/>
      <c r="Q450" s="572"/>
      <c r="R450" s="569"/>
      <c r="S450" s="570"/>
      <c r="T450" s="570"/>
      <c r="U450" s="571"/>
    </row>
    <row r="451" spans="1:21">
      <c r="A451" s="554"/>
      <c r="B451" s="573"/>
      <c r="C451" s="574"/>
      <c r="D451" s="226"/>
      <c r="E451" s="226"/>
      <c r="F451" s="226"/>
      <c r="G451" s="226"/>
      <c r="H451" s="575"/>
      <c r="I451" s="576"/>
      <c r="J451" s="577"/>
      <c r="K451" s="226"/>
      <c r="L451" s="226"/>
      <c r="M451" s="226"/>
      <c r="N451" s="226"/>
      <c r="O451" s="578"/>
      <c r="P451" s="574"/>
      <c r="Q451" s="579"/>
      <c r="R451" s="577"/>
      <c r="S451" s="226"/>
      <c r="T451" s="226"/>
      <c r="U451" s="578"/>
    </row>
    <row r="452" spans="1:21">
      <c r="A452" s="580"/>
      <c r="B452" s="581"/>
      <c r="C452" s="582"/>
      <c r="D452" s="584"/>
      <c r="E452" s="584"/>
      <c r="F452" s="584"/>
      <c r="G452" s="584"/>
      <c r="H452" s="585"/>
      <c r="I452" s="586"/>
      <c r="J452" s="587"/>
      <c r="K452" s="584"/>
      <c r="L452" s="584"/>
      <c r="M452" s="584"/>
      <c r="N452" s="584"/>
      <c r="O452" s="588"/>
      <c r="P452" s="582"/>
      <c r="Q452" s="589"/>
      <c r="R452" s="587"/>
      <c r="S452" s="584"/>
      <c r="T452" s="584"/>
      <c r="U452" s="588"/>
    </row>
    <row r="453" spans="1:21">
      <c r="A453" s="554"/>
      <c r="B453" s="556"/>
      <c r="C453" s="566"/>
      <c r="D453" s="94"/>
      <c r="E453" s="94"/>
      <c r="F453" s="94"/>
      <c r="G453" s="95"/>
      <c r="H453" s="567"/>
      <c r="I453" s="568"/>
      <c r="J453" s="569"/>
      <c r="K453" s="94"/>
      <c r="L453" s="94"/>
      <c r="M453" s="94"/>
      <c r="N453" s="570"/>
      <c r="O453" s="571"/>
      <c r="P453" s="566"/>
      <c r="Q453" s="572"/>
      <c r="R453" s="569"/>
      <c r="S453" s="570"/>
      <c r="T453" s="570"/>
      <c r="U453" s="571"/>
    </row>
    <row r="454" spans="1:21">
      <c r="A454" s="554"/>
      <c r="B454" s="573"/>
      <c r="C454" s="574"/>
      <c r="D454" s="226"/>
      <c r="E454" s="226"/>
      <c r="F454" s="226"/>
      <c r="G454" s="226"/>
      <c r="H454" s="575"/>
      <c r="I454" s="576"/>
      <c r="J454" s="577"/>
      <c r="K454" s="226"/>
      <c r="L454" s="226"/>
      <c r="M454" s="226"/>
      <c r="N454" s="226"/>
      <c r="O454" s="578"/>
      <c r="P454" s="574"/>
      <c r="Q454" s="579"/>
      <c r="R454" s="577"/>
      <c r="S454" s="226"/>
      <c r="T454" s="226"/>
      <c r="U454" s="578"/>
    </row>
    <row r="455" spans="1:21">
      <c r="A455" s="580"/>
      <c r="B455" s="581"/>
      <c r="C455" s="582"/>
      <c r="D455" s="584"/>
      <c r="E455" s="584"/>
      <c r="F455" s="584"/>
      <c r="G455" s="584"/>
      <c r="H455" s="585"/>
      <c r="I455" s="586"/>
      <c r="J455" s="587"/>
      <c r="K455" s="584"/>
      <c r="L455" s="584"/>
      <c r="M455" s="584"/>
      <c r="N455" s="584"/>
      <c r="O455" s="588"/>
      <c r="P455" s="582"/>
      <c r="Q455" s="589"/>
      <c r="R455" s="587"/>
      <c r="S455" s="584"/>
      <c r="T455" s="584"/>
      <c r="U455" s="588"/>
    </row>
    <row r="456" spans="1:21">
      <c r="A456" s="549"/>
      <c r="B456" s="556"/>
      <c r="C456" s="566"/>
      <c r="D456" s="94"/>
      <c r="E456" s="94"/>
      <c r="F456" s="94"/>
      <c r="G456" s="95"/>
      <c r="H456" s="567"/>
      <c r="I456" s="568"/>
      <c r="J456" s="569"/>
      <c r="K456" s="94"/>
      <c r="L456" s="94"/>
      <c r="M456" s="94"/>
      <c r="N456" s="570"/>
      <c r="O456" s="571"/>
      <c r="P456" s="566"/>
      <c r="Q456" s="572"/>
      <c r="R456" s="569"/>
      <c r="S456" s="570"/>
      <c r="T456" s="570"/>
      <c r="U456" s="571"/>
    </row>
    <row r="457" spans="1:21">
      <c r="A457" s="554"/>
      <c r="B457" s="573"/>
      <c r="C457" s="574"/>
      <c r="D457" s="226"/>
      <c r="E457" s="226"/>
      <c r="F457" s="226"/>
      <c r="G457" s="226"/>
      <c r="H457" s="575"/>
      <c r="I457" s="576"/>
      <c r="J457" s="577"/>
      <c r="K457" s="226"/>
      <c r="L457" s="226"/>
      <c r="M457" s="226"/>
      <c r="N457" s="226"/>
      <c r="O457" s="578"/>
      <c r="P457" s="574"/>
      <c r="Q457" s="579"/>
      <c r="R457" s="577"/>
      <c r="S457" s="226"/>
      <c r="T457" s="226"/>
      <c r="U457" s="578"/>
    </row>
    <row r="458" spans="1:21">
      <c r="A458" s="580"/>
      <c r="B458" s="581"/>
      <c r="C458" s="582"/>
      <c r="D458" s="584"/>
      <c r="E458" s="584"/>
      <c r="F458" s="584"/>
      <c r="G458" s="584"/>
      <c r="H458" s="585"/>
      <c r="I458" s="586"/>
      <c r="J458" s="587"/>
      <c r="K458" s="584"/>
      <c r="L458" s="584"/>
      <c r="M458" s="584"/>
      <c r="N458" s="584"/>
      <c r="O458" s="588"/>
      <c r="P458" s="582"/>
      <c r="Q458" s="589"/>
      <c r="R458" s="587"/>
      <c r="S458" s="584"/>
      <c r="T458" s="584"/>
      <c r="U458" s="588"/>
    </row>
    <row r="459" spans="1:21">
      <c r="A459" s="554"/>
      <c r="B459" s="556"/>
      <c r="C459" s="566"/>
      <c r="D459" s="94"/>
      <c r="E459" s="94"/>
      <c r="F459" s="94"/>
      <c r="G459" s="95"/>
      <c r="H459" s="567"/>
      <c r="I459" s="568"/>
      <c r="J459" s="569"/>
      <c r="K459" s="94"/>
      <c r="L459" s="94"/>
      <c r="M459" s="94"/>
      <c r="N459" s="570"/>
      <c r="O459" s="571"/>
      <c r="P459" s="566"/>
      <c r="Q459" s="572"/>
      <c r="R459" s="569"/>
      <c r="S459" s="570"/>
      <c r="T459" s="570"/>
      <c r="U459" s="571"/>
    </row>
    <row r="460" spans="1:21">
      <c r="A460" s="554"/>
      <c r="B460" s="573"/>
      <c r="C460" s="574"/>
      <c r="D460" s="226"/>
      <c r="E460" s="226"/>
      <c r="F460" s="226"/>
      <c r="G460" s="226"/>
      <c r="H460" s="575"/>
      <c r="I460" s="576"/>
      <c r="J460" s="577"/>
      <c r="K460" s="226"/>
      <c r="L460" s="226"/>
      <c r="M460" s="226"/>
      <c r="N460" s="226"/>
      <c r="O460" s="578"/>
      <c r="P460" s="574"/>
      <c r="Q460" s="579"/>
      <c r="R460" s="577"/>
      <c r="S460" s="226"/>
      <c r="T460" s="226"/>
      <c r="U460" s="578"/>
    </row>
    <row r="461" spans="1:21">
      <c r="A461" s="580"/>
      <c r="B461" s="581"/>
      <c r="C461" s="582"/>
      <c r="D461" s="584"/>
      <c r="E461" s="584"/>
      <c r="F461" s="584"/>
      <c r="G461" s="584"/>
      <c r="H461" s="585"/>
      <c r="I461" s="586"/>
      <c r="J461" s="587"/>
      <c r="K461" s="584"/>
      <c r="L461" s="584"/>
      <c r="M461" s="584"/>
      <c r="N461" s="584"/>
      <c r="O461" s="588"/>
      <c r="P461" s="582"/>
      <c r="Q461" s="589"/>
      <c r="R461" s="587"/>
      <c r="S461" s="584"/>
      <c r="T461" s="584"/>
      <c r="U461" s="588"/>
    </row>
    <row r="462" spans="1:21">
      <c r="A462" s="554"/>
      <c r="B462" s="556"/>
      <c r="C462" s="566"/>
      <c r="D462" s="94"/>
      <c r="E462" s="94"/>
      <c r="F462" s="94"/>
      <c r="G462" s="95"/>
      <c r="H462" s="567"/>
      <c r="I462" s="568"/>
      <c r="J462" s="569"/>
      <c r="K462" s="94"/>
      <c r="L462" s="94"/>
      <c r="M462" s="94"/>
      <c r="N462" s="570"/>
      <c r="O462" s="571"/>
      <c r="P462" s="566"/>
      <c r="Q462" s="572"/>
      <c r="R462" s="569"/>
      <c r="S462" s="570"/>
      <c r="T462" s="570"/>
      <c r="U462" s="571"/>
    </row>
    <row r="463" spans="1:21">
      <c r="A463" s="554"/>
      <c r="B463" s="573"/>
      <c r="C463" s="574"/>
      <c r="D463" s="226"/>
      <c r="E463" s="226"/>
      <c r="F463" s="226"/>
      <c r="G463" s="226"/>
      <c r="H463" s="575"/>
      <c r="I463" s="576"/>
      <c r="J463" s="577"/>
      <c r="K463" s="226"/>
      <c r="L463" s="226"/>
      <c r="M463" s="226"/>
      <c r="N463" s="226"/>
      <c r="O463" s="578"/>
      <c r="P463" s="574"/>
      <c r="Q463" s="579"/>
      <c r="R463" s="577"/>
      <c r="S463" s="226"/>
      <c r="T463" s="226"/>
      <c r="U463" s="578"/>
    </row>
    <row r="464" spans="1:21">
      <c r="A464" s="580"/>
      <c r="B464" s="581"/>
      <c r="C464" s="582"/>
      <c r="D464" s="584"/>
      <c r="E464" s="584"/>
      <c r="F464" s="584"/>
      <c r="G464" s="584"/>
      <c r="H464" s="585"/>
      <c r="I464" s="586"/>
      <c r="J464" s="587"/>
      <c r="K464" s="584"/>
      <c r="L464" s="584"/>
      <c r="M464" s="584"/>
      <c r="N464" s="584"/>
      <c r="O464" s="588"/>
      <c r="P464" s="582"/>
      <c r="Q464" s="589"/>
      <c r="R464" s="587"/>
      <c r="S464" s="584"/>
      <c r="T464" s="584"/>
      <c r="U464" s="588"/>
    </row>
    <row r="465" spans="1:21">
      <c r="A465" s="554"/>
      <c r="B465" s="556"/>
      <c r="C465" s="566"/>
      <c r="D465" s="94"/>
      <c r="E465" s="94"/>
      <c r="F465" s="94"/>
      <c r="G465" s="95"/>
      <c r="H465" s="567"/>
      <c r="I465" s="568"/>
      <c r="J465" s="569"/>
      <c r="K465" s="94"/>
      <c r="L465" s="94"/>
      <c r="M465" s="94"/>
      <c r="N465" s="570"/>
      <c r="O465" s="571"/>
      <c r="P465" s="566"/>
      <c r="Q465" s="572"/>
      <c r="R465" s="569"/>
      <c r="S465" s="570"/>
      <c r="T465" s="570"/>
      <c r="U465" s="571"/>
    </row>
    <row r="466" spans="1:21">
      <c r="A466" s="554"/>
      <c r="B466" s="573"/>
      <c r="C466" s="574"/>
      <c r="D466" s="226"/>
      <c r="E466" s="226"/>
      <c r="F466" s="226"/>
      <c r="G466" s="226"/>
      <c r="H466" s="575"/>
      <c r="I466" s="576"/>
      <c r="J466" s="577"/>
      <c r="K466" s="226"/>
      <c r="L466" s="226"/>
      <c r="M466" s="226"/>
      <c r="N466" s="226"/>
      <c r="O466" s="578"/>
      <c r="P466" s="574"/>
      <c r="Q466" s="579"/>
      <c r="R466" s="577"/>
      <c r="S466" s="226"/>
      <c r="T466" s="226"/>
      <c r="U466" s="578"/>
    </row>
    <row r="467" spans="1:21">
      <c r="A467" s="580"/>
      <c r="B467" s="581"/>
      <c r="C467" s="582"/>
      <c r="D467" s="584"/>
      <c r="E467" s="584"/>
      <c r="F467" s="584"/>
      <c r="G467" s="584"/>
      <c r="H467" s="585"/>
      <c r="I467" s="586"/>
      <c r="J467" s="587"/>
      <c r="K467" s="584"/>
      <c r="L467" s="584"/>
      <c r="M467" s="584"/>
      <c r="N467" s="584"/>
      <c r="O467" s="588"/>
      <c r="P467" s="582"/>
      <c r="Q467" s="589"/>
      <c r="R467" s="587"/>
      <c r="S467" s="584"/>
      <c r="T467" s="584"/>
      <c r="U467" s="588"/>
    </row>
    <row r="468" spans="1:21">
      <c r="A468" s="554"/>
      <c r="B468" s="556"/>
      <c r="C468" s="566"/>
      <c r="D468" s="94"/>
      <c r="E468" s="94"/>
      <c r="F468" s="94"/>
      <c r="G468" s="95"/>
      <c r="H468" s="567"/>
      <c r="I468" s="568"/>
      <c r="J468" s="569"/>
      <c r="K468" s="94"/>
      <c r="L468" s="94"/>
      <c r="M468" s="94"/>
      <c r="N468" s="570"/>
      <c r="O468" s="571"/>
      <c r="P468" s="566"/>
      <c r="Q468" s="572"/>
      <c r="R468" s="569"/>
      <c r="S468" s="570"/>
      <c r="T468" s="570"/>
      <c r="U468" s="571"/>
    </row>
    <row r="469" spans="1:21">
      <c r="A469" s="554"/>
      <c r="B469" s="573"/>
      <c r="C469" s="574"/>
      <c r="D469" s="226"/>
      <c r="E469" s="226"/>
      <c r="F469" s="226"/>
      <c r="G469" s="226"/>
      <c r="H469" s="575"/>
      <c r="I469" s="576"/>
      <c r="J469" s="577"/>
      <c r="K469" s="226"/>
      <c r="L469" s="226"/>
      <c r="M469" s="226"/>
      <c r="N469" s="226"/>
      <c r="O469" s="578"/>
      <c r="P469" s="574"/>
      <c r="Q469" s="579"/>
      <c r="R469" s="577"/>
      <c r="S469" s="226"/>
      <c r="T469" s="226"/>
      <c r="U469" s="578"/>
    </row>
    <row r="470" spans="1:21">
      <c r="A470" s="580"/>
      <c r="B470" s="581"/>
      <c r="C470" s="582"/>
      <c r="D470" s="584"/>
      <c r="E470" s="584"/>
      <c r="F470" s="584"/>
      <c r="G470" s="584"/>
      <c r="H470" s="585"/>
      <c r="I470" s="586"/>
      <c r="J470" s="587"/>
      <c r="K470" s="584"/>
      <c r="L470" s="584"/>
      <c r="M470" s="584"/>
      <c r="N470" s="584"/>
      <c r="O470" s="588"/>
      <c r="P470" s="582"/>
      <c r="Q470" s="589"/>
      <c r="R470" s="587"/>
      <c r="S470" s="584"/>
      <c r="T470" s="584"/>
      <c r="U470" s="588"/>
    </row>
    <row r="471" spans="1:21">
      <c r="A471" s="554"/>
      <c r="B471" s="556"/>
      <c r="C471" s="566"/>
      <c r="D471" s="94"/>
      <c r="E471" s="94"/>
      <c r="F471" s="94"/>
      <c r="G471" s="95"/>
      <c r="H471" s="567"/>
      <c r="I471" s="568"/>
      <c r="J471" s="569"/>
      <c r="K471" s="94"/>
      <c r="L471" s="94"/>
      <c r="M471" s="94"/>
      <c r="N471" s="570"/>
      <c r="O471" s="571"/>
      <c r="P471" s="566"/>
      <c r="Q471" s="572"/>
      <c r="R471" s="569"/>
      <c r="S471" s="570"/>
      <c r="T471" s="570"/>
      <c r="U471" s="571"/>
    </row>
    <row r="472" spans="1:21">
      <c r="A472" s="554"/>
      <c r="B472" s="573"/>
      <c r="C472" s="574"/>
      <c r="D472" s="226"/>
      <c r="E472" s="226"/>
      <c r="F472" s="226"/>
      <c r="G472" s="226"/>
      <c r="H472" s="575"/>
      <c r="I472" s="576"/>
      <c r="J472" s="577"/>
      <c r="K472" s="226"/>
      <c r="L472" s="226"/>
      <c r="M472" s="226"/>
      <c r="N472" s="226"/>
      <c r="O472" s="578"/>
      <c r="P472" s="574"/>
      <c r="Q472" s="579"/>
      <c r="R472" s="577"/>
      <c r="S472" s="226"/>
      <c r="T472" s="226"/>
      <c r="U472" s="578"/>
    </row>
    <row r="473" spans="1:21">
      <c r="A473" s="580"/>
      <c r="B473" s="581"/>
      <c r="C473" s="582"/>
      <c r="D473" s="584"/>
      <c r="E473" s="584"/>
      <c r="F473" s="584"/>
      <c r="G473" s="584"/>
      <c r="H473" s="585"/>
      <c r="I473" s="586"/>
      <c r="J473" s="587"/>
      <c r="K473" s="584"/>
      <c r="L473" s="584"/>
      <c r="M473" s="584"/>
      <c r="N473" s="584"/>
      <c r="O473" s="588"/>
      <c r="P473" s="582"/>
      <c r="Q473" s="589"/>
      <c r="R473" s="587"/>
      <c r="S473" s="584"/>
      <c r="T473" s="584"/>
      <c r="U473" s="588"/>
    </row>
    <row r="474" spans="1:21">
      <c r="A474" s="554"/>
      <c r="B474" s="556"/>
      <c r="C474" s="566"/>
      <c r="D474" s="94"/>
      <c r="E474" s="94"/>
      <c r="F474" s="94"/>
      <c r="G474" s="95"/>
      <c r="H474" s="567"/>
      <c r="I474" s="568"/>
      <c r="J474" s="569"/>
      <c r="K474" s="94"/>
      <c r="L474" s="94"/>
      <c r="M474" s="94"/>
      <c r="N474" s="570"/>
      <c r="O474" s="571"/>
      <c r="P474" s="566"/>
      <c r="Q474" s="572"/>
      <c r="R474" s="569"/>
      <c r="S474" s="570"/>
      <c r="T474" s="570"/>
      <c r="U474" s="571"/>
    </row>
    <row r="475" spans="1:21">
      <c r="A475" s="554"/>
      <c r="B475" s="573"/>
      <c r="C475" s="574"/>
      <c r="D475" s="226"/>
      <c r="E475" s="226"/>
      <c r="F475" s="226"/>
      <c r="G475" s="226"/>
      <c r="H475" s="575"/>
      <c r="I475" s="576"/>
      <c r="J475" s="577"/>
      <c r="K475" s="226"/>
      <c r="L475" s="226"/>
      <c r="M475" s="226"/>
      <c r="N475" s="226"/>
      <c r="O475" s="578"/>
      <c r="P475" s="574"/>
      <c r="Q475" s="579"/>
      <c r="R475" s="577"/>
      <c r="S475" s="226"/>
      <c r="T475" s="226"/>
      <c r="U475" s="578"/>
    </row>
    <row r="476" spans="1:21">
      <c r="A476" s="580"/>
      <c r="B476" s="581"/>
      <c r="C476" s="582"/>
      <c r="D476" s="584"/>
      <c r="E476" s="584"/>
      <c r="F476" s="584"/>
      <c r="G476" s="584"/>
      <c r="H476" s="585"/>
      <c r="I476" s="586"/>
      <c r="J476" s="587"/>
      <c r="K476" s="584"/>
      <c r="L476" s="584"/>
      <c r="M476" s="584"/>
      <c r="N476" s="584"/>
      <c r="O476" s="588"/>
      <c r="P476" s="582"/>
      <c r="Q476" s="589"/>
      <c r="R476" s="587"/>
      <c r="S476" s="584"/>
      <c r="T476" s="584"/>
      <c r="U476" s="588"/>
    </row>
    <row r="477" spans="1:21">
      <c r="A477" s="554"/>
      <c r="B477" s="556"/>
      <c r="C477" s="566"/>
      <c r="D477" s="94"/>
      <c r="E477" s="94"/>
      <c r="F477" s="94"/>
      <c r="G477" s="95"/>
      <c r="H477" s="567"/>
      <c r="I477" s="568"/>
      <c r="J477" s="569"/>
      <c r="K477" s="94"/>
      <c r="L477" s="94"/>
      <c r="M477" s="94"/>
      <c r="N477" s="570"/>
      <c r="O477" s="571"/>
      <c r="P477" s="566"/>
      <c r="Q477" s="572"/>
      <c r="R477" s="569"/>
      <c r="S477" s="570"/>
      <c r="T477" s="570"/>
      <c r="U477" s="571"/>
    </row>
    <row r="478" spans="1:21">
      <c r="A478" s="554"/>
      <c r="B478" s="573"/>
      <c r="C478" s="574"/>
      <c r="D478" s="226"/>
      <c r="E478" s="226"/>
      <c r="F478" s="226"/>
      <c r="G478" s="226"/>
      <c r="H478" s="575"/>
      <c r="I478" s="576"/>
      <c r="J478" s="577"/>
      <c r="K478" s="226"/>
      <c r="L478" s="226"/>
      <c r="M478" s="226"/>
      <c r="N478" s="226"/>
      <c r="O478" s="578"/>
      <c r="P478" s="574"/>
      <c r="Q478" s="579"/>
      <c r="R478" s="577"/>
      <c r="S478" s="226"/>
      <c r="T478" s="226"/>
      <c r="U478" s="578"/>
    </row>
    <row r="479" spans="1:21">
      <c r="A479" s="580"/>
      <c r="B479" s="581"/>
      <c r="C479" s="582"/>
      <c r="D479" s="584"/>
      <c r="E479" s="584"/>
      <c r="F479" s="584"/>
      <c r="G479" s="584"/>
      <c r="H479" s="585"/>
      <c r="I479" s="586"/>
      <c r="J479" s="587"/>
      <c r="K479" s="584"/>
      <c r="L479" s="584"/>
      <c r="M479" s="584"/>
      <c r="N479" s="584"/>
      <c r="O479" s="588"/>
      <c r="P479" s="582"/>
      <c r="Q479" s="589"/>
      <c r="R479" s="587"/>
      <c r="S479" s="584"/>
      <c r="T479" s="584"/>
      <c r="U479" s="588"/>
    </row>
    <row r="480" spans="1:21">
      <c r="A480" s="554"/>
      <c r="B480" s="556"/>
      <c r="C480" s="566"/>
      <c r="D480" s="94"/>
      <c r="E480" s="94"/>
      <c r="F480" s="94"/>
      <c r="G480" s="95"/>
      <c r="H480" s="567"/>
      <c r="I480" s="568"/>
      <c r="J480" s="569"/>
      <c r="K480" s="94"/>
      <c r="L480" s="94"/>
      <c r="M480" s="94"/>
      <c r="N480" s="570"/>
      <c r="O480" s="571"/>
      <c r="P480" s="566"/>
      <c r="Q480" s="572"/>
      <c r="R480" s="569"/>
      <c r="S480" s="570"/>
      <c r="T480" s="570"/>
      <c r="U480" s="571"/>
    </row>
    <row r="481" spans="1:21">
      <c r="A481" s="554"/>
      <c r="B481" s="573"/>
      <c r="C481" s="574"/>
      <c r="D481" s="226"/>
      <c r="E481" s="226"/>
      <c r="F481" s="226"/>
      <c r="G481" s="226"/>
      <c r="H481" s="575"/>
      <c r="I481" s="576"/>
      <c r="J481" s="577"/>
      <c r="K481" s="226"/>
      <c r="L481" s="226"/>
      <c r="M481" s="226"/>
      <c r="N481" s="226"/>
      <c r="O481" s="578"/>
      <c r="P481" s="574"/>
      <c r="Q481" s="579"/>
      <c r="R481" s="577"/>
      <c r="S481" s="226"/>
      <c r="T481" s="226"/>
      <c r="U481" s="578"/>
    </row>
    <row r="482" spans="1:21">
      <c r="A482" s="580"/>
      <c r="B482" s="581"/>
      <c r="C482" s="582"/>
      <c r="D482" s="584"/>
      <c r="E482" s="584"/>
      <c r="F482" s="584"/>
      <c r="G482" s="584"/>
      <c r="H482" s="585"/>
      <c r="I482" s="586"/>
      <c r="J482" s="587"/>
      <c r="K482" s="584"/>
      <c r="L482" s="584"/>
      <c r="M482" s="584"/>
      <c r="N482" s="584"/>
      <c r="O482" s="588"/>
      <c r="P482" s="582"/>
      <c r="Q482" s="589"/>
      <c r="R482" s="587"/>
      <c r="S482" s="584"/>
      <c r="T482" s="584"/>
      <c r="U482" s="588"/>
    </row>
    <row r="483" spans="1:21">
      <c r="A483" s="554"/>
      <c r="B483" s="556"/>
      <c r="C483" s="566"/>
      <c r="D483" s="94"/>
      <c r="E483" s="94"/>
      <c r="F483" s="94"/>
      <c r="G483" s="95"/>
      <c r="H483" s="567"/>
      <c r="I483" s="568"/>
      <c r="J483" s="569"/>
      <c r="K483" s="94"/>
      <c r="L483" s="94"/>
      <c r="M483" s="94"/>
      <c r="N483" s="570"/>
      <c r="O483" s="571"/>
      <c r="P483" s="566"/>
      <c r="Q483" s="572"/>
      <c r="R483" s="569"/>
      <c r="S483" s="570"/>
      <c r="T483" s="570"/>
      <c r="U483" s="571"/>
    </row>
    <row r="484" spans="1:21">
      <c r="A484" s="554"/>
      <c r="B484" s="573"/>
      <c r="C484" s="574"/>
      <c r="D484" s="226"/>
      <c r="E484" s="226"/>
      <c r="F484" s="226"/>
      <c r="G484" s="226"/>
      <c r="H484" s="575"/>
      <c r="I484" s="576"/>
      <c r="J484" s="577"/>
      <c r="K484" s="226"/>
      <c r="L484" s="226"/>
      <c r="M484" s="226"/>
      <c r="N484" s="226"/>
      <c r="O484" s="578"/>
      <c r="P484" s="574"/>
      <c r="Q484" s="579"/>
      <c r="R484" s="577"/>
      <c r="S484" s="226"/>
      <c r="T484" s="226"/>
      <c r="U484" s="578"/>
    </row>
    <row r="485" spans="1:21">
      <c r="A485" s="580"/>
      <c r="B485" s="581"/>
      <c r="C485" s="582"/>
      <c r="D485" s="584"/>
      <c r="E485" s="584"/>
      <c r="F485" s="584"/>
      <c r="G485" s="584"/>
      <c r="H485" s="585"/>
      <c r="I485" s="586"/>
      <c r="J485" s="587"/>
      <c r="K485" s="584"/>
      <c r="L485" s="584"/>
      <c r="M485" s="584"/>
      <c r="N485" s="584"/>
      <c r="O485" s="588"/>
      <c r="P485" s="582"/>
      <c r="Q485" s="589"/>
      <c r="R485" s="587"/>
      <c r="S485" s="584"/>
      <c r="T485" s="584"/>
      <c r="U485" s="588"/>
    </row>
    <row r="486" spans="1:21">
      <c r="A486" s="549"/>
      <c r="B486" s="556"/>
      <c r="C486" s="566"/>
      <c r="D486" s="94"/>
      <c r="E486" s="94"/>
      <c r="F486" s="94"/>
      <c r="G486" s="95"/>
      <c r="H486" s="567"/>
      <c r="I486" s="568"/>
      <c r="J486" s="569"/>
      <c r="K486" s="94"/>
      <c r="L486" s="94"/>
      <c r="M486" s="94"/>
      <c r="N486" s="570"/>
      <c r="O486" s="571"/>
      <c r="P486" s="566"/>
      <c r="Q486" s="572"/>
      <c r="R486" s="569"/>
      <c r="S486" s="570"/>
      <c r="T486" s="570"/>
      <c r="U486" s="571"/>
    </row>
    <row r="487" spans="1:21">
      <c r="A487" s="554"/>
      <c r="B487" s="573"/>
      <c r="C487" s="574"/>
      <c r="D487" s="226"/>
      <c r="E487" s="226"/>
      <c r="F487" s="226"/>
      <c r="G487" s="226"/>
      <c r="H487" s="575"/>
      <c r="I487" s="576"/>
      <c r="J487" s="577"/>
      <c r="K487" s="226"/>
      <c r="L487" s="226"/>
      <c r="M487" s="226"/>
      <c r="N487" s="226"/>
      <c r="O487" s="578"/>
      <c r="P487" s="574"/>
      <c r="Q487" s="579"/>
      <c r="R487" s="577"/>
      <c r="S487" s="226"/>
      <c r="T487" s="226"/>
      <c r="U487" s="578"/>
    </row>
    <row r="488" spans="1:21">
      <c r="A488" s="580"/>
      <c r="B488" s="581"/>
      <c r="C488" s="582"/>
      <c r="D488" s="584"/>
      <c r="E488" s="584"/>
      <c r="F488" s="584"/>
      <c r="G488" s="584"/>
      <c r="H488" s="585"/>
      <c r="I488" s="586"/>
      <c r="J488" s="587"/>
      <c r="K488" s="584"/>
      <c r="L488" s="584"/>
      <c r="M488" s="584"/>
      <c r="N488" s="584"/>
      <c r="O488" s="588"/>
      <c r="P488" s="582"/>
      <c r="Q488" s="589"/>
      <c r="R488" s="587"/>
      <c r="S488" s="584"/>
      <c r="T488" s="584"/>
      <c r="U488" s="588"/>
    </row>
    <row r="489" spans="1:21">
      <c r="A489" s="554"/>
      <c r="B489" s="556"/>
      <c r="C489" s="566"/>
      <c r="D489" s="94"/>
      <c r="E489" s="94"/>
      <c r="F489" s="94"/>
      <c r="G489" s="95"/>
      <c r="H489" s="567"/>
      <c r="I489" s="568"/>
      <c r="J489" s="569"/>
      <c r="K489" s="94"/>
      <c r="L489" s="94"/>
      <c r="M489" s="94"/>
      <c r="N489" s="570"/>
      <c r="O489" s="571"/>
      <c r="P489" s="566"/>
      <c r="Q489" s="572"/>
      <c r="R489" s="569"/>
      <c r="S489" s="570"/>
      <c r="T489" s="570"/>
      <c r="U489" s="571"/>
    </row>
    <row r="490" spans="1:21">
      <c r="A490" s="554"/>
      <c r="B490" s="573"/>
      <c r="C490" s="574"/>
      <c r="D490" s="226"/>
      <c r="E490" s="226"/>
      <c r="F490" s="226"/>
      <c r="G490" s="226"/>
      <c r="H490" s="575"/>
      <c r="I490" s="576"/>
      <c r="J490" s="577"/>
      <c r="K490" s="226"/>
      <c r="L490" s="226"/>
      <c r="M490" s="226"/>
      <c r="N490" s="226"/>
      <c r="O490" s="578"/>
      <c r="P490" s="574"/>
      <c r="Q490" s="579"/>
      <c r="R490" s="577"/>
      <c r="S490" s="226"/>
      <c r="T490" s="226"/>
      <c r="U490" s="578"/>
    </row>
    <row r="491" spans="1:21">
      <c r="A491" s="580"/>
      <c r="B491" s="581"/>
      <c r="C491" s="582"/>
      <c r="D491" s="584"/>
      <c r="E491" s="584"/>
      <c r="F491" s="584"/>
      <c r="G491" s="584"/>
      <c r="H491" s="585"/>
      <c r="I491" s="586"/>
      <c r="J491" s="587"/>
      <c r="K491" s="584"/>
      <c r="L491" s="584"/>
      <c r="M491" s="584"/>
      <c r="N491" s="584"/>
      <c r="O491" s="588"/>
      <c r="P491" s="582"/>
      <c r="Q491" s="589"/>
      <c r="R491" s="587"/>
      <c r="S491" s="584"/>
      <c r="T491" s="584"/>
      <c r="U491" s="588"/>
    </row>
    <row r="492" spans="1:21">
      <c r="A492" s="554"/>
      <c r="B492" s="556"/>
      <c r="C492" s="566"/>
      <c r="D492" s="94"/>
      <c r="E492" s="94"/>
      <c r="F492" s="94"/>
      <c r="G492" s="95"/>
      <c r="H492" s="567"/>
      <c r="I492" s="568"/>
      <c r="J492" s="569"/>
      <c r="K492" s="94"/>
      <c r="L492" s="94"/>
      <c r="M492" s="94"/>
      <c r="N492" s="570"/>
      <c r="O492" s="571"/>
      <c r="P492" s="566"/>
      <c r="Q492" s="572"/>
      <c r="R492" s="569"/>
      <c r="S492" s="570"/>
      <c r="T492" s="570"/>
      <c r="U492" s="571"/>
    </row>
    <row r="493" spans="1:21">
      <c r="A493" s="554"/>
      <c r="B493" s="573"/>
      <c r="C493" s="574"/>
      <c r="D493" s="226"/>
      <c r="E493" s="226"/>
      <c r="F493" s="226"/>
      <c r="G493" s="226"/>
      <c r="H493" s="575"/>
      <c r="I493" s="576"/>
      <c r="J493" s="577"/>
      <c r="K493" s="226"/>
      <c r="L493" s="226"/>
      <c r="M493" s="226"/>
      <c r="N493" s="226"/>
      <c r="O493" s="578"/>
      <c r="P493" s="574"/>
      <c r="Q493" s="579"/>
      <c r="R493" s="577"/>
      <c r="S493" s="226"/>
      <c r="T493" s="226"/>
      <c r="U493" s="578"/>
    </row>
    <row r="494" spans="1:21">
      <c r="A494" s="580"/>
      <c r="B494" s="581"/>
      <c r="C494" s="582"/>
      <c r="D494" s="584"/>
      <c r="E494" s="584"/>
      <c r="F494" s="584"/>
      <c r="G494" s="584"/>
      <c r="H494" s="585"/>
      <c r="I494" s="586"/>
      <c r="J494" s="587"/>
      <c r="K494" s="584"/>
      <c r="L494" s="584"/>
      <c r="M494" s="584"/>
      <c r="N494" s="584"/>
      <c r="O494" s="588"/>
      <c r="P494" s="582"/>
      <c r="Q494" s="589"/>
      <c r="R494" s="587"/>
      <c r="S494" s="584"/>
      <c r="T494" s="584"/>
      <c r="U494" s="588"/>
    </row>
    <row r="495" spans="1:21">
      <c r="A495" s="554"/>
      <c r="B495" s="556"/>
      <c r="C495" s="566"/>
      <c r="D495" s="94"/>
      <c r="E495" s="94"/>
      <c r="F495" s="94"/>
      <c r="G495" s="95"/>
      <c r="H495" s="567"/>
      <c r="I495" s="568"/>
      <c r="J495" s="569"/>
      <c r="K495" s="94"/>
      <c r="L495" s="94"/>
      <c r="M495" s="94"/>
      <c r="N495" s="570"/>
      <c r="O495" s="571"/>
      <c r="P495" s="566"/>
      <c r="Q495" s="572"/>
      <c r="R495" s="569"/>
      <c r="S495" s="570"/>
      <c r="T495" s="570"/>
      <c r="U495" s="571"/>
    </row>
    <row r="496" spans="1:21">
      <c r="A496" s="554"/>
      <c r="B496" s="573"/>
      <c r="C496" s="574"/>
      <c r="D496" s="226"/>
      <c r="E496" s="226"/>
      <c r="F496" s="226"/>
      <c r="G496" s="226"/>
      <c r="H496" s="575"/>
      <c r="I496" s="576"/>
      <c r="J496" s="577"/>
      <c r="K496" s="226"/>
      <c r="L496" s="226"/>
      <c r="M496" s="226"/>
      <c r="N496" s="226"/>
      <c r="O496" s="578"/>
      <c r="P496" s="574"/>
      <c r="Q496" s="579"/>
      <c r="R496" s="577"/>
      <c r="S496" s="226"/>
      <c r="T496" s="226"/>
      <c r="U496" s="578"/>
    </row>
    <row r="497" spans="1:21">
      <c r="A497" s="580"/>
      <c r="B497" s="581"/>
      <c r="C497" s="582"/>
      <c r="D497" s="584"/>
      <c r="E497" s="584"/>
      <c r="F497" s="584"/>
      <c r="G497" s="584"/>
      <c r="H497" s="585"/>
      <c r="I497" s="586"/>
      <c r="J497" s="587"/>
      <c r="K497" s="584"/>
      <c r="L497" s="584"/>
      <c r="M497" s="584"/>
      <c r="N497" s="584"/>
      <c r="O497" s="588"/>
      <c r="P497" s="582"/>
      <c r="Q497" s="589"/>
      <c r="R497" s="587"/>
      <c r="S497" s="584"/>
      <c r="T497" s="584"/>
      <c r="U497" s="588"/>
    </row>
    <row r="498" spans="1:21">
      <c r="A498" s="554"/>
      <c r="B498" s="556"/>
      <c r="C498" s="566"/>
      <c r="D498" s="94"/>
      <c r="E498" s="94"/>
      <c r="F498" s="94"/>
      <c r="G498" s="95"/>
      <c r="H498" s="567"/>
      <c r="I498" s="568"/>
      <c r="J498" s="569"/>
      <c r="K498" s="94"/>
      <c r="L498" s="94"/>
      <c r="M498" s="94"/>
      <c r="N498" s="570"/>
      <c r="O498" s="571"/>
      <c r="P498" s="566"/>
      <c r="Q498" s="572"/>
      <c r="R498" s="569"/>
      <c r="S498" s="570"/>
      <c r="T498" s="570"/>
      <c r="U498" s="571"/>
    </row>
    <row r="499" spans="1:21">
      <c r="A499" s="554"/>
      <c r="B499" s="573"/>
      <c r="C499" s="574"/>
      <c r="D499" s="226"/>
      <c r="E499" s="226"/>
      <c r="F499" s="226"/>
      <c r="G499" s="226"/>
      <c r="H499" s="575"/>
      <c r="I499" s="576"/>
      <c r="J499" s="577"/>
      <c r="K499" s="226"/>
      <c r="L499" s="226"/>
      <c r="M499" s="226"/>
      <c r="N499" s="226"/>
      <c r="O499" s="578"/>
      <c r="P499" s="574"/>
      <c r="Q499" s="579"/>
      <c r="R499" s="577"/>
      <c r="S499" s="226"/>
      <c r="T499" s="226"/>
      <c r="U499" s="578"/>
    </row>
    <row r="500" spans="1:21">
      <c r="A500" s="580"/>
      <c r="B500" s="581"/>
      <c r="C500" s="582"/>
      <c r="D500" s="584"/>
      <c r="E500" s="584"/>
      <c r="F500" s="584"/>
      <c r="G500" s="584"/>
      <c r="H500" s="585"/>
      <c r="I500" s="586"/>
      <c r="J500" s="587"/>
      <c r="K500" s="584"/>
      <c r="L500" s="584"/>
      <c r="M500" s="584"/>
      <c r="N500" s="584"/>
      <c r="O500" s="588"/>
      <c r="P500" s="582"/>
      <c r="Q500" s="589"/>
      <c r="R500" s="587"/>
      <c r="S500" s="584"/>
      <c r="T500" s="584"/>
      <c r="U500" s="588"/>
    </row>
    <row r="501" spans="1:21">
      <c r="A501" s="554"/>
      <c r="B501" s="556"/>
      <c r="C501" s="566"/>
      <c r="D501" s="94"/>
      <c r="E501" s="94"/>
      <c r="F501" s="94"/>
      <c r="G501" s="95"/>
      <c r="H501" s="567"/>
      <c r="I501" s="568"/>
      <c r="J501" s="569"/>
      <c r="K501" s="94"/>
      <c r="L501" s="94"/>
      <c r="M501" s="94"/>
      <c r="N501" s="570"/>
      <c r="O501" s="571"/>
      <c r="P501" s="566"/>
      <c r="Q501" s="572"/>
      <c r="R501" s="569"/>
      <c r="S501" s="570"/>
      <c r="T501" s="570"/>
      <c r="U501" s="571"/>
    </row>
    <row r="502" spans="1:21">
      <c r="A502" s="554"/>
      <c r="B502" s="573"/>
      <c r="C502" s="574"/>
      <c r="D502" s="226"/>
      <c r="E502" s="226"/>
      <c r="F502" s="226"/>
      <c r="G502" s="226"/>
      <c r="H502" s="575"/>
      <c r="I502" s="576"/>
      <c r="J502" s="577"/>
      <c r="K502" s="226"/>
      <c r="L502" s="226"/>
      <c r="M502" s="226"/>
      <c r="N502" s="226"/>
      <c r="O502" s="578"/>
      <c r="P502" s="574"/>
      <c r="Q502" s="579"/>
      <c r="R502" s="577"/>
      <c r="S502" s="226"/>
      <c r="T502" s="226"/>
      <c r="U502" s="578"/>
    </row>
    <row r="503" spans="1:21">
      <c r="A503" s="580"/>
      <c r="B503" s="581"/>
      <c r="C503" s="582"/>
      <c r="D503" s="584"/>
      <c r="E503" s="584"/>
      <c r="F503" s="584"/>
      <c r="G503" s="584"/>
      <c r="H503" s="585"/>
      <c r="I503" s="586"/>
      <c r="J503" s="587"/>
      <c r="K503" s="584"/>
      <c r="L503" s="584"/>
      <c r="M503" s="584"/>
      <c r="N503" s="584"/>
      <c r="O503" s="588"/>
      <c r="P503" s="582"/>
      <c r="Q503" s="589"/>
      <c r="R503" s="587"/>
      <c r="S503" s="584"/>
      <c r="T503" s="584"/>
      <c r="U503" s="588"/>
    </row>
    <row r="504" spans="1:21">
      <c r="A504" s="554"/>
      <c r="B504" s="556"/>
      <c r="C504" s="566"/>
      <c r="D504" s="94"/>
      <c r="E504" s="94"/>
      <c r="F504" s="94"/>
      <c r="G504" s="95"/>
      <c r="H504" s="567"/>
      <c r="I504" s="568"/>
      <c r="J504" s="569"/>
      <c r="K504" s="94"/>
      <c r="L504" s="94"/>
      <c r="M504" s="94"/>
      <c r="N504" s="570"/>
      <c r="O504" s="571"/>
      <c r="P504" s="566"/>
      <c r="Q504" s="572"/>
      <c r="R504" s="569"/>
      <c r="S504" s="570"/>
      <c r="T504" s="570"/>
      <c r="U504" s="571"/>
    </row>
    <row r="505" spans="1:21">
      <c r="A505" s="554"/>
      <c r="B505" s="573"/>
      <c r="C505" s="574"/>
      <c r="D505" s="226"/>
      <c r="E505" s="226"/>
      <c r="F505" s="226"/>
      <c r="G505" s="226"/>
      <c r="H505" s="575"/>
      <c r="I505" s="576"/>
      <c r="J505" s="577"/>
      <c r="K505" s="226"/>
      <c r="L505" s="226"/>
      <c r="M505" s="226"/>
      <c r="N505" s="226"/>
      <c r="O505" s="578"/>
      <c r="P505" s="574"/>
      <c r="Q505" s="579"/>
      <c r="R505" s="577"/>
      <c r="S505" s="226"/>
      <c r="T505" s="226"/>
      <c r="U505" s="578"/>
    </row>
    <row r="506" spans="1:21">
      <c r="A506" s="580"/>
      <c r="B506" s="581"/>
      <c r="C506" s="582"/>
      <c r="D506" s="584"/>
      <c r="E506" s="584"/>
      <c r="F506" s="584"/>
      <c r="G506" s="584"/>
      <c r="H506" s="585"/>
      <c r="I506" s="586"/>
      <c r="J506" s="587"/>
      <c r="K506" s="584"/>
      <c r="L506" s="584"/>
      <c r="M506" s="584"/>
      <c r="N506" s="584"/>
      <c r="O506" s="588"/>
      <c r="P506" s="582"/>
      <c r="Q506" s="589"/>
      <c r="R506" s="587"/>
      <c r="S506" s="584"/>
      <c r="T506" s="584"/>
      <c r="U506" s="588"/>
    </row>
    <row r="507" spans="1:21">
      <c r="A507" s="554"/>
      <c r="B507" s="556"/>
      <c r="C507" s="566"/>
      <c r="D507" s="94"/>
      <c r="E507" s="94"/>
      <c r="F507" s="94"/>
      <c r="G507" s="95"/>
      <c r="H507" s="567"/>
      <c r="I507" s="568"/>
      <c r="J507" s="569"/>
      <c r="K507" s="94"/>
      <c r="L507" s="94"/>
      <c r="M507" s="94"/>
      <c r="N507" s="570"/>
      <c r="O507" s="571"/>
      <c r="P507" s="566"/>
      <c r="Q507" s="572"/>
      <c r="R507" s="569"/>
      <c r="S507" s="570"/>
      <c r="T507" s="570"/>
      <c r="U507" s="571"/>
    </row>
    <row r="508" spans="1:21">
      <c r="A508" s="554"/>
      <c r="B508" s="573"/>
      <c r="C508" s="574"/>
      <c r="D508" s="226"/>
      <c r="E508" s="226"/>
      <c r="F508" s="226"/>
      <c r="G508" s="226"/>
      <c r="H508" s="575"/>
      <c r="I508" s="576"/>
      <c r="J508" s="577"/>
      <c r="K508" s="226"/>
      <c r="L508" s="226"/>
      <c r="M508" s="226"/>
      <c r="N508" s="226"/>
      <c r="O508" s="578"/>
      <c r="P508" s="574"/>
      <c r="Q508" s="579"/>
      <c r="R508" s="577"/>
      <c r="S508" s="226"/>
      <c r="T508" s="226"/>
      <c r="U508" s="578"/>
    </row>
    <row r="509" spans="1:21">
      <c r="A509" s="580"/>
      <c r="B509" s="581"/>
      <c r="C509" s="582"/>
      <c r="D509" s="584"/>
      <c r="E509" s="584"/>
      <c r="F509" s="584"/>
      <c r="G509" s="584"/>
      <c r="H509" s="585"/>
      <c r="I509" s="586"/>
      <c r="J509" s="587"/>
      <c r="K509" s="584"/>
      <c r="L509" s="584"/>
      <c r="M509" s="584"/>
      <c r="N509" s="584"/>
      <c r="O509" s="588"/>
      <c r="P509" s="582"/>
      <c r="Q509" s="589"/>
      <c r="R509" s="587"/>
      <c r="S509" s="584"/>
      <c r="T509" s="584"/>
      <c r="U509" s="588"/>
    </row>
    <row r="510" spans="1:21">
      <c r="A510" s="554"/>
      <c r="B510" s="556"/>
      <c r="C510" s="566"/>
      <c r="D510" s="94"/>
      <c r="E510" s="94"/>
      <c r="F510" s="94"/>
      <c r="G510" s="95"/>
      <c r="H510" s="567"/>
      <c r="I510" s="568"/>
      <c r="J510" s="569"/>
      <c r="K510" s="94"/>
      <c r="L510" s="94"/>
      <c r="M510" s="94"/>
      <c r="N510" s="570"/>
      <c r="O510" s="571"/>
      <c r="P510" s="566"/>
      <c r="Q510" s="572"/>
      <c r="R510" s="569"/>
      <c r="S510" s="570"/>
      <c r="T510" s="570"/>
      <c r="U510" s="571"/>
    </row>
    <row r="511" spans="1:21">
      <c r="A511" s="554"/>
      <c r="B511" s="573"/>
      <c r="C511" s="574"/>
      <c r="D511" s="226"/>
      <c r="E511" s="226"/>
      <c r="F511" s="226"/>
      <c r="G511" s="226"/>
      <c r="H511" s="575"/>
      <c r="I511" s="576"/>
      <c r="J511" s="577"/>
      <c r="K511" s="226"/>
      <c r="L511" s="226"/>
      <c r="M511" s="226"/>
      <c r="N511" s="226"/>
      <c r="O511" s="578"/>
      <c r="P511" s="574"/>
      <c r="Q511" s="579"/>
      <c r="R511" s="577"/>
      <c r="S511" s="226"/>
      <c r="T511" s="226"/>
      <c r="U511" s="578"/>
    </row>
    <row r="512" spans="1:21">
      <c r="A512" s="580"/>
      <c r="B512" s="581"/>
      <c r="C512" s="582"/>
      <c r="D512" s="584"/>
      <c r="E512" s="584"/>
      <c r="F512" s="584"/>
      <c r="G512" s="584"/>
      <c r="H512" s="585"/>
      <c r="I512" s="586"/>
      <c r="J512" s="587"/>
      <c r="K512" s="584"/>
      <c r="L512" s="584"/>
      <c r="M512" s="584"/>
      <c r="N512" s="584"/>
      <c r="O512" s="588"/>
      <c r="P512" s="582"/>
      <c r="Q512" s="589"/>
      <c r="R512" s="587"/>
      <c r="S512" s="584"/>
      <c r="T512" s="584"/>
      <c r="U512" s="588"/>
    </row>
    <row r="513" spans="1:21">
      <c r="A513" s="554"/>
      <c r="B513" s="556"/>
      <c r="C513" s="566"/>
      <c r="D513" s="94"/>
      <c r="E513" s="94"/>
      <c r="F513" s="94"/>
      <c r="G513" s="95"/>
      <c r="H513" s="567"/>
      <c r="I513" s="568"/>
      <c r="J513" s="569"/>
      <c r="K513" s="94"/>
      <c r="L513" s="94"/>
      <c r="M513" s="94"/>
      <c r="N513" s="570"/>
      <c r="O513" s="571"/>
      <c r="P513" s="566"/>
      <c r="Q513" s="572"/>
      <c r="R513" s="569"/>
      <c r="S513" s="570"/>
      <c r="T513" s="570"/>
      <c r="U513" s="571"/>
    </row>
    <row r="514" spans="1:21">
      <c r="A514" s="554"/>
      <c r="B514" s="573"/>
      <c r="C514" s="574"/>
      <c r="D514" s="226"/>
      <c r="E514" s="226"/>
      <c r="F514" s="226"/>
      <c r="G514" s="226"/>
      <c r="H514" s="575"/>
      <c r="I514" s="576"/>
      <c r="J514" s="577"/>
      <c r="K514" s="226"/>
      <c r="L514" s="226"/>
      <c r="M514" s="226"/>
      <c r="N514" s="226"/>
      <c r="O514" s="578"/>
      <c r="P514" s="574"/>
      <c r="Q514" s="579"/>
      <c r="R514" s="577"/>
      <c r="S514" s="226"/>
      <c r="T514" s="226"/>
      <c r="U514" s="578"/>
    </row>
    <row r="515" spans="1:21">
      <c r="A515" s="580"/>
      <c r="B515" s="581"/>
      <c r="C515" s="582"/>
      <c r="D515" s="584"/>
      <c r="E515" s="584"/>
      <c r="F515" s="584"/>
      <c r="G515" s="584"/>
      <c r="H515" s="585"/>
      <c r="I515" s="586"/>
      <c r="J515" s="587"/>
      <c r="K515" s="584"/>
      <c r="L515" s="584"/>
      <c r="M515" s="584"/>
      <c r="N515" s="584"/>
      <c r="O515" s="588"/>
      <c r="P515" s="582"/>
      <c r="Q515" s="589"/>
      <c r="R515" s="587"/>
      <c r="S515" s="584"/>
      <c r="T515" s="584"/>
      <c r="U515" s="588"/>
    </row>
    <row r="518" spans="1:21">
      <c r="T518" s="590"/>
      <c r="U518" s="590"/>
    </row>
    <row r="521" spans="1:21">
      <c r="T521" s="590"/>
      <c r="U521" s="590"/>
    </row>
    <row r="524" spans="1:21">
      <c r="T524" s="590"/>
      <c r="U524" s="590"/>
    </row>
    <row r="527" spans="1:21">
      <c r="T527" s="590"/>
      <c r="U527" s="590"/>
    </row>
    <row r="530" spans="20:21">
      <c r="T530" s="590"/>
      <c r="U530" s="590"/>
    </row>
    <row r="533" spans="20:21">
      <c r="T533" s="590"/>
      <c r="U533" s="590"/>
    </row>
    <row r="536" spans="20:21">
      <c r="T536" s="590"/>
      <c r="U536" s="590"/>
    </row>
    <row r="539" spans="20:21">
      <c r="T539" s="590"/>
      <c r="U539" s="590"/>
    </row>
    <row r="542" spans="20:21">
      <c r="T542" s="590"/>
      <c r="U542" s="590"/>
    </row>
    <row r="545" spans="20:21">
      <c r="T545" s="590"/>
      <c r="U545" s="590"/>
    </row>
  </sheetData>
  <phoneticPr fontId="1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59999389629810485"/>
  </sheetPr>
  <dimension ref="A1:N30"/>
  <sheetViews>
    <sheetView showGridLines="0" showZeros="0" view="pageBreakPreview" zoomScaleNormal="75" zoomScaleSheetLayoutView="100" workbookViewId="0">
      <selection activeCell="A13" sqref="A13"/>
    </sheetView>
  </sheetViews>
  <sheetFormatPr defaultColWidth="9" defaultRowHeight="15"/>
  <cols>
    <col min="1" max="1" width="31.375" style="36" customWidth="1"/>
    <col min="2" max="2" width="9.125" style="36" customWidth="1"/>
    <col min="3" max="3" width="7.25" style="36" customWidth="1"/>
    <col min="4" max="5" width="8.125" style="36" customWidth="1"/>
    <col min="6" max="6" width="8.875" style="36" customWidth="1"/>
    <col min="7" max="7" width="8.375" style="36" customWidth="1"/>
    <col min="8" max="8" width="12.75" style="36" customWidth="1"/>
    <col min="9" max="9" width="7.5" style="36" bestFit="1" customWidth="1"/>
    <col min="10" max="10" width="6.125" style="36" bestFit="1" customWidth="1"/>
    <col min="11" max="11" width="9" style="135"/>
    <col min="12" max="16384" width="9" style="36"/>
  </cols>
  <sheetData>
    <row r="1" spans="1:14" ht="18">
      <c r="A1" s="638" t="s">
        <v>1301</v>
      </c>
      <c r="B1" s="639"/>
      <c r="C1" s="639"/>
      <c r="D1" s="639"/>
      <c r="E1" s="639"/>
      <c r="F1" s="639"/>
      <c r="G1" s="639"/>
      <c r="H1" s="639"/>
      <c r="I1" s="639"/>
      <c r="J1" s="639"/>
      <c r="K1" s="639"/>
    </row>
    <row r="2" spans="1:14" ht="11.25" customHeight="1">
      <c r="A2" s="37"/>
      <c r="B2" s="38"/>
      <c r="C2" s="38"/>
      <c r="D2" s="38"/>
      <c r="E2" s="38"/>
      <c r="F2" s="38"/>
      <c r="G2" s="38"/>
      <c r="H2" s="38"/>
      <c r="I2" s="38"/>
      <c r="J2" s="38"/>
      <c r="K2" s="130"/>
    </row>
    <row r="3" spans="1:14" ht="15.75">
      <c r="A3" s="640" t="s">
        <v>466</v>
      </c>
      <c r="B3" s="641"/>
      <c r="C3" s="641"/>
      <c r="D3" s="641"/>
      <c r="E3" s="641"/>
      <c r="F3" s="641"/>
      <c r="G3" s="641"/>
      <c r="H3" s="641"/>
      <c r="I3" s="641"/>
      <c r="J3" s="641"/>
      <c r="K3" s="641"/>
    </row>
    <row r="4" spans="1:14" ht="15.75">
      <c r="A4" s="640" t="s">
        <v>1322</v>
      </c>
      <c r="B4" s="641"/>
      <c r="C4" s="641"/>
      <c r="D4" s="641"/>
      <c r="E4" s="641"/>
      <c r="F4" s="641"/>
      <c r="G4" s="641"/>
      <c r="H4" s="641"/>
      <c r="I4" s="641"/>
      <c r="J4" s="641"/>
      <c r="K4" s="641"/>
    </row>
    <row r="5" spans="1:14" ht="10.5" customHeight="1">
      <c r="A5" s="37"/>
      <c r="B5" s="38"/>
      <c r="C5" s="38"/>
      <c r="D5" s="38"/>
      <c r="E5" s="38"/>
      <c r="F5" s="38"/>
      <c r="G5" s="38"/>
      <c r="H5" s="38"/>
      <c r="I5" s="38"/>
      <c r="J5" s="38"/>
      <c r="K5" s="130"/>
    </row>
    <row r="6" spans="1:14">
      <c r="A6" s="39"/>
      <c r="B6" s="2"/>
      <c r="C6" s="2"/>
      <c r="D6" s="2"/>
      <c r="E6" s="3" t="s">
        <v>661</v>
      </c>
      <c r="F6" s="3" t="s">
        <v>662</v>
      </c>
      <c r="G6" s="3" t="s">
        <v>663</v>
      </c>
      <c r="H6" s="3" t="s">
        <v>664</v>
      </c>
      <c r="I6" s="3" t="s">
        <v>665</v>
      </c>
      <c r="J6" s="3"/>
      <c r="K6" s="124" t="s">
        <v>666</v>
      </c>
    </row>
    <row r="7" spans="1:14">
      <c r="A7" s="71"/>
      <c r="B7" s="17" t="s">
        <v>707</v>
      </c>
      <c r="C7" s="18" t="s">
        <v>708</v>
      </c>
      <c r="D7" s="18" t="s">
        <v>709</v>
      </c>
      <c r="E7" s="17" t="s">
        <v>668</v>
      </c>
      <c r="F7" s="17" t="s">
        <v>667</v>
      </c>
      <c r="G7" s="17" t="s">
        <v>669</v>
      </c>
      <c r="H7" s="17" t="s">
        <v>670</v>
      </c>
      <c r="I7" s="17" t="s">
        <v>671</v>
      </c>
      <c r="J7" s="17" t="s">
        <v>701</v>
      </c>
      <c r="K7" s="131" t="s">
        <v>672</v>
      </c>
    </row>
    <row r="8" spans="1:14" ht="15" customHeight="1">
      <c r="A8" s="5" t="s">
        <v>673</v>
      </c>
      <c r="B8" s="107">
        <f>+'Old Tables 168-184'!C42</f>
        <v>10.862197502668613</v>
      </c>
      <c r="C8" s="107">
        <f>+'Old Tables 168-184'!D42</f>
        <v>8.6129563973709722</v>
      </c>
      <c r="D8" s="107">
        <f>+'Old Tables 168-184'!E42</f>
        <v>0.37008490386422671</v>
      </c>
      <c r="E8" s="107">
        <f>+'Old Tables 168-184'!G42</f>
        <v>6.7255192385278173</v>
      </c>
      <c r="F8" s="107">
        <f>+'Old Tables 168-184'!I42</f>
        <v>0.15746061117011317</v>
      </c>
      <c r="G8" s="107">
        <f>+'Old Tables 168-184'!J42</f>
        <v>0.23516784952661943</v>
      </c>
      <c r="H8" s="107">
        <f>+'Old Tables 168-184'!L42</f>
        <v>0.43155044222433803</v>
      </c>
      <c r="I8" s="107">
        <f>+'Old Tables 168-184'!M42</f>
        <v>6.1788981298995616</v>
      </c>
      <c r="J8" s="107">
        <f>+'Old Tables 168-184'!N42</f>
        <v>0.90875809641301086</v>
      </c>
      <c r="K8" s="132">
        <f>+'Old Tables 168-184'!O42</f>
        <v>26.08788419201074</v>
      </c>
      <c r="N8" s="5"/>
    </row>
    <row r="9" spans="1:14" ht="15" customHeight="1">
      <c r="A9" s="5" t="s">
        <v>674</v>
      </c>
      <c r="B9" s="102">
        <f>+'Old Tables 168-184'!C74</f>
        <v>10.496024423226441</v>
      </c>
      <c r="C9" s="102">
        <f>+'Old Tables 168-184'!D74</f>
        <v>8.6525170934571118</v>
      </c>
      <c r="D9" s="102">
        <f>+'Old Tables 168-184'!E74</f>
        <v>0.35120507503118975</v>
      </c>
      <c r="E9" s="102">
        <f>+'Old Tables 168-184'!G74</f>
        <v>6.6431474486735915</v>
      </c>
      <c r="F9" s="102">
        <f>+'Old Tables 168-184'!I74</f>
        <v>0.19515307294242626</v>
      </c>
      <c r="G9" s="102">
        <f>+'Old Tables 168-184'!J74</f>
        <v>0.26535642990895952</v>
      </c>
      <c r="H9" s="102">
        <f>+'Old Tables 168-184'!L74</f>
        <v>0.43302324219749255</v>
      </c>
      <c r="I9" s="102">
        <f>+'Old Tables 168-184'!M74</f>
        <v>0.4963686037699479</v>
      </c>
      <c r="J9" s="102">
        <f>+'Old Tables 168-184'!N74</f>
        <v>0.5063404737673739</v>
      </c>
      <c r="K9" s="108">
        <f>+'Old Tables 168-184'!O74</f>
        <v>25.458246630087032</v>
      </c>
      <c r="N9" s="5"/>
    </row>
    <row r="10" spans="1:14" ht="15" customHeight="1">
      <c r="A10" s="5" t="s">
        <v>675</v>
      </c>
      <c r="B10" s="102">
        <f>+'Old Tables 168-184'!C106</f>
        <v>10.422929649036183</v>
      </c>
      <c r="C10" s="102">
        <f>+'Old Tables 168-184'!D106</f>
        <v>9.9295756943617288</v>
      </c>
      <c r="D10" s="102">
        <f>+'Old Tables 168-184'!E106</f>
        <v>0.4067399706035757</v>
      </c>
      <c r="E10" s="102">
        <f>+'Old Tables 168-184'!G106</f>
        <v>7.289315772240899</v>
      </c>
      <c r="F10" s="102">
        <f>+'Old Tables 168-184'!I106</f>
        <v>0.1560929389483641</v>
      </c>
      <c r="G10" s="102">
        <f>+'Old Tables 168-184'!J106</f>
        <v>0.33821639348521515</v>
      </c>
      <c r="H10" s="102">
        <f>+'Old Tables 168-184'!L106</f>
        <v>0.55757800520141199</v>
      </c>
      <c r="I10" s="102">
        <f>+'Old Tables 168-184'!M106</f>
        <v>4.5433801149520798</v>
      </c>
      <c r="J10" s="102">
        <f>+'Old Tables 168-184'!N106</f>
        <v>1.1983776819606817</v>
      </c>
      <c r="K10" s="108">
        <f>+'Old Tables 168-184'!O106</f>
        <v>27.367196975908936</v>
      </c>
      <c r="N10" s="5"/>
    </row>
    <row r="11" spans="1:14" ht="15" customHeight="1">
      <c r="A11" s="5" t="s">
        <v>676</v>
      </c>
      <c r="B11" s="102">
        <f>+'Old Tables 168-184'!C138</f>
        <v>11.301036799791524</v>
      </c>
      <c r="C11" s="102">
        <f>+'Old Tables 168-184'!D138</f>
        <v>10.261934604199167</v>
      </c>
      <c r="D11" s="102">
        <f>+'Old Tables 168-184'!E138</f>
        <v>0.34248579349371838</v>
      </c>
      <c r="E11" s="102">
        <f>+'Old Tables 168-184'!G138</f>
        <v>7.000202955173938</v>
      </c>
      <c r="F11" s="102">
        <f>+'Old Tables 168-184'!I138</f>
        <v>0.32024511464025862</v>
      </c>
      <c r="G11" s="102">
        <f>+'Old Tables 168-184'!J138</f>
        <v>0.37056234001986665</v>
      </c>
      <c r="H11" s="102">
        <f>+'Old Tables 168-184'!L138</f>
        <v>0.54117142572550758</v>
      </c>
      <c r="I11" s="102">
        <f>+'Old Tables 168-184'!M138</f>
        <v>1.9856922691969821</v>
      </c>
      <c r="J11" s="102">
        <f>+'Old Tables 168-184'!N138</f>
        <v>0</v>
      </c>
      <c r="K11" s="108">
        <f>+'Old Tables 168-184'!O138</f>
        <v>27.93233896175305</v>
      </c>
      <c r="N11" s="5"/>
    </row>
    <row r="12" spans="1:14" ht="15" customHeight="1">
      <c r="A12" s="5" t="s">
        <v>677</v>
      </c>
      <c r="B12" s="102">
        <f>+'Old Tables 168-184'!C171</f>
        <v>11.391419513374334</v>
      </c>
      <c r="C12" s="102">
        <f>+'Old Tables 168-184'!D171</f>
        <v>9.9932155778339276</v>
      </c>
      <c r="D12" s="102">
        <f>+'Old Tables 168-184'!E171</f>
        <v>0.65231637870258974</v>
      </c>
      <c r="E12" s="102">
        <f>+'Old Tables 168-184'!G171</f>
        <v>7.4940721505954144</v>
      </c>
      <c r="F12" s="102">
        <f>+'Old Tables 168-184'!I171</f>
        <v>0.25261544936254254</v>
      </c>
      <c r="G12" s="102">
        <f>+'Old Tables 168-184'!J171</f>
        <v>0.46593502985271806</v>
      </c>
      <c r="H12" s="102">
        <f>+'Old Tables 168-184'!L171</f>
        <v>0.69583129949753886</v>
      </c>
      <c r="I12" s="102">
        <f>+'Old Tables 168-184'!M171</f>
        <v>3.9343499957600234</v>
      </c>
      <c r="J12" s="102">
        <f>+'Old Tables 168-184'!N171</f>
        <v>0.71233000799204338</v>
      </c>
      <c r="K12" s="108">
        <f>+'Old Tables 168-184'!O171</f>
        <v>29.684012550248845</v>
      </c>
      <c r="N12" s="5"/>
    </row>
    <row r="13" spans="1:14" ht="15" customHeight="1">
      <c r="A13" s="5" t="s">
        <v>464</v>
      </c>
      <c r="B13" s="102">
        <f>+'Old Tables 168-184'!C203</f>
        <v>10.101972750806599</v>
      </c>
      <c r="C13" s="102">
        <f>+'Old Tables 168-184'!D203</f>
        <v>9.8522248687421285</v>
      </c>
      <c r="D13" s="102">
        <f>+'Old Tables 168-184'!E203</f>
        <v>0.56307512832000572</v>
      </c>
      <c r="E13" s="102">
        <f>+'Old Tables 168-184'!G203</f>
        <v>7.1828620433613599</v>
      </c>
      <c r="F13" s="102">
        <f>+'Old Tables 168-184'!I203</f>
        <v>0.28227670023172968</v>
      </c>
      <c r="G13" s="102">
        <f>+'Old Tables 168-184'!J203</f>
        <v>0.2573238544184473</v>
      </c>
      <c r="H13" s="102">
        <f>+'Old Tables 168-184'!L203</f>
        <v>0.70402793155133858</v>
      </c>
      <c r="I13" s="102">
        <f>+'Old Tables 168-184'!M203</f>
        <v>1.0241178822983275</v>
      </c>
      <c r="J13" s="102">
        <f>+'Old Tables 168-184'!N203</f>
        <v>0.46405151506897568</v>
      </c>
      <c r="K13" s="108">
        <f>+'Old Tables 168-184'!O203</f>
        <v>28.044128921406585</v>
      </c>
      <c r="N13" s="5"/>
    </row>
    <row r="14" spans="1:14" ht="15" customHeight="1">
      <c r="A14" s="5"/>
      <c r="B14" s="102"/>
      <c r="C14" s="102"/>
      <c r="D14" s="102"/>
      <c r="E14" s="102"/>
      <c r="F14" s="102"/>
      <c r="G14" s="102"/>
      <c r="H14" s="102"/>
      <c r="I14" s="102"/>
      <c r="J14" s="102"/>
      <c r="K14" s="108"/>
      <c r="N14" s="5"/>
    </row>
    <row r="15" spans="1:14" ht="15" customHeight="1">
      <c r="A15" s="5" t="s">
        <v>698</v>
      </c>
      <c r="B15" s="102">
        <f>+'Old Tables 168-184'!C9</f>
        <v>10.763485515916638</v>
      </c>
      <c r="C15" s="102">
        <f>+'Old Tables 168-184'!D9</f>
        <v>9.1458526844867567</v>
      </c>
      <c r="D15" s="102">
        <f>+'Old Tables 168-184'!E9</f>
        <v>0.38860869548590327</v>
      </c>
      <c r="E15" s="102">
        <f>+'Old Tables 168-184'!G9</f>
        <v>6.929322939551966</v>
      </c>
      <c r="F15" s="102">
        <f>+'Old Tables 168-184'!I9</f>
        <v>0.17977340648857648</v>
      </c>
      <c r="G15" s="102">
        <f>+'Old Tables 168-184'!J9</f>
        <v>0.28300482113624842</v>
      </c>
      <c r="H15" s="102">
        <f>+'Old Tables 168-184'!L9</f>
        <v>0.48778972052271702</v>
      </c>
      <c r="I15" s="102">
        <f>+'Old Tables 168-184'!M9</f>
        <v>3.9146934073450663</v>
      </c>
      <c r="J15" s="102">
        <f>+'Old Tables 168-184'!N9</f>
        <v>0.93492581082202197</v>
      </c>
      <c r="K15" s="108">
        <f>+'Old Tables 168-184'!O9</f>
        <v>26.683834710392919</v>
      </c>
      <c r="N15" s="5"/>
    </row>
    <row r="16" spans="1:14" ht="15" customHeight="1">
      <c r="A16" s="5"/>
      <c r="B16" s="102"/>
      <c r="C16" s="102"/>
      <c r="D16" s="102"/>
      <c r="E16" s="102"/>
      <c r="F16" s="102"/>
      <c r="G16" s="102"/>
      <c r="H16" s="102"/>
      <c r="I16" s="102"/>
      <c r="J16" s="102"/>
      <c r="K16" s="108"/>
      <c r="N16" s="5"/>
    </row>
    <row r="17" spans="1:14" ht="15" customHeight="1">
      <c r="A17" s="5" t="s">
        <v>447</v>
      </c>
      <c r="B17" s="102">
        <f>+'Old Tables 168-184'!C267</f>
        <v>10.704536484685153</v>
      </c>
      <c r="C17" s="102">
        <f>+'Old Tables 168-184'!D267</f>
        <v>11.689601680377313</v>
      </c>
      <c r="D17" s="102">
        <f>+'Old Tables 168-184'!E267</f>
        <v>0.46891651926999278</v>
      </c>
      <c r="E17" s="102">
        <f>+'Old Tables 168-184'!G267</f>
        <v>7.6128470289025962</v>
      </c>
      <c r="F17" s="102">
        <f>+'Old Tables 168-184'!I267</f>
        <v>0.64179323880819317</v>
      </c>
      <c r="G17" s="102">
        <f>+'Old Tables 168-184'!J267</f>
        <v>0.41970207243480401</v>
      </c>
      <c r="H17" s="102">
        <f>+'Old Tables 168-184'!L267</f>
        <v>0.88282178923420151</v>
      </c>
      <c r="I17" s="102">
        <f>+'Old Tables 168-184'!M267</f>
        <v>0.47507036164591676</v>
      </c>
      <c r="J17" s="102">
        <f>+'Old Tables 168-184'!N267</f>
        <v>6.7309094303452888E-2</v>
      </c>
      <c r="K17" s="108">
        <f>+'Old Tables 168-184'!O267</f>
        <v>29.509884056127479</v>
      </c>
      <c r="N17" s="5"/>
    </row>
    <row r="18" spans="1:14" ht="15" customHeight="1">
      <c r="A18" s="5" t="s">
        <v>699</v>
      </c>
      <c r="B18" s="102">
        <f>+'Old Tables 168-184'!C298</f>
        <v>9.9726615342380995</v>
      </c>
      <c r="C18" s="102">
        <f>+'Old Tables 168-184'!D298</f>
        <v>10.715508448716736</v>
      </c>
      <c r="D18" s="102">
        <f>+'Old Tables 168-184'!E298</f>
        <v>0.57606164484687505</v>
      </c>
      <c r="E18" s="102">
        <f>+'Old Tables 168-184'!G298</f>
        <v>6.5133944570564273</v>
      </c>
      <c r="F18" s="102">
        <f>+'Old Tables 168-184'!I298</f>
        <v>0.28571290134741112</v>
      </c>
      <c r="G18" s="102">
        <f>+'Old Tables 168-184'!J298</f>
        <v>0.28214577383989309</v>
      </c>
      <c r="H18" s="102">
        <f>+'Old Tables 168-184'!L298</f>
        <v>0.51097804809235414</v>
      </c>
      <c r="I18" s="102">
        <f>+'Old Tables 168-184'!M298</f>
        <v>0.76829229144743327</v>
      </c>
      <c r="J18" s="102">
        <f>+'Old Tables 168-184'!N298</f>
        <v>0.69618805048926613</v>
      </c>
      <c r="K18" s="108">
        <f>+'Old Tables 168-184'!O298</f>
        <v>24.875108937982805</v>
      </c>
      <c r="N18" s="5"/>
    </row>
    <row r="19" spans="1:14" ht="15" customHeight="1">
      <c r="A19" s="5" t="s">
        <v>700</v>
      </c>
      <c r="B19" s="102">
        <f>+'Old Tables 168-184'!C330</f>
        <v>10.837871313410895</v>
      </c>
      <c r="C19" s="102">
        <f>+'Old Tables 168-184'!D330</f>
        <v>12.78033167348069</v>
      </c>
      <c r="D19" s="102">
        <f>+'Old Tables 168-184'!E330</f>
        <v>0.45211008615493353</v>
      </c>
      <c r="E19" s="102">
        <f>+'Old Tables 168-184'!G330</f>
        <v>7.2209385813521303</v>
      </c>
      <c r="F19" s="102">
        <f>+'Old Tables 168-184'!I330</f>
        <v>0.36424240628777915</v>
      </c>
      <c r="G19" s="102">
        <f>+'Old Tables 168-184'!J330</f>
        <v>0.42928285682962186</v>
      </c>
      <c r="H19" s="102">
        <f>+'Old Tables 168-184'!L330</f>
        <v>0.60199446836223769</v>
      </c>
      <c r="I19" s="102">
        <f>+'Old Tables 168-184'!M330</f>
        <v>1.992583496704228</v>
      </c>
      <c r="J19" s="102">
        <f>+'Old Tables 168-184'!N330</f>
        <v>0.72696094631789754</v>
      </c>
      <c r="K19" s="108">
        <f>+'Old Tables 168-184'!O330</f>
        <v>29.666402974567159</v>
      </c>
      <c r="N19" s="5"/>
    </row>
    <row r="20" spans="1:14" ht="15" customHeight="1">
      <c r="A20" s="5" t="s">
        <v>448</v>
      </c>
      <c r="B20" s="102">
        <f>+'Old Tables 168-184'!C362</f>
        <v>11.105219117595347</v>
      </c>
      <c r="C20" s="102">
        <f>+'Old Tables 168-184'!D362</f>
        <v>12.748281479799042</v>
      </c>
      <c r="D20" s="102">
        <f>+'Old Tables 168-184'!E362</f>
        <v>0.3801958905366859</v>
      </c>
      <c r="E20" s="102">
        <f>+'Old Tables 168-184'!G362</f>
        <v>7.4637472520194175</v>
      </c>
      <c r="F20" s="102">
        <f>+'Old Tables 168-184'!I362</f>
        <v>0.41422266171917627</v>
      </c>
      <c r="G20" s="102">
        <f>+'Old Tables 168-184'!J362</f>
        <v>0.28909381319759153</v>
      </c>
      <c r="H20" s="102">
        <f>+'Old Tables 168-184'!L362</f>
        <v>0.56572714478657082</v>
      </c>
      <c r="I20" s="102">
        <f>+'Old Tables 168-184'!M362</f>
        <v>2.1999860854766715</v>
      </c>
      <c r="J20" s="102">
        <f>+'Old Tables 168-184'!N362</f>
        <v>0.56440256359073104</v>
      </c>
      <c r="K20" s="108">
        <f>+'Old Tables 168-184'!O362</f>
        <v>30.561209143618605</v>
      </c>
      <c r="N20" s="5"/>
    </row>
    <row r="21" spans="1:14" ht="15" customHeight="1">
      <c r="A21" s="5"/>
      <c r="B21" s="102"/>
      <c r="C21" s="102"/>
      <c r="D21" s="102"/>
      <c r="E21" s="102"/>
      <c r="F21" s="102"/>
      <c r="G21" s="102"/>
      <c r="H21" s="102"/>
      <c r="I21" s="102"/>
      <c r="J21" s="102"/>
      <c r="K21" s="108"/>
      <c r="N21" s="5"/>
    </row>
    <row r="22" spans="1:14" ht="15" customHeight="1">
      <c r="A22" s="5" t="s">
        <v>721</v>
      </c>
      <c r="B22" s="102">
        <f>+'Old Tables 168-184'!C234</f>
        <v>10.368745845736441</v>
      </c>
      <c r="C22" s="102">
        <f>+'Old Tables 168-184'!D234</f>
        <v>11.589482803590016</v>
      </c>
      <c r="D22" s="102">
        <f>+'Old Tables 168-184'!E234</f>
        <v>0.53874320404140463</v>
      </c>
      <c r="E22" s="102">
        <f>+'Old Tables 168-184'!G234</f>
        <v>6.8906006460298137</v>
      </c>
      <c r="F22" s="102">
        <f>+'Old Tables 168-184'!I234</f>
        <v>0.35386209732645435</v>
      </c>
      <c r="G22" s="102">
        <f>+'Old Tables 168-184'!J234</f>
        <v>0.33615284689143482</v>
      </c>
      <c r="H22" s="102">
        <f>+'Old Tables 168-184'!L234</f>
        <v>0.57796986703298669</v>
      </c>
      <c r="I22" s="102">
        <f>+'Old Tables 168-184'!M234</f>
        <v>1.1617759637557556</v>
      </c>
      <c r="J22" s="102">
        <f>+'Old Tables 168-184'!N234</f>
        <v>0.62140561207566913</v>
      </c>
      <c r="K22" s="108">
        <f>+'Old Tables 168-184'!O234</f>
        <v>27.158185918413086</v>
      </c>
      <c r="N22" s="5"/>
    </row>
    <row r="23" spans="1:14" ht="15" customHeight="1">
      <c r="A23" s="5"/>
      <c r="B23" s="102"/>
      <c r="C23" s="102"/>
      <c r="D23" s="102"/>
      <c r="E23" s="102"/>
      <c r="F23" s="102"/>
      <c r="G23" s="102"/>
      <c r="H23" s="102"/>
      <c r="I23" s="102"/>
      <c r="J23" s="102"/>
      <c r="K23" s="108"/>
      <c r="N23" s="5"/>
    </row>
    <row r="24" spans="1:14" ht="15" customHeight="1">
      <c r="A24" s="5" t="s">
        <v>442</v>
      </c>
      <c r="B24" s="102">
        <f>+'Old Tables 168-184'!C455</f>
        <v>9.6085060115524605</v>
      </c>
      <c r="C24" s="102">
        <f>+'Old Tables 168-184'!D455</f>
        <v>24.790666436684596</v>
      </c>
      <c r="D24" s="102">
        <f>+'Old Tables 168-184'!E455</f>
        <v>0</v>
      </c>
      <c r="E24" s="102">
        <f>+'Old Tables 168-184'!G455</f>
        <v>3.1814969502266353</v>
      </c>
      <c r="F24" s="102">
        <f>+'Old Tables 168-184'!I455</f>
        <v>0.29624106677107742</v>
      </c>
      <c r="G24" s="102">
        <f>+'Old Tables 168-184'!J455</f>
        <v>0.11690954522214653</v>
      </c>
      <c r="H24" s="102">
        <f>+'Old Tables 168-184'!L455</f>
        <v>0.5804900947115057</v>
      </c>
      <c r="I24" s="102">
        <f>+'Old Tables 168-184'!M455</f>
        <v>1.9690131036050884</v>
      </c>
      <c r="J24" s="102">
        <f>+'Old Tables 168-184'!N455</f>
        <v>15.001853490872152</v>
      </c>
      <c r="K24" s="108">
        <f>+'Old Tables 168-184'!O455</f>
        <v>32.141364546585244</v>
      </c>
      <c r="N24" s="5"/>
    </row>
    <row r="25" spans="1:14" ht="15" customHeight="1">
      <c r="A25" s="5" t="s">
        <v>443</v>
      </c>
      <c r="B25" s="102">
        <f>+'Old Tables 168-184'!C487</f>
        <v>8.6142385489075597</v>
      </c>
      <c r="C25" s="102">
        <f>+'Old Tables 168-184'!D487</f>
        <v>15.057961627361284</v>
      </c>
      <c r="D25" s="102">
        <f>+'Old Tables 168-184'!E487</f>
        <v>0</v>
      </c>
      <c r="E25" s="102">
        <f>+'Old Tables 168-184'!G487</f>
        <v>6.1483283918922469</v>
      </c>
      <c r="F25" s="102">
        <f>+'Old Tables 168-184'!I487</f>
        <v>0.24496952072647055</v>
      </c>
      <c r="G25" s="102">
        <f>+'Old Tables 168-184'!J487</f>
        <v>3.2621237114001387</v>
      </c>
      <c r="H25" s="102">
        <f>+'Old Tables 168-184'!L487</f>
        <v>7.8372400860501776E-2</v>
      </c>
      <c r="I25" s="102">
        <f>+'Old Tables 168-184'!M487</f>
        <v>1.0866716789396016</v>
      </c>
      <c r="J25" s="102">
        <f>+'Old Tables 168-184'!N487</f>
        <v>6.698771142156251</v>
      </c>
      <c r="K25" s="108">
        <f>+'Old Tables 168-184'!O487</f>
        <v>26.896954866892681</v>
      </c>
      <c r="N25" s="5"/>
    </row>
    <row r="26" spans="1:14" ht="15" customHeight="1">
      <c r="A26" s="5" t="s">
        <v>444</v>
      </c>
      <c r="B26" s="102">
        <f>+'Old Tables 168-184'!C519</f>
        <v>15.057190220076569</v>
      </c>
      <c r="C26" s="102">
        <f>+'Old Tables 168-184'!D519</f>
        <v>14.651056696737536</v>
      </c>
      <c r="D26" s="102">
        <f>+'Old Tables 168-184'!E519</f>
        <v>0</v>
      </c>
      <c r="E26" s="102">
        <f>+'Old Tables 168-184'!G519</f>
        <v>1.3204729390976215</v>
      </c>
      <c r="F26" s="102">
        <f>+'Old Tables 168-184'!I519</f>
        <v>0</v>
      </c>
      <c r="G26" s="102">
        <f>+'Old Tables 168-184'!J519</f>
        <v>0.60355652699314821</v>
      </c>
      <c r="H26" s="102">
        <f>+'Old Tables 168-184'!L519</f>
        <v>0.32157726043958818</v>
      </c>
      <c r="I26" s="102">
        <f>+'Old Tables 168-184'!M519</f>
        <v>0</v>
      </c>
      <c r="J26" s="102">
        <f>+'Old Tables 168-184'!N519</f>
        <v>0</v>
      </c>
      <c r="K26" s="108">
        <f>+'Old Tables 168-184'!O519</f>
        <v>24.930225319708722</v>
      </c>
      <c r="N26" s="5"/>
    </row>
    <row r="27" spans="1:14" ht="15" customHeight="1">
      <c r="A27" s="5"/>
      <c r="B27" s="102"/>
      <c r="C27" s="102"/>
      <c r="D27" s="102"/>
      <c r="E27" s="102"/>
      <c r="F27" s="102"/>
      <c r="G27" s="102"/>
      <c r="H27" s="102"/>
      <c r="I27" s="102"/>
      <c r="J27" s="102"/>
      <c r="K27" s="108"/>
      <c r="N27" s="5"/>
    </row>
    <row r="28" spans="1:14">
      <c r="A28" s="59" t="s">
        <v>445</v>
      </c>
      <c r="B28" s="109">
        <f>+'Old Tables 168-184'!C426</f>
        <v>9.8139225766879257</v>
      </c>
      <c r="C28" s="109">
        <f>+'Old Tables 168-184'!D426</f>
        <v>20.859218976838608</v>
      </c>
      <c r="D28" s="109">
        <f>+'Old Tables 168-184'!E426</f>
        <v>0</v>
      </c>
      <c r="E28" s="109">
        <f>+'Old Tables 168-184'!G426</f>
        <v>3.786707408799967</v>
      </c>
      <c r="F28" s="109">
        <f>+'Old Tables 168-184'!I426</f>
        <v>0.30281529103360461</v>
      </c>
      <c r="G28" s="109">
        <f>+'Old Tables 168-184'!J426</f>
        <v>0.49661958060025013</v>
      </c>
      <c r="H28" s="109">
        <f>+'Old Tables 168-184'!L426</f>
        <v>0.58647462048422361</v>
      </c>
      <c r="I28" s="109">
        <f>+'Old Tables 168-184'!M426</f>
        <v>1.94537685405232</v>
      </c>
      <c r="J28" s="109">
        <f>+'Old Tables 168-184'!N426</f>
        <v>10.081307341929985</v>
      </c>
      <c r="K28" s="133">
        <f>+'Old Tables 168-184'!O426</f>
        <v>29.918199183755995</v>
      </c>
      <c r="N28" s="159"/>
    </row>
    <row r="29" spans="1:14">
      <c r="A29" s="7" t="s">
        <v>465</v>
      </c>
      <c r="B29" s="41"/>
      <c r="C29" s="41"/>
      <c r="D29" s="41"/>
      <c r="E29" s="41"/>
      <c r="F29" s="41"/>
      <c r="G29" s="41"/>
      <c r="H29" s="41"/>
      <c r="I29" s="41"/>
      <c r="J29" s="38"/>
      <c r="K29" s="637" t="s">
        <v>1321</v>
      </c>
    </row>
    <row r="30" spans="1:14" ht="18">
      <c r="A30" s="42"/>
      <c r="B30" s="43"/>
      <c r="C30" s="38"/>
      <c r="D30" s="38"/>
      <c r="E30" s="38"/>
      <c r="F30" s="38"/>
      <c r="G30" s="38"/>
      <c r="H30" s="38"/>
      <c r="I30" s="38"/>
      <c r="J30" s="38"/>
      <c r="K30" s="134"/>
    </row>
  </sheetData>
  <mergeCells count="3">
    <mergeCell ref="A1:K1"/>
    <mergeCell ref="A3:K3"/>
    <mergeCell ref="A4:K4"/>
  </mergeCells>
  <conditionalFormatting sqref="K29">
    <cfRule type="cellIs" dxfId="940" priority="21" stopIfTrue="1" operator="lessThan">
      <formula>0.1</formula>
    </cfRule>
  </conditionalFormatting>
  <conditionalFormatting sqref="K29">
    <cfRule type="cellIs" dxfId="939" priority="20" stopIfTrue="1" operator="lessThan">
      <formula>0.1</formula>
    </cfRule>
  </conditionalFormatting>
  <conditionalFormatting sqref="K29">
    <cfRule type="cellIs" dxfId="938" priority="19" stopIfTrue="1" operator="lessThan">
      <formula>0.1</formula>
    </cfRule>
  </conditionalFormatting>
  <conditionalFormatting sqref="K29">
    <cfRule type="cellIs" dxfId="937" priority="18" stopIfTrue="1" operator="lessThan">
      <formula>0.1</formula>
    </cfRule>
  </conditionalFormatting>
  <conditionalFormatting sqref="K29">
    <cfRule type="cellIs" dxfId="936" priority="17" stopIfTrue="1" operator="lessThan">
      <formula>0.1</formula>
    </cfRule>
  </conditionalFormatting>
  <conditionalFormatting sqref="K29">
    <cfRule type="cellIs" dxfId="935" priority="16" stopIfTrue="1" operator="lessThan">
      <formula>0.1</formula>
    </cfRule>
  </conditionalFormatting>
  <conditionalFormatting sqref="K29">
    <cfRule type="cellIs" dxfId="934" priority="15" stopIfTrue="1" operator="lessThan">
      <formula>0.1</formula>
    </cfRule>
  </conditionalFormatting>
  <conditionalFormatting sqref="K29">
    <cfRule type="cellIs" dxfId="933" priority="14" stopIfTrue="1" operator="lessThan">
      <formula>0.1</formula>
    </cfRule>
  </conditionalFormatting>
  <conditionalFormatting sqref="K29">
    <cfRule type="cellIs" dxfId="932" priority="13" stopIfTrue="1" operator="lessThan">
      <formula>0.1</formula>
    </cfRule>
  </conditionalFormatting>
  <conditionalFormatting sqref="K29">
    <cfRule type="cellIs" dxfId="931" priority="12" stopIfTrue="1" operator="lessThan">
      <formula>0.1</formula>
    </cfRule>
  </conditionalFormatting>
  <conditionalFormatting sqref="K29">
    <cfRule type="cellIs" dxfId="930" priority="11" stopIfTrue="1" operator="lessThan">
      <formula>0.1</formula>
    </cfRule>
  </conditionalFormatting>
  <conditionalFormatting sqref="K29">
    <cfRule type="cellIs" dxfId="929" priority="10" stopIfTrue="1" operator="lessThan">
      <formula>0.1</formula>
    </cfRule>
  </conditionalFormatting>
  <conditionalFormatting sqref="K29">
    <cfRule type="cellIs" dxfId="928" priority="9" stopIfTrue="1" operator="lessThan">
      <formula>0.1</formula>
    </cfRule>
  </conditionalFormatting>
  <conditionalFormatting sqref="K29">
    <cfRule type="cellIs" dxfId="927" priority="8" stopIfTrue="1" operator="lessThan">
      <formula>0.1</formula>
    </cfRule>
  </conditionalFormatting>
  <conditionalFormatting sqref="K29">
    <cfRule type="cellIs" dxfId="926" priority="7" stopIfTrue="1" operator="lessThan">
      <formula>0.1</formula>
    </cfRule>
  </conditionalFormatting>
  <conditionalFormatting sqref="K29">
    <cfRule type="cellIs" dxfId="925" priority="6" stopIfTrue="1" operator="lessThan">
      <formula>0.1</formula>
    </cfRule>
  </conditionalFormatting>
  <conditionalFormatting sqref="K29">
    <cfRule type="cellIs" dxfId="924" priority="5" stopIfTrue="1" operator="lessThan">
      <formula>0.1</formula>
    </cfRule>
  </conditionalFormatting>
  <conditionalFormatting sqref="K29">
    <cfRule type="cellIs" dxfId="923" priority="4" stopIfTrue="1" operator="lessThan">
      <formula>0.1</formula>
    </cfRule>
  </conditionalFormatting>
  <conditionalFormatting sqref="K29">
    <cfRule type="cellIs" dxfId="922" priority="3" stopIfTrue="1" operator="lessThan">
      <formula>0.1</formula>
    </cfRule>
  </conditionalFormatting>
  <conditionalFormatting sqref="K29">
    <cfRule type="cellIs" dxfId="921" priority="2" stopIfTrue="1" operator="lessThan">
      <formula>0.1</formula>
    </cfRule>
  </conditionalFormatting>
  <conditionalFormatting sqref="K29">
    <cfRule type="cellIs" dxfId="920" priority="1" stopIfTrue="1" operator="lessThan">
      <formula>0.1</formula>
    </cfRule>
  </conditionalFormatting>
  <printOptions horizontalCentered="1"/>
  <pageMargins left="0.5" right="0.5" top="1" bottom="1" header="0.75" footer="0.5"/>
  <pageSetup firstPageNumber="169" orientation="landscape" useFirstPageNumber="1" r:id="rId1"/>
  <headerFooter alignWithMargins="0">
    <oddHeader>&amp;R&amp;"Arial,Regular"&amp;8SREB-State Data Exchange</oddHeader>
    <oddFooter>&amp;C&amp;"Arial,Regular"&amp;10C-&amp;P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indexed="16"/>
  </sheetPr>
  <dimension ref="A1:U96"/>
  <sheetViews>
    <sheetView showGridLines="0" showZeros="0" view="pageBreakPreview" zoomScaleNormal="75" zoomScaleSheetLayoutView="100" workbookViewId="0">
      <selection activeCell="O32" sqref="O32"/>
    </sheetView>
  </sheetViews>
  <sheetFormatPr defaultColWidth="9" defaultRowHeight="15"/>
  <cols>
    <col min="1" max="1" width="12.375" style="36" customWidth="1"/>
    <col min="2" max="2" width="8.625" style="36" customWidth="1"/>
    <col min="3" max="3" width="6.25" style="36" customWidth="1"/>
    <col min="4" max="4" width="8.5" style="36" customWidth="1"/>
    <col min="5" max="5" width="7.5" style="36" bestFit="1" customWidth="1"/>
    <col min="6" max="6" width="8.5" style="36" customWidth="1"/>
    <col min="7" max="7" width="6.375" style="36" customWidth="1"/>
    <col min="8" max="8" width="8.5" style="36" customWidth="1"/>
    <col min="9" max="9" width="6.375" style="123" customWidth="1"/>
    <col min="10" max="10" width="8.5" style="36" customWidth="1"/>
    <col min="11" max="11" width="6.375" style="36" customWidth="1"/>
    <col min="12" max="12" width="8.5" style="36" customWidth="1"/>
    <col min="13" max="13" width="7.25" style="135" customWidth="1"/>
    <col min="14" max="14" width="9" style="36"/>
    <col min="15" max="15" width="6.375" style="123" customWidth="1"/>
    <col min="16" max="16384" width="9" style="36"/>
  </cols>
  <sheetData>
    <row r="1" spans="1:20" ht="18">
      <c r="A1" s="647" t="s">
        <v>1097</v>
      </c>
      <c r="B1" s="647"/>
      <c r="C1" s="647"/>
      <c r="D1" s="647"/>
      <c r="E1" s="647"/>
      <c r="F1" s="647"/>
      <c r="G1" s="647"/>
      <c r="H1" s="647"/>
      <c r="I1" s="647"/>
      <c r="J1" s="647"/>
      <c r="K1" s="647"/>
      <c r="L1" s="647"/>
      <c r="M1" s="647"/>
      <c r="N1" s="647"/>
      <c r="O1" s="647"/>
    </row>
    <row r="2" spans="1:20">
      <c r="A2" s="37"/>
      <c r="B2" s="38"/>
      <c r="C2" s="38"/>
      <c r="D2" s="38"/>
      <c r="E2" s="38"/>
      <c r="F2" s="38"/>
      <c r="G2" s="38"/>
      <c r="H2" s="38"/>
      <c r="I2" s="130"/>
      <c r="J2" s="38"/>
      <c r="K2" s="38"/>
      <c r="L2" s="38"/>
      <c r="M2" s="130"/>
    </row>
    <row r="3" spans="1:20" ht="15.75">
      <c r="A3" s="640" t="s">
        <v>466</v>
      </c>
      <c r="B3" s="640"/>
      <c r="C3" s="640"/>
      <c r="D3" s="640"/>
      <c r="E3" s="640"/>
      <c r="F3" s="640"/>
      <c r="G3" s="640"/>
      <c r="H3" s="640"/>
      <c r="I3" s="640"/>
      <c r="J3" s="640"/>
      <c r="K3" s="640"/>
      <c r="L3" s="640"/>
      <c r="M3" s="640"/>
      <c r="N3" s="640"/>
      <c r="O3" s="640"/>
    </row>
    <row r="4" spans="1:20" ht="15.75">
      <c r="A4" s="652" t="s">
        <v>13</v>
      </c>
      <c r="B4" s="652"/>
      <c r="C4" s="652"/>
      <c r="D4" s="652"/>
      <c r="E4" s="652"/>
      <c r="F4" s="652"/>
      <c r="G4" s="652"/>
      <c r="H4" s="652"/>
      <c r="I4" s="652"/>
      <c r="J4" s="652"/>
      <c r="K4" s="652"/>
      <c r="L4" s="652"/>
      <c r="M4" s="652"/>
      <c r="N4" s="652"/>
      <c r="O4" s="652"/>
    </row>
    <row r="5" spans="1:20" ht="15.75">
      <c r="A5" s="652" t="s">
        <v>1146</v>
      </c>
      <c r="B5" s="652"/>
      <c r="C5" s="652"/>
      <c r="D5" s="652"/>
      <c r="E5" s="652"/>
      <c r="F5" s="652"/>
      <c r="G5" s="652"/>
      <c r="H5" s="652"/>
      <c r="I5" s="652"/>
      <c r="J5" s="652"/>
      <c r="K5" s="652"/>
      <c r="L5" s="652"/>
      <c r="M5" s="652"/>
      <c r="N5" s="652"/>
      <c r="O5" s="652"/>
    </row>
    <row r="6" spans="1:20" ht="15.75" customHeight="1">
      <c r="A6" s="37"/>
      <c r="B6" s="38"/>
      <c r="C6" s="38"/>
      <c r="D6" s="38"/>
      <c r="E6" s="38"/>
      <c r="F6" s="648"/>
      <c r="G6" s="649"/>
      <c r="H6" s="38"/>
      <c r="I6" s="130"/>
      <c r="J6" s="38"/>
      <c r="K6" s="38"/>
      <c r="L6" s="38"/>
      <c r="M6" s="130"/>
    </row>
    <row r="7" spans="1:20">
      <c r="A7" s="39"/>
      <c r="B7" s="643" t="s">
        <v>467</v>
      </c>
      <c r="C7" s="644"/>
      <c r="D7" s="643" t="s">
        <v>468</v>
      </c>
      <c r="E7" s="644"/>
      <c r="F7" s="645" t="s">
        <v>469</v>
      </c>
      <c r="G7" s="646"/>
      <c r="H7" s="643" t="s">
        <v>470</v>
      </c>
      <c r="I7" s="644"/>
      <c r="J7" s="643" t="s">
        <v>471</v>
      </c>
      <c r="K7" s="644"/>
      <c r="L7" s="650" t="s">
        <v>472</v>
      </c>
      <c r="M7" s="651"/>
      <c r="N7" s="650" t="s">
        <v>698</v>
      </c>
      <c r="O7" s="651"/>
      <c r="T7" s="5"/>
    </row>
    <row r="8" spans="1:20" ht="14.1" customHeight="1">
      <c r="A8" s="40"/>
      <c r="B8" s="2" t="s">
        <v>473</v>
      </c>
      <c r="C8" s="8" t="s">
        <v>18</v>
      </c>
      <c r="D8" s="2" t="s">
        <v>473</v>
      </c>
      <c r="E8" s="8" t="s">
        <v>18</v>
      </c>
      <c r="F8" s="9" t="s">
        <v>473</v>
      </c>
      <c r="G8" s="10" t="s">
        <v>18</v>
      </c>
      <c r="H8" s="2" t="s">
        <v>473</v>
      </c>
      <c r="I8" s="140" t="s">
        <v>18</v>
      </c>
      <c r="J8" s="2" t="s">
        <v>473</v>
      </c>
      <c r="K8" s="11" t="s">
        <v>18</v>
      </c>
      <c r="L8" s="21" t="s">
        <v>473</v>
      </c>
      <c r="M8" s="124"/>
      <c r="N8" s="21" t="s">
        <v>473</v>
      </c>
      <c r="O8" s="124"/>
      <c r="T8" s="5"/>
    </row>
    <row r="9" spans="1:20" ht="14.1" customHeight="1">
      <c r="A9" s="40"/>
      <c r="B9" s="4" t="s">
        <v>474</v>
      </c>
      <c r="C9" s="10" t="s">
        <v>475</v>
      </c>
      <c r="D9" s="4" t="s">
        <v>474</v>
      </c>
      <c r="E9" s="10" t="s">
        <v>475</v>
      </c>
      <c r="F9" s="4" t="s">
        <v>474</v>
      </c>
      <c r="G9" s="10" t="s">
        <v>475</v>
      </c>
      <c r="H9" s="4" t="s">
        <v>474</v>
      </c>
      <c r="I9" s="141" t="s">
        <v>475</v>
      </c>
      <c r="J9" s="4" t="s">
        <v>474</v>
      </c>
      <c r="K9" s="12" t="s">
        <v>475</v>
      </c>
      <c r="L9" s="22" t="s">
        <v>474</v>
      </c>
      <c r="M9" s="125" t="s">
        <v>475</v>
      </c>
      <c r="N9" s="22" t="s">
        <v>474</v>
      </c>
      <c r="O9" s="125" t="s">
        <v>475</v>
      </c>
      <c r="T9" s="5"/>
    </row>
    <row r="10" spans="1:20" ht="14.1" customHeight="1">
      <c r="A10" s="44"/>
      <c r="B10" s="18" t="s">
        <v>476</v>
      </c>
      <c r="C10" s="19" t="s">
        <v>477</v>
      </c>
      <c r="D10" s="18" t="s">
        <v>476</v>
      </c>
      <c r="E10" s="19" t="s">
        <v>477</v>
      </c>
      <c r="F10" s="18" t="s">
        <v>476</v>
      </c>
      <c r="G10" s="19" t="s">
        <v>477</v>
      </c>
      <c r="H10" s="18" t="s">
        <v>476</v>
      </c>
      <c r="I10" s="142" t="s">
        <v>477</v>
      </c>
      <c r="J10" s="18" t="s">
        <v>476</v>
      </c>
      <c r="K10" s="20" t="s">
        <v>477</v>
      </c>
      <c r="L10" s="23" t="s">
        <v>476</v>
      </c>
      <c r="M10" s="126" t="s">
        <v>477</v>
      </c>
      <c r="N10" s="23" t="s">
        <v>476</v>
      </c>
      <c r="O10" s="126" t="s">
        <v>477</v>
      </c>
      <c r="T10" s="5"/>
    </row>
    <row r="11" spans="1:20">
      <c r="A11" s="13" t="s">
        <v>478</v>
      </c>
      <c r="B11" s="73">
        <f>+'New Tables 168-184'!B42</f>
        <v>84691.302308609505</v>
      </c>
      <c r="C11" s="96">
        <f>+'New Tables 168-184'!O42</f>
        <v>25.877722447347494</v>
      </c>
      <c r="D11" s="73">
        <f>+'New Tables 168-184'!B74</f>
        <v>75916.652892789236</v>
      </c>
      <c r="E11" s="96">
        <f>+'New Tables 168-184'!O74</f>
        <v>25.480321251189288</v>
      </c>
      <c r="F11" s="73">
        <f>+'New Tables 168-184'!B106</f>
        <v>63725.108062828323</v>
      </c>
      <c r="G11" s="96">
        <f>+'New Tables 168-184'!O106</f>
        <v>27.127778889195064</v>
      </c>
      <c r="H11" s="73">
        <f>+'New Tables 168-184'!B138</f>
        <v>62091.455053801983</v>
      </c>
      <c r="I11" s="105">
        <f>+'New Tables 168-184'!O138</f>
        <v>27.738453165569403</v>
      </c>
      <c r="J11" s="73">
        <f>+'New Tables 168-184'!B171</f>
        <v>59024.507887206564</v>
      </c>
      <c r="K11" s="96">
        <f>+'New Tables 168-184'!O171</f>
        <v>29.490887492214007</v>
      </c>
      <c r="L11" s="73">
        <f>+'New Tables 168-184'!B203</f>
        <v>57514.557974258933</v>
      </c>
      <c r="M11" s="105">
        <f>+'New Tables 168-184'!O203</f>
        <v>28.161494503544066</v>
      </c>
      <c r="N11" s="73">
        <f>+'New Tables 168-184'!B9</f>
        <v>73954.52597053448</v>
      </c>
      <c r="O11" s="127">
        <f>+'New Tables 168-184'!O9</f>
        <v>26.50497910852722</v>
      </c>
      <c r="T11" s="5"/>
    </row>
    <row r="12" spans="1:20" ht="15.75" customHeight="1">
      <c r="A12" s="25"/>
      <c r="B12" s="74"/>
      <c r="C12" s="27"/>
      <c r="D12" s="74"/>
      <c r="E12" s="27"/>
      <c r="F12" s="74"/>
      <c r="G12" s="27"/>
      <c r="H12" s="74"/>
      <c r="I12" s="106"/>
      <c r="J12" s="74"/>
      <c r="K12" s="27"/>
      <c r="L12" s="74"/>
      <c r="M12" s="106"/>
      <c r="N12" s="74"/>
      <c r="O12" s="86"/>
      <c r="T12" s="5"/>
    </row>
    <row r="13" spans="1:20">
      <c r="A13" s="6" t="s">
        <v>479</v>
      </c>
      <c r="B13" s="617">
        <f>+'New Tables 168-184'!B44</f>
        <v>81186.655495792089</v>
      </c>
      <c r="C13" s="27">
        <f>+'New Tables 168-184'!O44</f>
        <v>31.742895928809311</v>
      </c>
      <c r="D13" s="617">
        <f>+'New Tables 168-184'!B76</f>
        <v>77123.619475907588</v>
      </c>
      <c r="E13" s="27">
        <f>+'New Tables 168-184'!O76</f>
        <v>30.801944240119106</v>
      </c>
      <c r="F13" s="617">
        <f>+'New Tables 168-184'!B108</f>
        <v>61003.22169864428</v>
      </c>
      <c r="G13" s="27">
        <f>+'New Tables 168-184'!O108</f>
        <v>30.345303045498333</v>
      </c>
      <c r="H13" s="617">
        <f>+'New Tables 168-184'!B140</f>
        <v>63609.936787779436</v>
      </c>
      <c r="I13" s="106">
        <f>+'New Tables 168-184'!O140</f>
        <v>28.90154040563101</v>
      </c>
      <c r="J13" s="617">
        <f>+'New Tables 168-184'!B173</f>
        <v>56738.445081967213</v>
      </c>
      <c r="K13" s="27">
        <f>+'New Tables 168-184'!O173</f>
        <v>26.706075315573386</v>
      </c>
      <c r="L13" s="617">
        <f>+'New Tables 168-184'!B205</f>
        <v>68725.878179069769</v>
      </c>
      <c r="M13" s="106">
        <f>+'New Tables 168-184'!O205</f>
        <v>33.12189508064143</v>
      </c>
      <c r="N13" s="617">
        <f>+'New Tables 168-184'!B11</f>
        <v>72751.781656992593</v>
      </c>
      <c r="O13" s="86">
        <f>+'New Tables 168-184'!O11</f>
        <v>31.135542282928931</v>
      </c>
      <c r="T13" s="5"/>
    </row>
    <row r="14" spans="1:20">
      <c r="A14" s="6" t="s">
        <v>480</v>
      </c>
      <c r="B14" s="617">
        <f>+'New Tables 168-184'!B45</f>
        <v>77922.003020168064</v>
      </c>
      <c r="C14" s="27">
        <f>+'New Tables 168-184'!O45</f>
        <v>24.952262960698977</v>
      </c>
      <c r="D14" s="617">
        <f>+'New Tables 168-184'!B77</f>
        <v>0</v>
      </c>
      <c r="E14" s="27">
        <f>+'New Tables 168-184'!O77</f>
        <v>0</v>
      </c>
      <c r="F14" s="617">
        <f>+'New Tables 168-184'!B109</f>
        <v>57765.180917686172</v>
      </c>
      <c r="G14" s="27">
        <f>+'New Tables 168-184'!O109</f>
        <v>27.230429927528053</v>
      </c>
      <c r="H14" s="617">
        <f>+'New Tables 168-184'!B141</f>
        <v>52944.469623245619</v>
      </c>
      <c r="I14" s="106">
        <f>+'New Tables 168-184'!O141</f>
        <v>27.030383928086639</v>
      </c>
      <c r="J14" s="617">
        <f>+'New Tables 168-184'!B174</f>
        <v>49637.593632051277</v>
      </c>
      <c r="K14" s="27">
        <f>+'New Tables 168-184'!O174</f>
        <v>29.316590129373164</v>
      </c>
      <c r="L14" s="617">
        <f>+'New Tables 168-184'!B206</f>
        <v>52019.414833838382</v>
      </c>
      <c r="M14" s="106">
        <f>+'New Tables 168-184'!O206</f>
        <v>29.114066588947008</v>
      </c>
      <c r="N14" s="617">
        <f>+'New Tables 168-184'!B12</f>
        <v>61129.79961629834</v>
      </c>
      <c r="O14" s="86">
        <f>+'New Tables 168-184'!O12</f>
        <v>26.772270392518216</v>
      </c>
      <c r="T14" s="5"/>
    </row>
    <row r="15" spans="1:20">
      <c r="A15" s="6" t="s">
        <v>494</v>
      </c>
      <c r="B15" s="617">
        <f>+'New Tables 168-184'!B46</f>
        <v>99645.742565186505</v>
      </c>
      <c r="C15" s="27">
        <f>+'New Tables 168-184'!O46</f>
        <v>32.018442186005117</v>
      </c>
      <c r="D15" s="617">
        <f>+'New Tables 168-184'!B78</f>
        <v>0</v>
      </c>
      <c r="E15" s="27">
        <f>+'New Tables 168-184'!O78</f>
        <v>0</v>
      </c>
      <c r="F15" s="617">
        <f>+'New Tables 168-184'!B110</f>
        <v>0</v>
      </c>
      <c r="G15" s="27">
        <f>+'New Tables 168-184'!O110</f>
        <v>0</v>
      </c>
      <c r="H15" s="617">
        <f>+'New Tables 168-184'!B142</f>
        <v>65065.276523232322</v>
      </c>
      <c r="I15" s="106">
        <f>+'New Tables 168-184'!O142</f>
        <v>41.071608322192944</v>
      </c>
      <c r="J15" s="617">
        <f>+'New Tables 168-184'!B175</f>
        <v>0</v>
      </c>
      <c r="K15" s="27">
        <f>+'New Tables 168-184'!O175</f>
        <v>0</v>
      </c>
      <c r="L15" s="617">
        <f>+'New Tables 168-184'!B207</f>
        <v>0</v>
      </c>
      <c r="M15" s="106">
        <f>+'New Tables 168-184'!O207</f>
        <v>0</v>
      </c>
      <c r="N15" s="617">
        <f>+'New Tables 168-184'!B13</f>
        <v>94474.343564954674</v>
      </c>
      <c r="O15" s="86">
        <f>+'New Tables 168-184'!O13</f>
        <v>32.950865432007895</v>
      </c>
      <c r="P15" s="157"/>
      <c r="Q15" s="118"/>
      <c r="T15" s="5"/>
    </row>
    <row r="16" spans="1:20">
      <c r="A16" s="6" t="s">
        <v>481</v>
      </c>
      <c r="B16" s="617">
        <f>+'New Tables 168-184'!B47</f>
        <v>82114.445515932341</v>
      </c>
      <c r="C16" s="27">
        <f>+'New Tables 168-184'!O47</f>
        <v>28.382539283256499</v>
      </c>
      <c r="D16" s="617">
        <f>+'New Tables 168-184'!B79</f>
        <v>70789.5371002584</v>
      </c>
      <c r="E16" s="27">
        <f>+'New Tables 168-184'!O79</f>
        <v>32.329129476687733</v>
      </c>
      <c r="F16" s="617">
        <f>+'New Tables 168-184'!B111</f>
        <v>66913.886719607835</v>
      </c>
      <c r="G16" s="27">
        <f>+'New Tables 168-184'!O111</f>
        <v>29.820291891442452</v>
      </c>
      <c r="H16" s="617">
        <f>+'New Tables 168-184'!B143</f>
        <v>62745.088510991962</v>
      </c>
      <c r="I16" s="106">
        <f>+'New Tables 168-184'!O143</f>
        <v>31.592546807194793</v>
      </c>
      <c r="J16" s="617">
        <f>+'New Tables 168-184'!B176</f>
        <v>0</v>
      </c>
      <c r="K16" s="27">
        <f>+'New Tables 168-184'!O176</f>
        <v>0</v>
      </c>
      <c r="L16" s="617">
        <f>+'New Tables 168-184'!B208</f>
        <v>68274.343258591558</v>
      </c>
      <c r="M16" s="106">
        <f>+'New Tables 168-184'!O208</f>
        <v>32.962276817001104</v>
      </c>
      <c r="N16" s="617">
        <f>+'New Tables 168-184'!B14</f>
        <v>78037.041880881632</v>
      </c>
      <c r="O16" s="86">
        <f>+'New Tables 168-184'!O14</f>
        <v>29.00015194133908</v>
      </c>
      <c r="T16" s="5"/>
    </row>
    <row r="17" spans="1:20">
      <c r="A17" s="6"/>
      <c r="B17" s="617"/>
      <c r="C17" s="27"/>
      <c r="D17" s="617"/>
      <c r="E17" s="27"/>
      <c r="F17" s="617"/>
      <c r="G17" s="27"/>
      <c r="H17" s="617"/>
      <c r="I17" s="106"/>
      <c r="J17" s="617"/>
      <c r="K17" s="27"/>
      <c r="L17" s="617"/>
      <c r="M17" s="106"/>
      <c r="N17" s="617"/>
      <c r="O17" s="86"/>
      <c r="T17" s="5"/>
    </row>
    <row r="18" spans="1:20">
      <c r="A18" s="6" t="s">
        <v>482</v>
      </c>
      <c r="B18" s="617">
        <f>+'New Tables 168-184'!B49</f>
        <v>82834.245913112536</v>
      </c>
      <c r="C18" s="27">
        <f>+'New Tables 168-184'!O49</f>
        <v>24.826707714710128</v>
      </c>
      <c r="D18" s="617">
        <f>+'New Tables 168-184'!B81</f>
        <v>107284.9052771282</v>
      </c>
      <c r="E18" s="27">
        <f>+'New Tables 168-184'!O81</f>
        <v>22.66481433866878</v>
      </c>
      <c r="F18" s="617">
        <f>+'New Tables 168-184'!B113</f>
        <v>60750.07001122785</v>
      </c>
      <c r="G18" s="27">
        <f>+'New Tables 168-184'!O113</f>
        <v>26.223199210564818</v>
      </c>
      <c r="H18" s="617">
        <f>+'New Tables 168-184'!B145</f>
        <v>59474.124227744156</v>
      </c>
      <c r="I18" s="106">
        <f>+'New Tables 168-184'!O145</f>
        <v>27.027050662741747</v>
      </c>
      <c r="J18" s="617">
        <f>+'New Tables 168-184'!B178</f>
        <v>57331.743067307099</v>
      </c>
      <c r="K18" s="27">
        <f>+'New Tables 168-184'!O178</f>
        <v>27.133169413914445</v>
      </c>
      <c r="L18" s="617">
        <f>+'New Tables 168-184'!B210</f>
        <v>57771.364113622047</v>
      </c>
      <c r="M18" s="106">
        <f>+'New Tables 168-184'!O210</f>
        <v>26.857168425639237</v>
      </c>
      <c r="N18" s="617">
        <f>+'New Tables 168-184'!B16</f>
        <v>72774.068051609604</v>
      </c>
      <c r="O18" s="86">
        <f>+'New Tables 168-184'!O16</f>
        <v>25.263080319854485</v>
      </c>
      <c r="T18" s="5"/>
    </row>
    <row r="19" spans="1:20">
      <c r="A19" s="6" t="s">
        <v>483</v>
      </c>
      <c r="B19" s="617">
        <f>+'New Tables 168-184'!B50</f>
        <v>80062.521640869963</v>
      </c>
      <c r="C19" s="27">
        <f>+'New Tables 168-184'!O50</f>
        <v>27.199152092878375</v>
      </c>
      <c r="D19" s="617">
        <f>+'New Tables 168-184'!B82</f>
        <v>0</v>
      </c>
      <c r="E19" s="27">
        <f>+'New Tables 168-184'!O82</f>
        <v>0</v>
      </c>
      <c r="F19" s="617">
        <f>+'New Tables 168-184'!B114</f>
        <v>59655.037797591489</v>
      </c>
      <c r="G19" s="27">
        <f>+'New Tables 168-184'!O114</f>
        <v>30.799932845804388</v>
      </c>
      <c r="H19" s="617">
        <f>+'New Tables 168-184'!B146</f>
        <v>62844.843185015285</v>
      </c>
      <c r="I19" s="106">
        <f>+'New Tables 168-184'!O146</f>
        <v>27.442875529961114</v>
      </c>
      <c r="J19" s="617">
        <f>+'New Tables 168-184'!B179</f>
        <v>0</v>
      </c>
      <c r="K19" s="27">
        <f>+'New Tables 168-184'!O179</f>
        <v>0</v>
      </c>
      <c r="L19" s="617">
        <f>+'New Tables 168-184'!B211</f>
        <v>0</v>
      </c>
      <c r="M19" s="106">
        <f>+'New Tables 168-184'!O211</f>
        <v>0</v>
      </c>
      <c r="N19" s="617">
        <f>+'New Tables 168-184'!B17</f>
        <v>69042.577551673312</v>
      </c>
      <c r="O19" s="86">
        <f>+'New Tables 168-184'!O17</f>
        <v>28.566893060530695</v>
      </c>
      <c r="T19" s="5"/>
    </row>
    <row r="20" spans="1:20">
      <c r="A20" s="6" t="s">
        <v>484</v>
      </c>
      <c r="B20" s="617">
        <f>+'New Tables 168-184'!B51</f>
        <v>81172.056250565409</v>
      </c>
      <c r="C20" s="27">
        <f>+'New Tables 168-184'!O51</f>
        <v>22.16206975428295</v>
      </c>
      <c r="D20" s="617">
        <f>+'New Tables 168-184'!B83</f>
        <v>67301.43570905141</v>
      </c>
      <c r="E20" s="27">
        <f>+'New Tables 168-184'!O83</f>
        <v>22.27113041038762</v>
      </c>
      <c r="F20" s="617">
        <f>+'New Tables 168-184'!B115</f>
        <v>60355.430876537219</v>
      </c>
      <c r="G20" s="27">
        <f>+'New Tables 168-184'!O115</f>
        <v>22.768594443503197</v>
      </c>
      <c r="H20" s="617">
        <f>+'New Tables 168-184'!B147</f>
        <v>55296.592518022801</v>
      </c>
      <c r="I20" s="106">
        <f>+'New Tables 168-184'!O147</f>
        <v>24.060857574070567</v>
      </c>
      <c r="J20" s="617">
        <f>+'New Tables 168-184'!B180</f>
        <v>0</v>
      </c>
      <c r="K20" s="27">
        <f>+'New Tables 168-184'!O180</f>
        <v>0</v>
      </c>
      <c r="L20" s="617">
        <f>+'New Tables 168-184'!B212</f>
        <v>0</v>
      </c>
      <c r="M20" s="106">
        <f>+'New Tables 168-184'!O212</f>
        <v>0</v>
      </c>
      <c r="N20" s="617">
        <f>+'New Tables 168-184'!B18</f>
        <v>65908.823999419736</v>
      </c>
      <c r="O20" s="86">
        <f>+'New Tables 168-184'!O18</f>
        <v>22.719955775027294</v>
      </c>
      <c r="T20" s="5"/>
    </row>
    <row r="21" spans="1:20">
      <c r="A21" s="6" t="s">
        <v>485</v>
      </c>
      <c r="B21" s="617">
        <f>+'New Tables 168-184'!B52</f>
        <v>110063.9662877091</v>
      </c>
      <c r="C21" s="27">
        <f>+'New Tables 168-184'!O52</f>
        <v>22.704947412560664</v>
      </c>
      <c r="D21" s="617">
        <f>+'New Tables 168-184'!B84</f>
        <v>86571.303540540539</v>
      </c>
      <c r="E21" s="27">
        <f>+'New Tables 168-184'!O84</f>
        <v>25.354691043447993</v>
      </c>
      <c r="F21" s="617">
        <f>+'New Tables 168-184'!B116</f>
        <v>73478.638005117275</v>
      </c>
      <c r="G21" s="27">
        <f>+'New Tables 168-184'!O116</f>
        <v>28.574358214617813</v>
      </c>
      <c r="H21" s="617">
        <f>+'New Tables 168-184'!B148</f>
        <v>74060.830428596644</v>
      </c>
      <c r="I21" s="106">
        <f>+'New Tables 168-184'!O148</f>
        <v>26.431923469839703</v>
      </c>
      <c r="J21" s="617">
        <f>+'New Tables 168-184'!B181</f>
        <v>0</v>
      </c>
      <c r="K21" s="27">
        <f>+'New Tables 168-184'!O181</f>
        <v>0</v>
      </c>
      <c r="L21" s="617">
        <f>+'New Tables 168-184'!B213</f>
        <v>66948.006896551728</v>
      </c>
      <c r="M21" s="106">
        <f>+'New Tables 168-184'!O213</f>
        <v>0</v>
      </c>
      <c r="N21" s="617">
        <f>+'New Tables 168-184'!B19</f>
        <v>87322.115685592813</v>
      </c>
      <c r="O21" s="86">
        <f>+'New Tables 168-184'!O19</f>
        <v>25.263464667663328</v>
      </c>
      <c r="T21" s="5"/>
    </row>
    <row r="22" spans="1:20">
      <c r="A22" s="6"/>
      <c r="B22" s="617"/>
      <c r="C22" s="27"/>
      <c r="D22" s="617"/>
      <c r="E22" s="27"/>
      <c r="F22" s="617"/>
      <c r="G22" s="27"/>
      <c r="H22" s="617"/>
      <c r="I22" s="106"/>
      <c r="J22" s="617"/>
      <c r="K22" s="27"/>
      <c r="L22" s="617"/>
      <c r="M22" s="106"/>
      <c r="N22" s="617"/>
      <c r="O22" s="86"/>
      <c r="T22" s="5"/>
    </row>
    <row r="23" spans="1:20">
      <c r="A23" s="6" t="s">
        <v>486</v>
      </c>
      <c r="B23" s="617">
        <f>+'New Tables 168-184'!B54</f>
        <v>64032.535242832259</v>
      </c>
      <c r="C23" s="27">
        <f>+'New Tables 168-184'!O54</f>
        <v>17.050628886031252</v>
      </c>
      <c r="D23" s="617">
        <f>+'New Tables 168-184'!B86</f>
        <v>67040.908248304622</v>
      </c>
      <c r="E23" s="27">
        <f>+'New Tables 168-184'!O86</f>
        <v>21.332821443755265</v>
      </c>
      <c r="F23" s="617">
        <f>+'New Tables 168-184'!B118</f>
        <v>0</v>
      </c>
      <c r="G23" s="27">
        <f>+'New Tables 168-184'!O118</f>
        <v>0</v>
      </c>
      <c r="H23" s="617">
        <f>+'New Tables 168-184'!B150</f>
        <v>53010.426824948867</v>
      </c>
      <c r="I23" s="106">
        <f>+'New Tables 168-184'!O150</f>
        <v>30.06471417365854</v>
      </c>
      <c r="J23" s="617">
        <f>+'New Tables 168-184'!B183</f>
        <v>49360.614268676931</v>
      </c>
      <c r="K23" s="27">
        <f>+'New Tables 168-184'!O183</f>
        <v>22.381655155613238</v>
      </c>
      <c r="L23" s="617">
        <f>+'New Tables 168-184'!B215</f>
        <v>0</v>
      </c>
      <c r="M23" s="106">
        <f>+'New Tables 168-184'!O215</f>
        <v>0</v>
      </c>
      <c r="N23" s="617">
        <f>+'New Tables 168-184'!B21</f>
        <v>62816.482272798901</v>
      </c>
      <c r="O23" s="86">
        <f>+'New Tables 168-184'!O21</f>
        <v>20.393992803304727</v>
      </c>
      <c r="T23" s="5"/>
    </row>
    <row r="24" spans="1:20">
      <c r="A24" s="6" t="s">
        <v>487</v>
      </c>
      <c r="B24" s="617">
        <f>+'New Tables 168-184'!B55</f>
        <v>96744.394035960315</v>
      </c>
      <c r="C24" s="27">
        <f>+'New Tables 168-184'!O55</f>
        <v>25.136541731326396</v>
      </c>
      <c r="D24" s="617">
        <f>+'New Tables 168-184'!B87</f>
        <v>75768.865161521258</v>
      </c>
      <c r="E24" s="27">
        <f>+'New Tables 168-184'!O87</f>
        <v>26.993826638133989</v>
      </c>
      <c r="F24" s="617">
        <f>+'New Tables 168-184'!B119</f>
        <v>70350.753561480407</v>
      </c>
      <c r="G24" s="27">
        <f>+'New Tables 168-184'!O119</f>
        <v>27.546868412227806</v>
      </c>
      <c r="H24" s="617">
        <f>+'New Tables 168-184'!B151</f>
        <v>68710.412558122742</v>
      </c>
      <c r="I24" s="106">
        <f>+'New Tables 168-184'!O151</f>
        <v>27.253264283734875</v>
      </c>
      <c r="J24" s="617">
        <f>+'New Tables 168-184'!B184</f>
        <v>65902.714320238098</v>
      </c>
      <c r="K24" s="27">
        <f>+'New Tables 168-184'!O184</f>
        <v>26.916637388651115</v>
      </c>
      <c r="L24" s="617">
        <f>+'New Tables 168-184'!B216</f>
        <v>67903.819857881128</v>
      </c>
      <c r="M24" s="106">
        <f>+'New Tables 168-184'!O216</f>
        <v>26.461028456445234</v>
      </c>
      <c r="N24" s="617">
        <f>+'New Tables 168-184'!B22</f>
        <v>79332.810015933195</v>
      </c>
      <c r="O24" s="86">
        <f>+'New Tables 168-184'!O22</f>
        <v>26.439942211084755</v>
      </c>
      <c r="T24" s="5"/>
    </row>
    <row r="25" spans="1:20">
      <c r="A25" s="6" t="s">
        <v>488</v>
      </c>
      <c r="B25" s="617">
        <f>+'New Tables 168-184'!B56</f>
        <v>77906.17307420772</v>
      </c>
      <c r="C25" s="27">
        <f>+'New Tables 168-184'!O56</f>
        <v>36.263969928096785</v>
      </c>
      <c r="D25" s="617">
        <f>+'New Tables 168-184'!B88</f>
        <v>0</v>
      </c>
      <c r="E25" s="27">
        <f>+'New Tables 168-184'!O88</f>
        <v>0</v>
      </c>
      <c r="F25" s="617">
        <f>+'New Tables 168-184'!B120</f>
        <v>58660.915931626121</v>
      </c>
      <c r="G25" s="27">
        <f>+'New Tables 168-184'!O120</f>
        <v>27.730132031574435</v>
      </c>
      <c r="H25" s="617">
        <f>+'New Tables 168-184'!B152</f>
        <v>0</v>
      </c>
      <c r="I25" s="106">
        <f>+'New Tables 168-184'!O152</f>
        <v>0</v>
      </c>
      <c r="J25" s="617">
        <f>+'New Tables 168-184'!B185</f>
        <v>53598.031679351348</v>
      </c>
      <c r="K25" s="27">
        <f>+'New Tables 168-184'!O185</f>
        <v>38.042799320640938</v>
      </c>
      <c r="L25" s="617">
        <f>+'New Tables 168-184'!B217</f>
        <v>47440.789301869176</v>
      </c>
      <c r="M25" s="106">
        <f>+'New Tables 168-184'!O217</f>
        <v>40.554714185591905</v>
      </c>
      <c r="N25" s="617">
        <f>+'New Tables 168-184'!B23</f>
        <v>66816.984268899527</v>
      </c>
      <c r="O25" s="86">
        <f>+'New Tables 168-184'!O23</f>
        <v>35.288261553490216</v>
      </c>
      <c r="T25" s="5"/>
    </row>
    <row r="26" spans="1:20">
      <c r="A26" s="6" t="s">
        <v>489</v>
      </c>
      <c r="B26" s="617">
        <f>+'New Tables 168-184'!B57</f>
        <v>79769.244417559661</v>
      </c>
      <c r="C26" s="27">
        <f>+'New Tables 168-184'!O57</f>
        <v>27.623746560790558</v>
      </c>
      <c r="D26" s="617">
        <f>+'New Tables 168-184'!B89</f>
        <v>0</v>
      </c>
      <c r="E26" s="27">
        <f>+'New Tables 168-184'!O89</f>
        <v>0</v>
      </c>
      <c r="F26" s="617">
        <f>+'New Tables 168-184'!B121</f>
        <v>63806.403644221107</v>
      </c>
      <c r="G26" s="27">
        <f>+'New Tables 168-184'!O121</f>
        <v>33.496747107169341</v>
      </c>
      <c r="H26" s="617">
        <f>+'New Tables 168-184'!B153</f>
        <v>68333.49647058823</v>
      </c>
      <c r="I26" s="106">
        <f>+'New Tables 168-184'!O153</f>
        <v>30.814708422561242</v>
      </c>
      <c r="J26" s="617">
        <f>+'New Tables 168-184'!B186</f>
        <v>60257.635737696328</v>
      </c>
      <c r="K26" s="27">
        <f>+'New Tables 168-184'!O186</f>
        <v>28.507406077177873</v>
      </c>
      <c r="L26" s="617">
        <f>+'New Tables 168-184'!B218</f>
        <v>53949.894314937759</v>
      </c>
      <c r="M26" s="106">
        <f>+'New Tables 168-184'!O218</f>
        <v>30.65871549948659</v>
      </c>
      <c r="N26" s="617">
        <f>+'New Tables 168-184'!B24</f>
        <v>70294.330321588102</v>
      </c>
      <c r="O26" s="86">
        <f>+'New Tables 168-184'!O24</f>
        <v>29.135687870170134</v>
      </c>
      <c r="T26" s="5"/>
    </row>
    <row r="27" spans="1:20">
      <c r="A27" s="6"/>
      <c r="B27" s="617"/>
      <c r="C27" s="27"/>
      <c r="D27" s="617"/>
      <c r="E27" s="27"/>
      <c r="F27" s="617"/>
      <c r="G27" s="27"/>
      <c r="H27" s="617"/>
      <c r="I27" s="106"/>
      <c r="J27" s="617"/>
      <c r="K27" s="27"/>
      <c r="L27" s="617"/>
      <c r="M27" s="106"/>
      <c r="N27" s="617"/>
      <c r="O27" s="86"/>
      <c r="T27" s="5"/>
    </row>
    <row r="28" spans="1:20">
      <c r="A28" s="6" t="s">
        <v>490</v>
      </c>
      <c r="B28" s="617">
        <f>+'New Tables 168-184'!B59</f>
        <v>77389.687229785515</v>
      </c>
      <c r="C28" s="27">
        <f>+'New Tables 168-184'!O59</f>
        <v>29.227310744938066</v>
      </c>
      <c r="D28" s="617">
        <f>+'New Tables 168-184'!B91</f>
        <v>0</v>
      </c>
      <c r="E28" s="27">
        <f>+'New Tables 168-184'!O91</f>
        <v>0</v>
      </c>
      <c r="F28" s="617">
        <f>+'New Tables 168-184'!B123</f>
        <v>59543.306989647062</v>
      </c>
      <c r="G28" s="27">
        <f>+'New Tables 168-184'!O123</f>
        <v>34.655439313422022</v>
      </c>
      <c r="H28" s="617">
        <f>+'New Tables 168-184'!B155</f>
        <v>0</v>
      </c>
      <c r="I28" s="106">
        <f>+'New Tables 168-184'!O155</f>
        <v>0</v>
      </c>
      <c r="J28" s="617">
        <f>+'New Tables 168-184'!B188</f>
        <v>57751.886990647479</v>
      </c>
      <c r="K28" s="27">
        <f>+'New Tables 168-184'!O188</f>
        <v>34.934681251832906</v>
      </c>
      <c r="L28" s="617">
        <f>+'New Tables 168-184'!B220</f>
        <v>0</v>
      </c>
      <c r="M28" s="106">
        <f>+'New Tables 168-184'!O220</f>
        <v>0</v>
      </c>
      <c r="N28" s="617">
        <f>+'New Tables 168-184'!B26</f>
        <v>67160.426279245279</v>
      </c>
      <c r="O28" s="86">
        <f>+'New Tables 168-184'!O26</f>
        <v>31.976446890218458</v>
      </c>
      <c r="T28" s="159"/>
    </row>
    <row r="29" spans="1:20">
      <c r="A29" s="6" t="s">
        <v>491</v>
      </c>
      <c r="B29" s="617">
        <f>+'New Tables 168-184'!B60</f>
        <v>86738.150747194028</v>
      </c>
      <c r="C29" s="27">
        <f>+'New Tables 168-184'!O60</f>
        <v>21.235885273137018</v>
      </c>
      <c r="D29" s="617">
        <f>+'New Tables 168-184'!B92</f>
        <v>69731.238782877772</v>
      </c>
      <c r="E29" s="27">
        <f>+'New Tables 168-184'!O92</f>
        <v>24.04099822329799</v>
      </c>
      <c r="F29" s="617">
        <f>+'New Tables 168-184'!B124</f>
        <v>64249.899436168693</v>
      </c>
      <c r="G29" s="27">
        <f>+'New Tables 168-184'!O124</f>
        <v>20.812738726515668</v>
      </c>
      <c r="H29" s="617">
        <f>+'New Tables 168-184'!B156</f>
        <v>67554.481202539682</v>
      </c>
      <c r="I29" s="106">
        <f>+'New Tables 168-184'!O156</f>
        <v>20.823367555410325</v>
      </c>
      <c r="J29" s="617">
        <f>+'New Tables 168-184'!B189</f>
        <v>66023.013969759457</v>
      </c>
      <c r="K29" s="27">
        <f>+'New Tables 168-184'!O189</f>
        <v>22.569415047271814</v>
      </c>
      <c r="L29" s="617">
        <f>+'New Tables 168-184'!B221</f>
        <v>66184.392401999998</v>
      </c>
      <c r="M29" s="106">
        <f>+'New Tables 168-184'!O221</f>
        <v>23.22139835846793</v>
      </c>
      <c r="N29" s="617">
        <f>+'New Tables 168-184'!B27</f>
        <v>75977.00008845485</v>
      </c>
      <c r="O29" s="86">
        <f>+'New Tables 168-184'!O27</f>
        <v>21.512171074948402</v>
      </c>
    </row>
    <row r="30" spans="1:20">
      <c r="A30" s="6" t="s">
        <v>492</v>
      </c>
      <c r="B30" s="617">
        <f>+'New Tables 168-184'!B61</f>
        <v>90662.896214982655</v>
      </c>
      <c r="C30" s="27">
        <f>+'New Tables 168-184'!O61</f>
        <v>26.486164869709324</v>
      </c>
      <c r="D30" s="617">
        <f>+'New Tables 168-184'!B93</f>
        <v>77444.275890813951</v>
      </c>
      <c r="E30" s="27">
        <f>+'New Tables 168-184'!O93</f>
        <v>28.102534646778594</v>
      </c>
      <c r="F30" s="617">
        <f>+'New Tables 168-184'!B125</f>
        <v>67240.761729702135</v>
      </c>
      <c r="G30" s="27">
        <f>+'New Tables 168-184'!O125</f>
        <v>32.383612859230979</v>
      </c>
      <c r="H30" s="617">
        <f>+'New Tables 168-184'!B157</f>
        <v>64445.783102499998</v>
      </c>
      <c r="I30" s="106">
        <f>+'New Tables 168-184'!O157</f>
        <v>30.511321152414901</v>
      </c>
      <c r="J30" s="617">
        <f>+'New Tables 168-184'!B190</f>
        <v>64675.395548637011</v>
      </c>
      <c r="K30" s="27">
        <f>+'New Tables 168-184'!O190</f>
        <v>33.393226087830762</v>
      </c>
      <c r="L30" s="617">
        <f>+'New Tables 168-184'!B222</f>
        <v>57569.831777777785</v>
      </c>
      <c r="M30" s="106">
        <f>+'New Tables 168-184'!O222</f>
        <v>32.797057245673308</v>
      </c>
      <c r="N30" s="617">
        <f>+'New Tables 168-184'!B28</f>
        <v>80471.193759384754</v>
      </c>
      <c r="O30" s="86">
        <f>+'New Tables 168-184'!O28</f>
        <v>28.138387244579494</v>
      </c>
    </row>
    <row r="31" spans="1:20">
      <c r="A31" s="14" t="s">
        <v>493</v>
      </c>
      <c r="B31" s="618">
        <f>+'New Tables 168-184'!B62</f>
        <v>75753.584786514504</v>
      </c>
      <c r="C31" s="29">
        <f>+'New Tables 168-184'!O62</f>
        <v>20.9166338223019</v>
      </c>
      <c r="D31" s="618">
        <f>+'New Tables 168-184'!B94</f>
        <v>0</v>
      </c>
      <c r="E31" s="29">
        <f>+'New Tables 168-184'!O94</f>
        <v>0</v>
      </c>
      <c r="F31" s="618">
        <f>+'New Tables 168-184'!B126</f>
        <v>61513.993002928873</v>
      </c>
      <c r="G31" s="29">
        <f>+'New Tables 168-184'!O126</f>
        <v>24.544715405061414</v>
      </c>
      <c r="H31" s="618">
        <f>+'New Tables 168-184'!B158</f>
        <v>0</v>
      </c>
      <c r="I31" s="110">
        <f>+'New Tables 168-184'!O158</f>
        <v>0</v>
      </c>
      <c r="J31" s="618">
        <f>+'New Tables 168-184'!B191</f>
        <v>59307.394686111104</v>
      </c>
      <c r="K31" s="29">
        <f>+'New Tables 168-184'!O191</f>
        <v>24.1589838865819</v>
      </c>
      <c r="L31" s="618">
        <f>+'New Tables 168-184'!B223</f>
        <v>54021.619901543745</v>
      </c>
      <c r="M31" s="110">
        <f>+'New Tables 168-184'!O223</f>
        <v>23.674304685042152</v>
      </c>
      <c r="N31" s="618">
        <f>+'New Tables 168-184'!B29</f>
        <v>65285.464099351499</v>
      </c>
      <c r="O31" s="115">
        <f>+'New Tables 168-184'!O29</f>
        <v>22.56499865549257</v>
      </c>
    </row>
    <row r="32" spans="1:20" ht="15" customHeight="1">
      <c r="A32" s="7"/>
      <c r="B32" s="45"/>
      <c r="C32" s="46"/>
      <c r="D32" s="45"/>
      <c r="E32" s="47"/>
      <c r="F32" s="45"/>
      <c r="G32" s="49"/>
      <c r="K32" s="47"/>
      <c r="L32" s="45"/>
      <c r="M32" s="77"/>
      <c r="O32" s="637" t="s">
        <v>1321</v>
      </c>
    </row>
    <row r="33" spans="1:15" ht="18">
      <c r="A33" s="647" t="s">
        <v>1098</v>
      </c>
      <c r="B33" s="647"/>
      <c r="C33" s="647"/>
      <c r="D33" s="647"/>
      <c r="E33" s="647"/>
      <c r="F33" s="647"/>
      <c r="G33" s="647"/>
      <c r="H33" s="647"/>
      <c r="I33" s="647"/>
      <c r="J33" s="647"/>
      <c r="K33" s="647"/>
      <c r="L33" s="647"/>
      <c r="M33" s="647"/>
      <c r="N33" s="78"/>
      <c r="O33" s="128"/>
    </row>
    <row r="34" spans="1:15" ht="12" customHeight="1">
      <c r="A34" s="42"/>
      <c r="B34" s="66"/>
      <c r="C34" s="42"/>
      <c r="D34" s="42"/>
      <c r="E34" s="42"/>
      <c r="F34" s="42"/>
      <c r="G34" s="48"/>
      <c r="H34" s="48"/>
      <c r="I34" s="143"/>
      <c r="J34" s="48"/>
      <c r="K34" s="48"/>
    </row>
    <row r="35" spans="1:15" ht="15.75">
      <c r="A35" s="642" t="s">
        <v>17</v>
      </c>
      <c r="B35" s="642"/>
      <c r="C35" s="642"/>
      <c r="D35" s="642"/>
      <c r="E35" s="642"/>
      <c r="F35" s="642"/>
      <c r="G35" s="642"/>
      <c r="H35" s="642"/>
      <c r="I35" s="642"/>
      <c r="J35" s="642"/>
      <c r="K35" s="642"/>
      <c r="L35" s="642"/>
      <c r="M35" s="642"/>
    </row>
    <row r="36" spans="1:15" ht="15.75">
      <c r="A36" s="642" t="s">
        <v>16</v>
      </c>
      <c r="B36" s="642"/>
      <c r="C36" s="642"/>
      <c r="D36" s="642"/>
      <c r="E36" s="642"/>
      <c r="F36" s="642"/>
      <c r="G36" s="642"/>
      <c r="H36" s="642"/>
      <c r="I36" s="642"/>
      <c r="J36" s="642"/>
      <c r="K36" s="642"/>
      <c r="L36" s="642"/>
      <c r="M36" s="642"/>
    </row>
    <row r="37" spans="1:15" ht="15.75">
      <c r="A37" s="640" t="s">
        <v>1147</v>
      </c>
      <c r="B37" s="640"/>
      <c r="C37" s="640"/>
      <c r="D37" s="640"/>
      <c r="E37" s="640"/>
      <c r="F37" s="640"/>
      <c r="G37" s="640"/>
      <c r="H37" s="640"/>
      <c r="I37" s="640"/>
      <c r="J37" s="640"/>
      <c r="K37" s="640"/>
      <c r="L37" s="640"/>
      <c r="M37" s="640"/>
    </row>
    <row r="38" spans="1:15" ht="12.75" customHeight="1">
      <c r="A38" s="49"/>
      <c r="B38" s="49"/>
      <c r="C38" s="49"/>
      <c r="D38" s="49"/>
      <c r="E38" s="49"/>
      <c r="F38" s="49"/>
      <c r="G38" s="60"/>
      <c r="H38" s="60"/>
      <c r="I38" s="144"/>
      <c r="J38" s="60"/>
      <c r="K38" s="75"/>
    </row>
    <row r="39" spans="1:15" ht="24">
      <c r="A39" s="13"/>
      <c r="B39" s="61" t="s">
        <v>722</v>
      </c>
      <c r="C39" s="62"/>
      <c r="D39" s="64" t="s">
        <v>723</v>
      </c>
      <c r="E39" s="63"/>
      <c r="F39" s="64" t="s">
        <v>724</v>
      </c>
      <c r="G39" s="68"/>
      <c r="H39" s="26" t="s">
        <v>725</v>
      </c>
      <c r="I39" s="136"/>
      <c r="J39" s="67" t="s">
        <v>36</v>
      </c>
      <c r="K39" s="76"/>
      <c r="L39" s="61" t="s">
        <v>721</v>
      </c>
      <c r="M39" s="136"/>
    </row>
    <row r="40" spans="1:15">
      <c r="A40" s="25"/>
      <c r="B40" s="2" t="s">
        <v>473</v>
      </c>
      <c r="C40" s="8" t="s">
        <v>18</v>
      </c>
      <c r="D40" s="2" t="s">
        <v>473</v>
      </c>
      <c r="E40" s="8" t="s">
        <v>18</v>
      </c>
      <c r="F40" s="9" t="s">
        <v>473</v>
      </c>
      <c r="G40" s="10" t="s">
        <v>18</v>
      </c>
      <c r="H40" s="2" t="s">
        <v>473</v>
      </c>
      <c r="I40" s="124" t="s">
        <v>18</v>
      </c>
      <c r="J40" s="21" t="s">
        <v>473</v>
      </c>
      <c r="K40" s="8" t="s">
        <v>18</v>
      </c>
      <c r="L40" s="2" t="s">
        <v>473</v>
      </c>
      <c r="M40" s="137"/>
    </row>
    <row r="41" spans="1:15">
      <c r="A41" s="51"/>
      <c r="B41" s="9" t="s">
        <v>474</v>
      </c>
      <c r="C41" s="24" t="s">
        <v>475</v>
      </c>
      <c r="D41" s="22" t="s">
        <v>474</v>
      </c>
      <c r="E41" s="24" t="s">
        <v>475</v>
      </c>
      <c r="F41" s="69" t="s">
        <v>474</v>
      </c>
      <c r="G41" s="10" t="s">
        <v>475</v>
      </c>
      <c r="H41" s="9" t="s">
        <v>474</v>
      </c>
      <c r="I41" s="138" t="s">
        <v>475</v>
      </c>
      <c r="J41" s="22" t="s">
        <v>474</v>
      </c>
      <c r="K41" s="10" t="s">
        <v>475</v>
      </c>
      <c r="L41" s="9" t="s">
        <v>474</v>
      </c>
      <c r="M41" s="138" t="s">
        <v>475</v>
      </c>
    </row>
    <row r="42" spans="1:15" ht="15" customHeight="1">
      <c r="A42" s="52"/>
      <c r="B42" s="18" t="s">
        <v>476</v>
      </c>
      <c r="C42" s="17" t="s">
        <v>477</v>
      </c>
      <c r="D42" s="23" t="s">
        <v>476</v>
      </c>
      <c r="E42" s="17" t="s">
        <v>477</v>
      </c>
      <c r="F42" s="70" t="s">
        <v>476</v>
      </c>
      <c r="G42" s="19" t="s">
        <v>477</v>
      </c>
      <c r="H42" s="18" t="s">
        <v>476</v>
      </c>
      <c r="I42" s="131" t="s">
        <v>477</v>
      </c>
      <c r="J42" s="23" t="s">
        <v>476</v>
      </c>
      <c r="K42" s="19" t="s">
        <v>477</v>
      </c>
      <c r="L42" s="18" t="s">
        <v>476</v>
      </c>
      <c r="M42" s="131" t="s">
        <v>477</v>
      </c>
    </row>
    <row r="43" spans="1:15">
      <c r="A43" s="13" t="s">
        <v>478</v>
      </c>
      <c r="B43" s="73">
        <f>+'New Tables 168-184'!B267</f>
        <v>54861.800102206347</v>
      </c>
      <c r="C43" s="96">
        <f>+'New Tables 168-184'!O267</f>
        <v>29.140955266376551</v>
      </c>
      <c r="D43" s="73">
        <f>+'New Tables 168-184'!B298</f>
        <v>54093.048684692287</v>
      </c>
      <c r="E43" s="105">
        <f>+'New Tables 168-184'!O298</f>
        <v>24.733785580500509</v>
      </c>
      <c r="F43" s="73">
        <f>+'New Tables 168-184'!B330</f>
        <v>49168.777607690652</v>
      </c>
      <c r="G43" s="96">
        <f>+'New Tables 168-184'!O330</f>
        <v>29.778497787819585</v>
      </c>
      <c r="H43" s="73">
        <f>+'New Tables 168-184'!B362</f>
        <v>46014.70414731004</v>
      </c>
      <c r="I43" s="105">
        <f>+'New Tables 168-184'!O362</f>
        <v>30.469196256513246</v>
      </c>
      <c r="J43" s="73" t="str">
        <f>+'New Tables 168-184'!B395</f>
        <v>NA</v>
      </c>
      <c r="K43" s="96" t="str">
        <f>+'New Tables 168-184'!O395</f>
        <v>NA</v>
      </c>
      <c r="L43" s="155">
        <f>+'New Tables 168-184'!B234</f>
        <v>51830.606228565914</v>
      </c>
      <c r="M43" s="127">
        <f>+'New Tables 168-184'!O234</f>
        <v>27.074732724815178</v>
      </c>
    </row>
    <row r="44" spans="1:15">
      <c r="A44" s="25"/>
      <c r="B44" s="74"/>
      <c r="C44" s="27"/>
      <c r="D44" s="74"/>
      <c r="E44" s="106"/>
      <c r="F44" s="74"/>
      <c r="G44" s="27"/>
      <c r="H44" s="74"/>
      <c r="I44" s="106"/>
      <c r="J44" s="74"/>
      <c r="K44" s="27"/>
      <c r="L44" s="156"/>
      <c r="M44" s="86"/>
    </row>
    <row r="45" spans="1:15">
      <c r="A45" s="6" t="s">
        <v>479</v>
      </c>
      <c r="B45" s="617">
        <f>+'New Tables 168-184'!B269</f>
        <v>0</v>
      </c>
      <c r="C45" s="27">
        <f>+'New Tables 168-184'!O269</f>
        <v>0</v>
      </c>
      <c r="D45" s="617">
        <f>+'New Tables 168-184'!B300</f>
        <v>53456.654580071176</v>
      </c>
      <c r="E45" s="106">
        <f>+'New Tables 168-184'!O300</f>
        <v>37.205538138855232</v>
      </c>
      <c r="F45" s="617">
        <f>+'New Tables 168-184'!B332</f>
        <v>53202.086543978105</v>
      </c>
      <c r="G45" s="27">
        <f>+'New Tables 168-184'!O332</f>
        <v>37.353854947668502</v>
      </c>
      <c r="H45" s="617">
        <f>+'New Tables 168-184'!B364</f>
        <v>52201.459242424244</v>
      </c>
      <c r="I45" s="106">
        <f>+'New Tables 168-184'!O364</f>
        <v>37.331981169712513</v>
      </c>
      <c r="J45" s="74" t="str">
        <f>+'New Tables 168-184'!B397</f>
        <v>NA</v>
      </c>
      <c r="K45" s="27" t="str">
        <f>+'New Tables 168-184'!O397</f>
        <v>NA</v>
      </c>
      <c r="L45" s="617">
        <f>+'New Tables 168-184'!B236</f>
        <v>53018.942272532433</v>
      </c>
      <c r="M45" s="86">
        <f>+'New Tables 168-184'!O236</f>
        <v>37.324809248264231</v>
      </c>
    </row>
    <row r="46" spans="1:15">
      <c r="A46" s="6" t="s">
        <v>480</v>
      </c>
      <c r="B46" s="617">
        <f>+'New Tables 168-184'!B270</f>
        <v>0</v>
      </c>
      <c r="C46" s="27">
        <f>+'New Tables 168-184'!O270</f>
        <v>0</v>
      </c>
      <c r="D46" s="617">
        <f>+'New Tables 168-184'!B301</f>
        <v>47404.103644444447</v>
      </c>
      <c r="E46" s="106">
        <f>+'New Tables 168-184'!O301</f>
        <v>29.705421392237675</v>
      </c>
      <c r="F46" s="617">
        <f>+'New Tables 168-184'!B333</f>
        <v>46102.92443887324</v>
      </c>
      <c r="G46" s="27">
        <f>+'New Tables 168-184'!O333</f>
        <v>26.146144549561967</v>
      </c>
      <c r="H46" s="617">
        <f>+'New Tables 168-184'!B365</f>
        <v>41852.148659777784</v>
      </c>
      <c r="I46" s="106">
        <f>+'New Tables 168-184'!O365</f>
        <v>32.516869404528073</v>
      </c>
      <c r="J46" s="74" t="str">
        <f>+'New Tables 168-184'!B398</f>
        <v>NA</v>
      </c>
      <c r="K46" s="27" t="str">
        <f>+'New Tables 168-184'!O398</f>
        <v>NA</v>
      </c>
      <c r="L46" s="617">
        <f>+'New Tables 168-184'!B237</f>
        <v>43576.138634502102</v>
      </c>
      <c r="M46" s="86">
        <f>+'New Tables 168-184'!O237</f>
        <v>30.466273398934362</v>
      </c>
    </row>
    <row r="47" spans="1:15">
      <c r="A47" s="6" t="s">
        <v>494</v>
      </c>
      <c r="B47" s="617">
        <f>+'New Tables 168-184'!B271</f>
        <v>0</v>
      </c>
      <c r="C47" s="27">
        <f>+'New Tables 168-184'!O271</f>
        <v>0</v>
      </c>
      <c r="D47" s="617">
        <f>+'New Tables 168-184'!B302</f>
        <v>0</v>
      </c>
      <c r="E47" s="106">
        <f>+'New Tables 168-184'!O302</f>
        <v>0</v>
      </c>
      <c r="F47" s="617">
        <f>+'New Tables 168-184'!B334</f>
        <v>63829.264999999999</v>
      </c>
      <c r="G47" s="27">
        <f>+'New Tables 168-184'!O334</f>
        <v>43.35091125134111</v>
      </c>
      <c r="H47" s="617">
        <f>+'New Tables 168-184'!B366</f>
        <v>63715.690800000004</v>
      </c>
      <c r="I47" s="106">
        <f>+'New Tables 168-184'!O366</f>
        <v>43.544762557847648</v>
      </c>
      <c r="J47" s="74" t="str">
        <f>+'New Tables 168-184'!B399</f>
        <v>NA</v>
      </c>
      <c r="K47" s="27" t="str">
        <f>+'New Tables 168-184'!O399</f>
        <v>NA</v>
      </c>
      <c r="L47" s="617">
        <f>+'New Tables 168-184'!B238</f>
        <v>63804.420643749996</v>
      </c>
      <c r="M47" s="86">
        <f>+'New Tables 168-184'!O238</f>
        <v>43.39325725401298</v>
      </c>
    </row>
    <row r="48" spans="1:15">
      <c r="A48" s="6" t="s">
        <v>481</v>
      </c>
      <c r="B48" s="617">
        <f>+'New Tables 168-184'!B272</f>
        <v>58779.872367581367</v>
      </c>
      <c r="C48" s="27">
        <f>+'New Tables 168-184'!O272</f>
        <v>32.451948448072834</v>
      </c>
      <c r="D48" s="617">
        <f>+'New Tables 168-184'!B303</f>
        <v>53262.509313154835</v>
      </c>
      <c r="E48" s="106">
        <f>+'New Tables 168-184'!O303</f>
        <v>31.017996651848144</v>
      </c>
      <c r="F48" s="617">
        <f>+'New Tables 168-184'!B335</f>
        <v>46161.699769053121</v>
      </c>
      <c r="G48" s="27">
        <f>+'New Tables 168-184'!O335</f>
        <v>30.78812190709661</v>
      </c>
      <c r="H48" s="617">
        <f>+'New Tables 168-184'!B367</f>
        <v>50101.859649122809</v>
      </c>
      <c r="I48" s="106">
        <f>+'New Tables 168-184'!O367</f>
        <v>22.107070983700773</v>
      </c>
      <c r="J48" s="74" t="str">
        <f>+'New Tables 168-184'!B400</f>
        <v>NA</v>
      </c>
      <c r="K48" s="27" t="str">
        <f>+'New Tables 168-184'!O400</f>
        <v>NA</v>
      </c>
      <c r="L48" s="617">
        <f>+'New Tables 168-184'!B239</f>
        <v>54243.92208265065</v>
      </c>
      <c r="M48" s="86">
        <f>+'New Tables 168-184'!O239</f>
        <v>31.380516725034408</v>
      </c>
    </row>
    <row r="49" spans="1:21">
      <c r="A49" s="6"/>
      <c r="B49" s="617"/>
      <c r="C49" s="27"/>
      <c r="D49" s="617"/>
      <c r="E49" s="106"/>
      <c r="F49" s="617"/>
      <c r="G49" s="27"/>
      <c r="H49" s="617"/>
      <c r="I49" s="106"/>
      <c r="J49" s="74"/>
      <c r="K49" s="27"/>
      <c r="L49" s="617"/>
      <c r="M49" s="86"/>
    </row>
    <row r="50" spans="1:21">
      <c r="A50" s="6" t="s">
        <v>482</v>
      </c>
      <c r="B50" s="617">
        <f>+'New Tables 168-184'!B274</f>
        <v>49113.038046242778</v>
      </c>
      <c r="C50" s="27">
        <f>+'New Tables 168-184'!O274</f>
        <v>29.447354568915497</v>
      </c>
      <c r="D50" s="617">
        <f>+'New Tables 168-184'!B305</f>
        <v>50469.596227610629</v>
      </c>
      <c r="E50" s="106">
        <f>+'New Tables 168-184'!O305</f>
        <v>28.400755322326681</v>
      </c>
      <c r="F50" s="617">
        <f>+'New Tables 168-184'!B337</f>
        <v>46792.740757942782</v>
      </c>
      <c r="G50" s="27">
        <f>+'New Tables 168-184'!O337</f>
        <v>29.305169776530853</v>
      </c>
      <c r="H50" s="617">
        <f>+'New Tables 168-184'!B369</f>
        <v>44524.043983246076</v>
      </c>
      <c r="I50" s="106">
        <f>+'New Tables 168-184'!O369</f>
        <v>29.961406565858912</v>
      </c>
      <c r="J50" s="74" t="str">
        <f>+'New Tables 168-184'!B402</f>
        <v>NA</v>
      </c>
      <c r="K50" s="27" t="str">
        <f>+'New Tables 168-184'!O402</f>
        <v>NA</v>
      </c>
      <c r="L50" s="617">
        <f>+'New Tables 168-184'!B241</f>
        <v>47971.754367968664</v>
      </c>
      <c r="M50" s="86">
        <f>+'New Tables 168-184'!O241</f>
        <v>29.151729409744696</v>
      </c>
    </row>
    <row r="51" spans="1:21">
      <c r="A51" s="6" t="s">
        <v>483</v>
      </c>
      <c r="B51" s="617">
        <f>+'New Tables 168-184'!B275</f>
        <v>0</v>
      </c>
      <c r="C51" s="27">
        <f>+'New Tables 168-184'!O275</f>
        <v>0</v>
      </c>
      <c r="D51" s="617">
        <f>+'New Tables 168-184'!B306</f>
        <v>49864.814483203132</v>
      </c>
      <c r="E51" s="106">
        <f>+'New Tables 168-184'!O306</f>
        <v>31.798198519329024</v>
      </c>
      <c r="F51" s="617">
        <f>+'New Tables 168-184'!B338</f>
        <v>47750.474797687864</v>
      </c>
      <c r="G51" s="27">
        <f>+'New Tables 168-184'!O338</f>
        <v>32.244288201495074</v>
      </c>
      <c r="H51" s="617">
        <f>+'New Tables 168-184'!B370</f>
        <v>49668.487098666672</v>
      </c>
      <c r="I51" s="106">
        <f>+'New Tables 168-184'!O370</f>
        <v>32.170802632780301</v>
      </c>
      <c r="J51" s="74" t="str">
        <f>+'New Tables 168-184'!B403</f>
        <v>NA</v>
      </c>
      <c r="K51" s="27" t="str">
        <f>+'New Tables 168-184'!O403</f>
        <v>NA</v>
      </c>
      <c r="L51" s="617">
        <f>+'New Tables 168-184'!B242</f>
        <v>48603.485888788731</v>
      </c>
      <c r="M51" s="86">
        <f>+'New Tables 168-184'!O242</f>
        <v>32.102754840666478</v>
      </c>
    </row>
    <row r="52" spans="1:21">
      <c r="A52" s="6" t="s">
        <v>484</v>
      </c>
      <c r="B52" s="617">
        <f>+'New Tables 168-184'!B276</f>
        <v>48373.200119587629</v>
      </c>
      <c r="C52" s="27">
        <f>+'New Tables 168-184'!O276</f>
        <v>25.87451011814197</v>
      </c>
      <c r="D52" s="617">
        <f>+'New Tables 168-184'!B307</f>
        <v>54621.772599999997</v>
      </c>
      <c r="E52" s="106">
        <f>+'New Tables 168-184'!O307</f>
        <v>17.966477838203431</v>
      </c>
      <c r="F52" s="617">
        <f>+'New Tables 168-184'!B339</f>
        <v>43833.858449999992</v>
      </c>
      <c r="G52" s="27">
        <f>+'New Tables 168-184'!O339</f>
        <v>22.62989319141467</v>
      </c>
      <c r="H52" s="617">
        <f>+'New Tables 168-184'!B371</f>
        <v>42470.149945714293</v>
      </c>
      <c r="I52" s="106">
        <f>+'New Tables 168-184'!O371</f>
        <v>24.907568590559894</v>
      </c>
      <c r="J52" s="74" t="str">
        <f>+'New Tables 168-184'!B404</f>
        <v>NA</v>
      </c>
      <c r="K52" s="27" t="str">
        <f>+'New Tables 168-184'!O404</f>
        <v>NA</v>
      </c>
      <c r="L52" s="617">
        <f>+'New Tables 168-184'!B243</f>
        <v>49808.065047129392</v>
      </c>
      <c r="M52" s="86">
        <f>+'New Tables 168-184'!O243</f>
        <v>20.611686378634843</v>
      </c>
    </row>
    <row r="53" spans="1:21">
      <c r="A53" s="6" t="s">
        <v>485</v>
      </c>
      <c r="B53" s="617">
        <f>+'New Tables 168-184'!B277</f>
        <v>0</v>
      </c>
      <c r="C53" s="27">
        <f>+'New Tables 168-184'!O277</f>
        <v>0</v>
      </c>
      <c r="D53" s="617">
        <f>+'New Tables 168-184'!B308</f>
        <v>69073.715388888901</v>
      </c>
      <c r="E53" s="106">
        <f>+'New Tables 168-184'!O308</f>
        <v>23.175934047795792</v>
      </c>
      <c r="F53" s="617">
        <f>+'New Tables 168-184'!B340</f>
        <v>60604.163601495733</v>
      </c>
      <c r="G53" s="27">
        <f>+'New Tables 168-184'!O340</f>
        <v>33.179817059801579</v>
      </c>
      <c r="H53" s="617">
        <f>+'New Tables 168-184'!B372</f>
        <v>60503.105001587297</v>
      </c>
      <c r="I53" s="106">
        <f>+'New Tables 168-184'!O372</f>
        <v>33.720658481129632</v>
      </c>
      <c r="J53" s="74" t="str">
        <f>+'New Tables 168-184'!B405</f>
        <v>NA</v>
      </c>
      <c r="K53" s="27" t="str">
        <f>+'New Tables 168-184'!O405</f>
        <v>NA</v>
      </c>
      <c r="L53" s="617">
        <f>+'New Tables 168-184'!B244</f>
        <v>65473.636499280561</v>
      </c>
      <c r="M53" s="86">
        <f>+'New Tables 168-184'!O244</f>
        <v>27.124625153382674</v>
      </c>
    </row>
    <row r="54" spans="1:21">
      <c r="A54" s="6"/>
      <c r="B54" s="617"/>
      <c r="C54" s="27"/>
      <c r="D54" s="617"/>
      <c r="E54" s="106"/>
      <c r="F54" s="617"/>
      <c r="G54" s="27"/>
      <c r="H54" s="617"/>
      <c r="I54" s="106"/>
      <c r="J54" s="74"/>
      <c r="K54" s="27"/>
      <c r="L54" s="617"/>
      <c r="M54" s="86"/>
    </row>
    <row r="55" spans="1:21">
      <c r="A55" s="6" t="s">
        <v>486</v>
      </c>
      <c r="B55" s="617">
        <f>+'New Tables 168-184'!B279</f>
        <v>0</v>
      </c>
      <c r="C55" s="27">
        <f>+'New Tables 168-184'!O279</f>
        <v>0</v>
      </c>
      <c r="D55" s="617">
        <f>+'New Tables 168-184'!B310</f>
        <v>48532.744048788845</v>
      </c>
      <c r="E55" s="106">
        <f>+'New Tables 168-184'!O310</f>
        <v>29.336036118801935</v>
      </c>
      <c r="F55" s="617">
        <f>+'New Tables 168-184'!B342</f>
        <v>50427.004317114108</v>
      </c>
      <c r="G55" s="27">
        <f>+'New Tables 168-184'!O342</f>
        <v>28.603751499428011</v>
      </c>
      <c r="H55" s="617">
        <f>+'New Tables 168-184'!B374</f>
        <v>46379.342922758617</v>
      </c>
      <c r="I55" s="106">
        <f>+'New Tables 168-184'!O374</f>
        <v>29.174229126658208</v>
      </c>
      <c r="J55" s="74" t="str">
        <f>+'New Tables 168-184'!B407</f>
        <v>NA</v>
      </c>
      <c r="K55" s="27" t="str">
        <f>+'New Tables 168-184'!O407</f>
        <v>NA</v>
      </c>
      <c r="L55" s="617">
        <f>+'New Tables 168-184'!B246</f>
        <v>49309.383603560455</v>
      </c>
      <c r="M55" s="86">
        <f>+'New Tables 168-184'!O246</f>
        <v>28.970915994888983</v>
      </c>
    </row>
    <row r="56" spans="1:21">
      <c r="A56" s="6" t="s">
        <v>487</v>
      </c>
      <c r="B56" s="617">
        <f>+'New Tables 168-184'!B280</f>
        <v>0</v>
      </c>
      <c r="C56" s="27">
        <f>+'New Tables 168-184'!O280</f>
        <v>0</v>
      </c>
      <c r="D56" s="617">
        <f>+'New Tables 168-184'!B311</f>
        <v>47747.426765799253</v>
      </c>
      <c r="E56" s="106">
        <f>+'New Tables 168-184'!O311</f>
        <v>28.027053561392034</v>
      </c>
      <c r="F56" s="617">
        <f>+'New Tables 168-184'!B343</f>
        <v>47465.146570397112</v>
      </c>
      <c r="G56" s="27">
        <f>+'New Tables 168-184'!O343</f>
        <v>27.353240485032753</v>
      </c>
      <c r="H56" s="617">
        <f>+'New Tables 168-184'!B375</f>
        <v>45986.983667409055</v>
      </c>
      <c r="I56" s="106">
        <f>+'New Tables 168-184'!O375</f>
        <v>27.101690938756484</v>
      </c>
      <c r="J56" s="74" t="str">
        <f>+'New Tables 168-184'!B408</f>
        <v>NA</v>
      </c>
      <c r="K56" s="27" t="str">
        <f>+'New Tables 168-184'!O408</f>
        <v>NA</v>
      </c>
      <c r="L56" s="617">
        <f>+'New Tables 168-184'!B247</f>
        <v>47284.192889672398</v>
      </c>
      <c r="M56" s="86">
        <f>+'New Tables 168-184'!O247</f>
        <v>27.573411456876602</v>
      </c>
    </row>
    <row r="57" spans="1:21">
      <c r="A57" s="6" t="s">
        <v>488</v>
      </c>
      <c r="B57" s="617">
        <f>+'New Tables 168-184'!B281</f>
        <v>52064</v>
      </c>
      <c r="C57" s="27">
        <f>+'New Tables 168-184'!O281</f>
        <v>35.725458515748585</v>
      </c>
      <c r="D57" s="617">
        <f>+'New Tables 168-184'!B312</f>
        <v>52921.55907117117</v>
      </c>
      <c r="E57" s="106">
        <f>+'New Tables 168-184'!O312</f>
        <v>43.582014122071101</v>
      </c>
      <c r="F57" s="617">
        <f>+'New Tables 168-184'!B344</f>
        <v>47222.345874829931</v>
      </c>
      <c r="G57" s="27">
        <f>+'New Tables 168-184'!O344</f>
        <v>42.300696860751955</v>
      </c>
      <c r="H57" s="617">
        <f>+'New Tables 168-184'!B376</f>
        <v>43035.543432978724</v>
      </c>
      <c r="I57" s="106">
        <f>+'New Tables 168-184'!O376</f>
        <v>41.169143111251152</v>
      </c>
      <c r="J57" s="74" t="str">
        <f>+'New Tables 168-184'!B409</f>
        <v>NA</v>
      </c>
      <c r="K57" s="27" t="str">
        <f>+'New Tables 168-184'!O409</f>
        <v>NA</v>
      </c>
      <c r="L57" s="617">
        <f>+'New Tables 168-184'!B248</f>
        <v>48473.878839482204</v>
      </c>
      <c r="M57" s="86">
        <f>+'New Tables 168-184'!O248</f>
        <v>41.800520849096287</v>
      </c>
    </row>
    <row r="58" spans="1:21">
      <c r="A58" s="6" t="s">
        <v>489</v>
      </c>
      <c r="B58" s="617">
        <f>+'New Tables 168-184'!B282</f>
        <v>56392.94533559322</v>
      </c>
      <c r="C58" s="27">
        <f>+'New Tables 168-184'!O282</f>
        <v>30.086651200388637</v>
      </c>
      <c r="D58" s="617">
        <f>+'New Tables 168-184'!B313</f>
        <v>47067.297921478057</v>
      </c>
      <c r="E58" s="106">
        <f>+'New Tables 168-184'!O313</f>
        <v>31.919491230187823</v>
      </c>
      <c r="F58" s="617">
        <f>+'New Tables 168-184'!B345</f>
        <v>45738.080967402733</v>
      </c>
      <c r="G58" s="27">
        <f>+'New Tables 168-184'!O345</f>
        <v>29.996304335606332</v>
      </c>
      <c r="H58" s="617">
        <f>+'New Tables 168-184'!B377</f>
        <v>45150.896684251966</v>
      </c>
      <c r="I58" s="106">
        <f>+'New Tables 168-184'!O377</f>
        <v>31.839329370374269</v>
      </c>
      <c r="J58" s="74" t="str">
        <f>+'New Tables 168-184'!B410</f>
        <v>NA</v>
      </c>
      <c r="K58" s="27" t="str">
        <f>+'New Tables 168-184'!O410</f>
        <v>NA</v>
      </c>
      <c r="L58" s="617">
        <f>+'New Tables 168-184'!B249</f>
        <v>46503.61809042254</v>
      </c>
      <c r="M58" s="86">
        <f>+'New Tables 168-184'!O249</f>
        <v>31.00411780781846</v>
      </c>
    </row>
    <row r="59" spans="1:21">
      <c r="A59" s="6"/>
      <c r="B59" s="617"/>
      <c r="C59" s="27"/>
      <c r="D59" s="617"/>
      <c r="E59" s="106"/>
      <c r="F59" s="617"/>
      <c r="G59" s="27"/>
      <c r="H59" s="617"/>
      <c r="I59" s="106"/>
      <c r="J59" s="74"/>
      <c r="K59" s="27"/>
      <c r="L59" s="617"/>
      <c r="M59" s="86"/>
    </row>
    <row r="60" spans="1:21">
      <c r="A60" s="6" t="s">
        <v>490</v>
      </c>
      <c r="B60" s="617">
        <f>+'New Tables 168-184'!B284</f>
        <v>0</v>
      </c>
      <c r="C60" s="27">
        <f>+'New Tables 168-184'!O284</f>
        <v>0</v>
      </c>
      <c r="D60" s="617">
        <f>+'New Tables 168-184'!B315</f>
        <v>47134.089873261204</v>
      </c>
      <c r="E60" s="106">
        <f>+'New Tables 168-184'!O315</f>
        <v>37.238152358537704</v>
      </c>
      <c r="F60" s="617">
        <f>+'New Tables 168-184'!B347</f>
        <v>46134.112525698831</v>
      </c>
      <c r="G60" s="27">
        <f>+'New Tables 168-184'!O347</f>
        <v>39.008176016950443</v>
      </c>
      <c r="H60" s="617">
        <f>+'New Tables 168-184'!B379</f>
        <v>46516.899977358495</v>
      </c>
      <c r="I60" s="106">
        <f>+'New Tables 168-184'!O379</f>
        <v>38.367365471612061</v>
      </c>
      <c r="J60" s="74" t="str">
        <f>+'New Tables 168-184'!B412</f>
        <v>NA</v>
      </c>
      <c r="K60" s="27" t="str">
        <f>+'New Tables 168-184'!O412</f>
        <v>NA</v>
      </c>
      <c r="L60" s="617">
        <f>+'New Tables 168-184'!B251</f>
        <v>46502.975476948588</v>
      </c>
      <c r="M60" s="86">
        <f>+'New Tables 168-184'!O251</f>
        <v>38.33293713950065</v>
      </c>
    </row>
    <row r="61" spans="1:21" ht="15.75">
      <c r="A61" s="6" t="s">
        <v>491</v>
      </c>
      <c r="B61" s="617">
        <f>+'New Tables 168-184'!B285</f>
        <v>51946.065672823221</v>
      </c>
      <c r="C61" s="27">
        <f>+'New Tables 168-184'!O285</f>
        <v>22.698509685878857</v>
      </c>
      <c r="D61" s="617">
        <f>+'New Tables 168-184'!B316</f>
        <v>56414.085521503694</v>
      </c>
      <c r="E61" s="106">
        <f>+'New Tables 168-184'!O316</f>
        <v>19.351804659612952</v>
      </c>
      <c r="F61" s="617">
        <f>+'New Tables 168-184'!B348</f>
        <v>48412.433266423359</v>
      </c>
      <c r="G61" s="27">
        <f>+'New Tables 168-184'!O348</f>
        <v>22.487214402566991</v>
      </c>
      <c r="H61" s="617">
        <f>+'New Tables 168-184'!B380</f>
        <v>43517.247016271191</v>
      </c>
      <c r="I61" s="106">
        <f>+'New Tables 168-184'!O380</f>
        <v>25.095643487712788</v>
      </c>
      <c r="J61" s="74" t="str">
        <f>+'New Tables 168-184'!B413</f>
        <v>NA</v>
      </c>
      <c r="K61" s="27" t="str">
        <f>+'New Tables 168-184'!O413</f>
        <v>NA</v>
      </c>
      <c r="L61" s="617">
        <f>+'New Tables 168-184'!B252</f>
        <v>53774.019832766913</v>
      </c>
      <c r="M61" s="86">
        <f>+'New Tables 168-184'!O252</f>
        <v>20.385799554301258</v>
      </c>
      <c r="P61" s="160"/>
      <c r="Q61" s="53"/>
      <c r="R61" s="53"/>
      <c r="S61" s="53"/>
      <c r="T61" s="53"/>
      <c r="U61" s="53"/>
    </row>
    <row r="62" spans="1:21">
      <c r="A62" s="6" t="s">
        <v>492</v>
      </c>
      <c r="B62" s="617">
        <f>+'New Tables 168-184'!B286</f>
        <v>0</v>
      </c>
      <c r="C62" s="27">
        <f>+'New Tables 168-184'!O286</f>
        <v>0</v>
      </c>
      <c r="D62" s="617">
        <f>+'New Tables 168-184'!B317</f>
        <v>0</v>
      </c>
      <c r="E62" s="106">
        <f>+'New Tables 168-184'!O317</f>
        <v>0</v>
      </c>
      <c r="F62" s="617">
        <f>+'New Tables 168-184'!B349</f>
        <v>0</v>
      </c>
      <c r="G62" s="27">
        <f>+'New Tables 168-184'!O349</f>
        <v>0</v>
      </c>
      <c r="H62" s="617">
        <f>+'New Tables 168-184'!B381</f>
        <v>54434.63636363636</v>
      </c>
      <c r="I62" s="106">
        <f>+'New Tables 168-184'!O381</f>
        <v>0</v>
      </c>
      <c r="J62" s="74" t="str">
        <f>+'New Tables 168-184'!B414</f>
        <v>NA</v>
      </c>
      <c r="K62" s="27" t="str">
        <f>+'New Tables 168-184'!O414</f>
        <v>NA</v>
      </c>
      <c r="L62" s="617">
        <f>+'New Tables 168-184'!B253</f>
        <v>56975.266498981859</v>
      </c>
      <c r="M62" s="86">
        <f>+'New Tables 168-184'!O253</f>
        <v>0</v>
      </c>
      <c r="P62" s="53"/>
      <c r="Q62" s="53"/>
      <c r="R62" s="53"/>
      <c r="S62" s="53"/>
      <c r="T62" s="53"/>
      <c r="U62" s="53"/>
    </row>
    <row r="63" spans="1:21">
      <c r="A63" s="14" t="s">
        <v>493</v>
      </c>
      <c r="B63" s="618">
        <f>+'New Tables 168-184'!B287</f>
        <v>46891.629959398488</v>
      </c>
      <c r="C63" s="29">
        <f>+'New Tables 168-184'!O287</f>
        <v>24.799624081572027</v>
      </c>
      <c r="D63" s="618">
        <f>+'New Tables 168-184'!B318</f>
        <v>0</v>
      </c>
      <c r="E63" s="110">
        <f>+'New Tables 168-184'!O318</f>
        <v>0</v>
      </c>
      <c r="F63" s="618">
        <f>+'New Tables 168-184'!B350</f>
        <v>0</v>
      </c>
      <c r="G63" s="29">
        <f>+'New Tables 168-184'!O350</f>
        <v>0</v>
      </c>
      <c r="H63" s="618">
        <f>+'New Tables 168-184'!B382</f>
        <v>47083.403043127961</v>
      </c>
      <c r="I63" s="110">
        <f>+'New Tables 168-184'!O382</f>
        <v>24.696877313881842</v>
      </c>
      <c r="J63" s="97" t="str">
        <f>+'New Tables 168-184'!B415</f>
        <v>NA</v>
      </c>
      <c r="K63" s="29" t="str">
        <f>+'New Tables 168-184'!O415</f>
        <v>NA</v>
      </c>
      <c r="L63" s="618">
        <f>+'New Tables 168-184'!B254</f>
        <v>47037.446610450454</v>
      </c>
      <c r="M63" s="115">
        <f>+'New Tables 168-184'!O254</f>
        <v>24.721423183153686</v>
      </c>
      <c r="P63" s="152"/>
      <c r="Q63" s="154"/>
      <c r="R63" s="152"/>
      <c r="S63" s="152"/>
      <c r="T63" s="118"/>
      <c r="U63" s="161"/>
    </row>
    <row r="64" spans="1:21">
      <c r="A64" s="7"/>
      <c r="K64" s="53"/>
      <c r="M64" s="637" t="s">
        <v>1321</v>
      </c>
      <c r="P64" s="53"/>
      <c r="Q64" s="53"/>
      <c r="R64" s="53"/>
      <c r="S64" s="53"/>
      <c r="T64" s="53"/>
      <c r="U64" s="53"/>
    </row>
    <row r="65" spans="1:21" ht="18">
      <c r="A65" s="647" t="s">
        <v>1099</v>
      </c>
      <c r="B65" s="647"/>
      <c r="C65" s="647"/>
      <c r="D65" s="647"/>
      <c r="E65" s="647"/>
      <c r="F65" s="647"/>
      <c r="G65" s="647"/>
      <c r="H65" s="647"/>
      <c r="I65" s="647"/>
      <c r="J65" s="48"/>
      <c r="K65" s="65"/>
      <c r="P65" s="53"/>
      <c r="Q65" s="53"/>
      <c r="R65" s="53"/>
      <c r="S65" s="53"/>
      <c r="T65" s="53"/>
      <c r="U65" s="53"/>
    </row>
    <row r="66" spans="1:21" ht="12.75" customHeight="1">
      <c r="A66" s="42"/>
      <c r="B66" s="66"/>
      <c r="C66" s="42"/>
      <c r="D66" s="42"/>
      <c r="E66" s="42"/>
      <c r="F66" s="42"/>
      <c r="G66" s="48"/>
      <c r="H66" s="48"/>
      <c r="I66" s="143"/>
      <c r="J66" s="48"/>
      <c r="K66" s="65"/>
    </row>
    <row r="67" spans="1:21" ht="15.75">
      <c r="A67" s="642" t="s">
        <v>17</v>
      </c>
      <c r="B67" s="642"/>
      <c r="C67" s="642"/>
      <c r="D67" s="642"/>
      <c r="E67" s="642"/>
      <c r="F67" s="642"/>
      <c r="G67" s="642"/>
      <c r="H67" s="642"/>
      <c r="I67" s="642"/>
      <c r="J67" s="48"/>
      <c r="K67" s="65"/>
    </row>
    <row r="68" spans="1:21" ht="15.75">
      <c r="A68" s="642" t="s">
        <v>16</v>
      </c>
      <c r="B68" s="642"/>
      <c r="C68" s="642"/>
      <c r="D68" s="642"/>
      <c r="E68" s="642"/>
      <c r="F68" s="642"/>
      <c r="G68" s="642"/>
      <c r="H68" s="642"/>
      <c r="I68" s="642"/>
      <c r="J68" s="48"/>
      <c r="K68" s="65"/>
    </row>
    <row r="69" spans="1:21" ht="15.75">
      <c r="A69" s="640" t="s">
        <v>1148</v>
      </c>
      <c r="B69" s="640"/>
      <c r="C69" s="640"/>
      <c r="D69" s="640"/>
      <c r="E69" s="640"/>
      <c r="F69" s="640"/>
      <c r="G69" s="640"/>
      <c r="H69" s="640"/>
      <c r="I69" s="640"/>
      <c r="J69" s="60"/>
      <c r="K69" s="75"/>
    </row>
    <row r="70" spans="1:21" ht="10.5" customHeight="1">
      <c r="A70" s="49"/>
      <c r="B70" s="49"/>
      <c r="C70" s="49"/>
      <c r="D70" s="49"/>
      <c r="E70" s="49"/>
      <c r="F70" s="49"/>
      <c r="G70" s="60"/>
      <c r="H70" s="60"/>
      <c r="I70" s="144"/>
      <c r="J70" s="60"/>
      <c r="K70" s="75"/>
      <c r="L70" s="60"/>
    </row>
    <row r="71" spans="1:21" ht="40.5" customHeight="1">
      <c r="A71" s="13"/>
      <c r="B71" s="61" t="s">
        <v>442</v>
      </c>
      <c r="C71" s="62"/>
      <c r="D71" s="67" t="s">
        <v>443</v>
      </c>
      <c r="E71" s="68"/>
      <c r="F71" s="61" t="s">
        <v>444</v>
      </c>
      <c r="G71" s="63"/>
      <c r="H71" s="67" t="s">
        <v>445</v>
      </c>
      <c r="I71" s="136"/>
      <c r="J71" s="60" t="s">
        <v>18</v>
      </c>
      <c r="K71" s="75"/>
      <c r="L71" s="60"/>
    </row>
    <row r="72" spans="1:21" ht="13.5" customHeight="1">
      <c r="A72" s="25"/>
      <c r="B72" s="2" t="s">
        <v>473</v>
      </c>
      <c r="C72" s="8" t="s">
        <v>18</v>
      </c>
      <c r="D72" s="2" t="s">
        <v>473</v>
      </c>
      <c r="E72" s="8" t="s">
        <v>18</v>
      </c>
      <c r="F72" s="9" t="s">
        <v>473</v>
      </c>
      <c r="G72" s="10" t="s">
        <v>18</v>
      </c>
      <c r="H72" s="2" t="s">
        <v>473</v>
      </c>
      <c r="I72" s="124" t="s">
        <v>18</v>
      </c>
      <c r="J72" s="60"/>
      <c r="K72" s="72"/>
    </row>
    <row r="73" spans="1:21" ht="13.5" customHeight="1">
      <c r="A73" s="51"/>
      <c r="B73" s="9" t="s">
        <v>474</v>
      </c>
      <c r="C73" s="24" t="s">
        <v>475</v>
      </c>
      <c r="D73" s="22" t="s">
        <v>474</v>
      </c>
      <c r="E73" s="10" t="s">
        <v>475</v>
      </c>
      <c r="F73" s="24" t="s">
        <v>474</v>
      </c>
      <c r="G73" s="24" t="s">
        <v>475</v>
      </c>
      <c r="H73" s="22" t="s">
        <v>474</v>
      </c>
      <c r="I73" s="138" t="s">
        <v>475</v>
      </c>
      <c r="J73" s="60"/>
      <c r="K73" s="75"/>
      <c r="L73" s="60"/>
    </row>
    <row r="74" spans="1:21" ht="13.5" customHeight="1">
      <c r="A74" s="52"/>
      <c r="B74" s="18" t="s">
        <v>476</v>
      </c>
      <c r="C74" s="17" t="s">
        <v>477</v>
      </c>
      <c r="D74" s="23" t="s">
        <v>476</v>
      </c>
      <c r="E74" s="19" t="s">
        <v>477</v>
      </c>
      <c r="F74" s="17" t="s">
        <v>476</v>
      </c>
      <c r="G74" s="17" t="s">
        <v>477</v>
      </c>
      <c r="H74" s="23" t="s">
        <v>476</v>
      </c>
      <c r="I74" s="131" t="s">
        <v>477</v>
      </c>
      <c r="J74" s="60"/>
      <c r="K74" s="75"/>
      <c r="L74" s="60"/>
    </row>
    <row r="75" spans="1:21" ht="15.75">
      <c r="A75" s="13" t="s">
        <v>478</v>
      </c>
      <c r="B75" s="73">
        <f>+'New Tables 168-184'!B458</f>
        <v>45855.188354653605</v>
      </c>
      <c r="C75" s="96">
        <f>+'New Tables 168-184'!O458</f>
        <v>32.073917924797321</v>
      </c>
      <c r="D75" s="73">
        <f>+'New Tables 168-184'!B490</f>
        <v>43801.787279337739</v>
      </c>
      <c r="E75" s="96">
        <f>+'New Tables 168-184'!O490</f>
        <v>27.124027207469446</v>
      </c>
      <c r="F75" s="73">
        <f>+'New Tables 168-184'!B522</f>
        <v>40024.100049110319</v>
      </c>
      <c r="G75" s="96">
        <f>+'New Tables 168-184'!O522</f>
        <v>25.040088485473994</v>
      </c>
      <c r="H75" s="73">
        <f>+'New Tables 168-184'!B426</f>
        <v>44097.216963692648</v>
      </c>
      <c r="I75" s="127">
        <f>+'New Tables 168-184'!O426</f>
        <v>30.293401479414943</v>
      </c>
      <c r="J75" s="60"/>
      <c r="K75" s="75"/>
      <c r="L75" s="60"/>
    </row>
    <row r="76" spans="1:21" s="83" customFormat="1" ht="12.75">
      <c r="A76" s="82"/>
      <c r="B76" s="74"/>
      <c r="C76" s="27"/>
      <c r="D76" s="74"/>
      <c r="E76" s="27"/>
      <c r="F76" s="74"/>
      <c r="G76" s="27"/>
      <c r="H76" s="74"/>
      <c r="I76" s="86"/>
      <c r="K76" s="84"/>
      <c r="M76" s="139"/>
      <c r="O76" s="129"/>
    </row>
    <row r="77" spans="1:21">
      <c r="A77" s="6" t="s">
        <v>479</v>
      </c>
      <c r="B77" s="617">
        <f>+'New Tables 168-184'!B460</f>
        <v>54504.933505263158</v>
      </c>
      <c r="C77" s="27">
        <f>+'New Tables 168-184'!O460</f>
        <v>35.135907565414684</v>
      </c>
      <c r="D77" s="617">
        <f>+'New Tables 168-184'!B492</f>
        <v>52453.511352941176</v>
      </c>
      <c r="E77" s="27">
        <f>+'New Tables 168-184'!O492</f>
        <v>36.487908712236013</v>
      </c>
      <c r="F77" s="617">
        <f>+'New Tables 168-184'!B524</f>
        <v>0</v>
      </c>
      <c r="G77" s="27">
        <f>+'New Tables 168-184'!O524</f>
        <v>0</v>
      </c>
      <c r="H77" s="617">
        <f>+'New Tables 168-184'!B428</f>
        <v>53421.884542857144</v>
      </c>
      <c r="I77" s="86">
        <f>+'New Tables 168-184'!O428</f>
        <v>35.836758200806777</v>
      </c>
      <c r="K77" s="53"/>
    </row>
    <row r="78" spans="1:21">
      <c r="A78" s="6" t="s">
        <v>480</v>
      </c>
      <c r="B78" s="617">
        <f>+'New Tables 168-184'!B461</f>
        <v>0</v>
      </c>
      <c r="C78" s="27">
        <f>+'New Tables 168-184'!O461</f>
        <v>0</v>
      </c>
      <c r="D78" s="617">
        <f>+'New Tables 168-184'!B493</f>
        <v>0</v>
      </c>
      <c r="E78" s="27">
        <f>+'New Tables 168-184'!O493</f>
        <v>0</v>
      </c>
      <c r="F78" s="617">
        <f>+'New Tables 168-184'!B525</f>
        <v>0</v>
      </c>
      <c r="G78" s="27">
        <f>+'New Tables 168-184'!O525</f>
        <v>0</v>
      </c>
      <c r="H78" s="617">
        <f>+'New Tables 168-184'!B429</f>
        <v>0</v>
      </c>
      <c r="I78" s="86">
        <f>+'New Tables 168-184'!O429</f>
        <v>0</v>
      </c>
      <c r="K78" s="53"/>
    </row>
    <row r="79" spans="1:21">
      <c r="A79" s="6" t="s">
        <v>494</v>
      </c>
      <c r="B79" s="617">
        <f>+'New Tables 168-184'!B462</f>
        <v>0</v>
      </c>
      <c r="C79" s="27">
        <f>+'New Tables 168-184'!O462</f>
        <v>0</v>
      </c>
      <c r="D79" s="617">
        <f>+'New Tables 168-184'!B494</f>
        <v>0</v>
      </c>
      <c r="E79" s="27">
        <f>+'New Tables 168-184'!O494</f>
        <v>0</v>
      </c>
      <c r="F79" s="617">
        <f>+'New Tables 168-184'!B526</f>
        <v>0</v>
      </c>
      <c r="G79" s="27">
        <f>+'New Tables 168-184'!O526</f>
        <v>0</v>
      </c>
      <c r="H79" s="617">
        <f>+'New Tables 168-184'!B430</f>
        <v>0</v>
      </c>
      <c r="I79" s="86">
        <f>+'New Tables 168-184'!O430</f>
        <v>0</v>
      </c>
      <c r="K79" s="53"/>
    </row>
    <row r="80" spans="1:21">
      <c r="A80" s="6" t="s">
        <v>481</v>
      </c>
      <c r="B80" s="617">
        <f>+'New Tables 168-184'!B463</f>
        <v>0</v>
      </c>
      <c r="C80" s="27">
        <f>+'New Tables 168-184'!O463</f>
        <v>0</v>
      </c>
      <c r="D80" s="617">
        <f>+'New Tables 168-184'!B495</f>
        <v>0</v>
      </c>
      <c r="E80" s="27">
        <f>+'New Tables 168-184'!O495</f>
        <v>0</v>
      </c>
      <c r="F80" s="617">
        <f>+'New Tables 168-184'!B527</f>
        <v>0</v>
      </c>
      <c r="G80" s="27">
        <f>+'New Tables 168-184'!O527</f>
        <v>0</v>
      </c>
      <c r="H80" s="617">
        <f>+'New Tables 168-184'!B431</f>
        <v>0</v>
      </c>
      <c r="I80" s="86">
        <f>+'New Tables 168-184'!O431</f>
        <v>0</v>
      </c>
      <c r="K80" s="53"/>
    </row>
    <row r="81" spans="1:15" s="83" customFormat="1" ht="12.75">
      <c r="A81" s="82"/>
      <c r="B81" s="617"/>
      <c r="C81" s="27"/>
      <c r="D81" s="617"/>
      <c r="E81" s="27"/>
      <c r="F81" s="617"/>
      <c r="G81" s="27"/>
      <c r="H81" s="617"/>
      <c r="I81" s="86"/>
      <c r="K81" s="84"/>
      <c r="M81" s="139"/>
      <c r="O81" s="129"/>
    </row>
    <row r="82" spans="1:15">
      <c r="A82" s="6" t="s">
        <v>482</v>
      </c>
      <c r="B82" s="617">
        <f>+'New Tables 168-184'!B465</f>
        <v>45125.410549044027</v>
      </c>
      <c r="C82" s="27">
        <f>+'New Tables 168-184'!O465</f>
        <v>34.570460343499832</v>
      </c>
      <c r="D82" s="617">
        <f>+'New Tables 168-184'!B497</f>
        <v>37133.188799999996</v>
      </c>
      <c r="E82" s="27">
        <f>+'New Tables 168-184'!O497</f>
        <v>37.646328974803147</v>
      </c>
      <c r="F82" s="617">
        <f>+'New Tables 168-184'!B529</f>
        <v>0</v>
      </c>
      <c r="G82" s="27">
        <f>+'New Tables 168-184'!O529</f>
        <v>0</v>
      </c>
      <c r="H82" s="617">
        <f>+'New Tables 168-184'!B433</f>
        <v>45023.665847234421</v>
      </c>
      <c r="I82" s="86">
        <f>+'New Tables 168-184'!O433</f>
        <v>34.602654398386115</v>
      </c>
      <c r="K82" s="53"/>
    </row>
    <row r="83" spans="1:15">
      <c r="A83" s="6" t="s">
        <v>483</v>
      </c>
      <c r="B83" s="617">
        <f>+'New Tables 168-184'!B466</f>
        <v>44076.473624050632</v>
      </c>
      <c r="C83" s="27">
        <f>+'New Tables 168-184'!O466</f>
        <v>32.508565383544955</v>
      </c>
      <c r="D83" s="617">
        <f>+'New Tables 168-184'!B498</f>
        <v>0</v>
      </c>
      <c r="E83" s="27">
        <f>+'New Tables 168-184'!O498</f>
        <v>0</v>
      </c>
      <c r="F83" s="617">
        <f>+'New Tables 168-184'!B530</f>
        <v>0</v>
      </c>
      <c r="G83" s="27">
        <f>+'New Tables 168-184'!O530</f>
        <v>0</v>
      </c>
      <c r="H83" s="617">
        <f>+'New Tables 168-184'!B434</f>
        <v>44076.473624050632</v>
      </c>
      <c r="I83" s="86">
        <f>+'New Tables 168-184'!O434</f>
        <v>32.508565383544955</v>
      </c>
      <c r="K83" s="53"/>
    </row>
    <row r="84" spans="1:15">
      <c r="A84" s="6" t="s">
        <v>484</v>
      </c>
      <c r="B84" s="617">
        <f>+'New Tables 168-184'!B467</f>
        <v>40903.802615151515</v>
      </c>
      <c r="C84" s="27">
        <f>+'New Tables 168-184'!O467</f>
        <v>24.645572651686656</v>
      </c>
      <c r="D84" s="617">
        <f>+'New Tables 168-184'!B499</f>
        <v>36778.146267924531</v>
      </c>
      <c r="E84" s="27">
        <f>+'New Tables 168-184'!O499</f>
        <v>26.721748255002602</v>
      </c>
      <c r="F84" s="617">
        <f>+'New Tables 168-184'!B531</f>
        <v>39975.470922361361</v>
      </c>
      <c r="G84" s="27">
        <f>+'New Tables 168-184'!O531</f>
        <v>25.070549105666061</v>
      </c>
      <c r="H84" s="617">
        <f>+'New Tables 168-184'!B435</f>
        <v>39888.010683912697</v>
      </c>
      <c r="I84" s="86">
        <f>+'New Tables 168-184'!O435</f>
        <v>25.106176977654656</v>
      </c>
      <c r="K84" s="53"/>
    </row>
    <row r="85" spans="1:15">
      <c r="A85" s="6" t="s">
        <v>485</v>
      </c>
      <c r="B85" s="617">
        <f>+'New Tables 168-184'!B468</f>
        <v>0</v>
      </c>
      <c r="C85" s="27">
        <f>+'New Tables 168-184'!O468</f>
        <v>0</v>
      </c>
      <c r="D85" s="617">
        <f>+'New Tables 168-184'!B500</f>
        <v>0</v>
      </c>
      <c r="E85" s="27">
        <f>+'New Tables 168-184'!O500</f>
        <v>0</v>
      </c>
      <c r="F85" s="617">
        <f>+'New Tables 168-184'!B532</f>
        <v>0</v>
      </c>
      <c r="G85" s="27">
        <f>+'New Tables 168-184'!O532</f>
        <v>0</v>
      </c>
      <c r="H85" s="617">
        <f>+'New Tables 168-184'!B436</f>
        <v>0</v>
      </c>
      <c r="I85" s="86">
        <f>+'New Tables 168-184'!O436</f>
        <v>0</v>
      </c>
      <c r="K85" s="53"/>
    </row>
    <row r="86" spans="1:15" s="83" customFormat="1" ht="12.75">
      <c r="A86" s="82"/>
      <c r="B86" s="617"/>
      <c r="C86" s="27"/>
      <c r="D86" s="617"/>
      <c r="E86" s="27"/>
      <c r="F86" s="617"/>
      <c r="G86" s="27"/>
      <c r="H86" s="617"/>
      <c r="I86" s="86"/>
      <c r="K86" s="84"/>
      <c r="M86" s="139"/>
      <c r="O86" s="129"/>
    </row>
    <row r="87" spans="1:15">
      <c r="A87" s="6" t="s">
        <v>486</v>
      </c>
      <c r="B87" s="617">
        <f>+'New Tables 168-184'!B470</f>
        <v>0</v>
      </c>
      <c r="C87" s="27">
        <f>+'New Tables 168-184'!O470</f>
        <v>0</v>
      </c>
      <c r="D87" s="617">
        <f>+'New Tables 168-184'!B502</f>
        <v>0</v>
      </c>
      <c r="E87" s="27">
        <f>+'New Tables 168-184'!O502</f>
        <v>0</v>
      </c>
      <c r="F87" s="617">
        <f>+'New Tables 168-184'!B534</f>
        <v>0</v>
      </c>
      <c r="G87" s="27">
        <f>+'New Tables 168-184'!O534</f>
        <v>0</v>
      </c>
      <c r="H87" s="617">
        <f>+'New Tables 168-184'!B438</f>
        <v>0</v>
      </c>
      <c r="I87" s="86">
        <f>+'New Tables 168-184'!O438</f>
        <v>0</v>
      </c>
      <c r="K87" s="53"/>
    </row>
    <row r="88" spans="1:15">
      <c r="A88" s="6" t="s">
        <v>487</v>
      </c>
      <c r="B88" s="617">
        <f>+'New Tables 168-184'!B471</f>
        <v>0</v>
      </c>
      <c r="C88" s="27">
        <f>+'New Tables 168-184'!O471</f>
        <v>0</v>
      </c>
      <c r="D88" s="617">
        <f>+'New Tables 168-184'!B503</f>
        <v>0</v>
      </c>
      <c r="E88" s="27">
        <f>+'New Tables 168-184'!O503</f>
        <v>0</v>
      </c>
      <c r="F88" s="617">
        <f>+'New Tables 168-184'!B535</f>
        <v>0</v>
      </c>
      <c r="G88" s="27">
        <f>+'New Tables 168-184'!O535</f>
        <v>0</v>
      </c>
      <c r="H88" s="617">
        <f>+'New Tables 168-184'!B439</f>
        <v>0</v>
      </c>
      <c r="I88" s="86">
        <f>+'New Tables 168-184'!O439</f>
        <v>0</v>
      </c>
      <c r="K88" s="53"/>
    </row>
    <row r="89" spans="1:15">
      <c r="A89" s="6" t="s">
        <v>488</v>
      </c>
      <c r="B89" s="617">
        <f>+'New Tables 168-184'!B472</f>
        <v>51006.379421359226</v>
      </c>
      <c r="C89" s="27">
        <f>+'New Tables 168-184'!O472</f>
        <v>16.072840308093834</v>
      </c>
      <c r="D89" s="617">
        <f>+'New Tables 168-184'!B504</f>
        <v>48075.167293366103</v>
      </c>
      <c r="E89" s="27">
        <f>+'New Tables 168-184'!O504</f>
        <v>22.313109722082526</v>
      </c>
      <c r="F89" s="617">
        <f>+'New Tables 168-184'!B536</f>
        <v>49085.327333333342</v>
      </c>
      <c r="G89" s="27">
        <f>+'New Tables 168-184'!O536</f>
        <v>0</v>
      </c>
      <c r="H89" s="617">
        <f>+'New Tables 168-184'!B440</f>
        <v>48882.789532329502</v>
      </c>
      <c r="I89" s="86">
        <f>+'New Tables 168-184'!O440</f>
        <v>20.521319094536747</v>
      </c>
      <c r="K89" s="53"/>
    </row>
    <row r="90" spans="1:15">
      <c r="A90" s="6" t="s">
        <v>489</v>
      </c>
      <c r="B90" s="617">
        <f>+'New Tables 168-184'!B473</f>
        <v>0</v>
      </c>
      <c r="C90" s="27">
        <f>+'New Tables 168-184'!O473</f>
        <v>0</v>
      </c>
      <c r="D90" s="617">
        <f>+'New Tables 168-184'!B505</f>
        <v>0</v>
      </c>
      <c r="E90" s="27">
        <f>+'New Tables 168-184'!O505</f>
        <v>0</v>
      </c>
      <c r="F90" s="617">
        <f>+'New Tables 168-184'!B537</f>
        <v>0</v>
      </c>
      <c r="G90" s="27">
        <f>+'New Tables 168-184'!O537</f>
        <v>0</v>
      </c>
      <c r="H90" s="617">
        <f>+'New Tables 168-184'!B441</f>
        <v>0</v>
      </c>
      <c r="I90" s="86">
        <f>+'New Tables 168-184'!O441</f>
        <v>0</v>
      </c>
      <c r="K90" s="53"/>
    </row>
    <row r="91" spans="1:15" s="83" customFormat="1" ht="12.75">
      <c r="A91" s="82"/>
      <c r="B91" s="617"/>
      <c r="C91" s="27"/>
      <c r="D91" s="617"/>
      <c r="E91" s="27"/>
      <c r="F91" s="617"/>
      <c r="G91" s="27"/>
      <c r="H91" s="617"/>
      <c r="I91" s="86"/>
      <c r="K91" s="84"/>
      <c r="M91" s="139"/>
      <c r="O91" s="129"/>
    </row>
    <row r="92" spans="1:15">
      <c r="A92" s="6" t="s">
        <v>490</v>
      </c>
      <c r="B92" s="617">
        <f>+'New Tables 168-184'!B475</f>
        <v>0</v>
      </c>
      <c r="C92" s="27">
        <f>+'New Tables 168-184'!O475</f>
        <v>0</v>
      </c>
      <c r="D92" s="617">
        <f>+'New Tables 168-184'!B507</f>
        <v>36905.217244990548</v>
      </c>
      <c r="E92" s="27">
        <f>+'New Tables 168-184'!O507</f>
        <v>33.943471498880804</v>
      </c>
      <c r="F92" s="617">
        <f>+'New Tables 168-184'!B539</f>
        <v>0</v>
      </c>
      <c r="G92" s="27">
        <f>+'New Tables 168-184'!O539</f>
        <v>0</v>
      </c>
      <c r="H92" s="617">
        <f>+'New Tables 168-184'!B443</f>
        <v>36905.217244990548</v>
      </c>
      <c r="I92" s="86">
        <f>+'New Tables 168-184'!O443</f>
        <v>33.943471498880804</v>
      </c>
      <c r="K92" s="53"/>
    </row>
    <row r="93" spans="1:15">
      <c r="A93" s="6" t="s">
        <v>491</v>
      </c>
      <c r="B93" s="617">
        <f>+'New Tables 168-184'!B476</f>
        <v>0</v>
      </c>
      <c r="C93" s="27">
        <f>+'New Tables 168-184'!O476</f>
        <v>0</v>
      </c>
      <c r="D93" s="617">
        <f>+'New Tables 168-184'!B508</f>
        <v>0</v>
      </c>
      <c r="E93" s="27">
        <f>+'New Tables 168-184'!O508</f>
        <v>0</v>
      </c>
      <c r="F93" s="617">
        <f>+'New Tables 168-184'!B540</f>
        <v>0</v>
      </c>
      <c r="G93" s="27">
        <f>+'New Tables 168-184'!O540</f>
        <v>0</v>
      </c>
      <c r="H93" s="617">
        <f>+'New Tables 168-184'!B444</f>
        <v>0</v>
      </c>
      <c r="I93" s="86">
        <f>+'New Tables 168-184'!O444</f>
        <v>0</v>
      </c>
      <c r="K93" s="53"/>
    </row>
    <row r="94" spans="1:15">
      <c r="A94" s="6" t="s">
        <v>492</v>
      </c>
      <c r="B94" s="617">
        <f>+'New Tables 168-184'!B477</f>
        <v>0</v>
      </c>
      <c r="C94" s="27">
        <f>+'New Tables 168-184'!O477</f>
        <v>0</v>
      </c>
      <c r="D94" s="617">
        <f>+'New Tables 168-184'!B509</f>
        <v>0</v>
      </c>
      <c r="E94" s="27">
        <f>+'New Tables 168-184'!O509</f>
        <v>0</v>
      </c>
      <c r="F94" s="617">
        <f>+'New Tables 168-184'!B541</f>
        <v>0</v>
      </c>
      <c r="G94" s="27">
        <f>+'New Tables 168-184'!O541</f>
        <v>0</v>
      </c>
      <c r="H94" s="617">
        <f>+'New Tables 168-184'!B445</f>
        <v>0</v>
      </c>
      <c r="I94" s="86">
        <f>+'New Tables 168-184'!O445</f>
        <v>0</v>
      </c>
      <c r="K94" s="53"/>
    </row>
    <row r="95" spans="1:15">
      <c r="A95" s="81" t="s">
        <v>493</v>
      </c>
      <c r="B95" s="618">
        <f>+'New Tables 168-184'!B478</f>
        <v>0</v>
      </c>
      <c r="C95" s="29">
        <f>+'New Tables 168-184'!O478</f>
        <v>0</v>
      </c>
      <c r="D95" s="618">
        <f>+'New Tables 168-184'!B510</f>
        <v>0</v>
      </c>
      <c r="E95" s="29">
        <f>+'New Tables 168-184'!O510</f>
        <v>0</v>
      </c>
      <c r="F95" s="618">
        <f>+'New Tables 168-184'!B542</f>
        <v>0</v>
      </c>
      <c r="G95" s="29">
        <f>+'New Tables 168-184'!O542</f>
        <v>0</v>
      </c>
      <c r="H95" s="618">
        <f>+'New Tables 168-184'!B446</f>
        <v>0</v>
      </c>
      <c r="I95" s="115">
        <f>+'New Tables 168-184'!O446</f>
        <v>0</v>
      </c>
      <c r="K95" s="53"/>
    </row>
    <row r="96" spans="1:15">
      <c r="I96" s="637" t="s">
        <v>1321</v>
      </c>
      <c r="K96" s="53"/>
    </row>
  </sheetData>
  <mergeCells count="20">
    <mergeCell ref="A1:O1"/>
    <mergeCell ref="A65:I65"/>
    <mergeCell ref="A33:M33"/>
    <mergeCell ref="F6:G6"/>
    <mergeCell ref="N7:O7"/>
    <mergeCell ref="J7:K7"/>
    <mergeCell ref="L7:M7"/>
    <mergeCell ref="A3:O3"/>
    <mergeCell ref="A4:O4"/>
    <mergeCell ref="A5:O5"/>
    <mergeCell ref="A37:M37"/>
    <mergeCell ref="A69:I69"/>
    <mergeCell ref="A68:I68"/>
    <mergeCell ref="A67:I67"/>
    <mergeCell ref="A35:M35"/>
    <mergeCell ref="B7:C7"/>
    <mergeCell ref="D7:E7"/>
    <mergeCell ref="F7:G7"/>
    <mergeCell ref="H7:I7"/>
    <mergeCell ref="A36:M36"/>
  </mergeCells>
  <phoneticPr fontId="12" type="noConversion"/>
  <conditionalFormatting sqref="I96">
    <cfRule type="cellIs" dxfId="919" priority="57" stopIfTrue="1" operator="lessThan">
      <formula>0.1</formula>
    </cfRule>
  </conditionalFormatting>
  <conditionalFormatting sqref="M64">
    <cfRule type="cellIs" dxfId="918" priority="56" stopIfTrue="1" operator="lessThan">
      <formula>0.1</formula>
    </cfRule>
  </conditionalFormatting>
  <conditionalFormatting sqref="O32">
    <cfRule type="cellIs" dxfId="917" priority="55" stopIfTrue="1" operator="lessThan">
      <formula>0.1</formula>
    </cfRule>
  </conditionalFormatting>
  <conditionalFormatting sqref="O32">
    <cfRule type="cellIs" dxfId="916" priority="54" stopIfTrue="1" operator="lessThan">
      <formula>0.1</formula>
    </cfRule>
  </conditionalFormatting>
  <conditionalFormatting sqref="M64">
    <cfRule type="cellIs" dxfId="915" priority="53" stopIfTrue="1" operator="lessThan">
      <formula>0.1</formula>
    </cfRule>
  </conditionalFormatting>
  <conditionalFormatting sqref="I96">
    <cfRule type="cellIs" dxfId="914" priority="52" stopIfTrue="1" operator="lessThan">
      <formula>0.1</formula>
    </cfRule>
  </conditionalFormatting>
  <conditionalFormatting sqref="O32">
    <cfRule type="cellIs" dxfId="913" priority="51" stopIfTrue="1" operator="lessThan">
      <formula>0.1</formula>
    </cfRule>
  </conditionalFormatting>
  <conditionalFormatting sqref="M64">
    <cfRule type="cellIs" dxfId="912" priority="50" stopIfTrue="1" operator="lessThan">
      <formula>0.1</formula>
    </cfRule>
  </conditionalFormatting>
  <conditionalFormatting sqref="I96">
    <cfRule type="cellIs" dxfId="911" priority="49" stopIfTrue="1" operator="lessThan">
      <formula>0.1</formula>
    </cfRule>
  </conditionalFormatting>
  <conditionalFormatting sqref="O32">
    <cfRule type="cellIs" dxfId="910" priority="48" stopIfTrue="1" operator="lessThan">
      <formula>0.1</formula>
    </cfRule>
  </conditionalFormatting>
  <conditionalFormatting sqref="O32">
    <cfRule type="cellIs" dxfId="909" priority="47" stopIfTrue="1" operator="lessThan">
      <formula>0.1</formula>
    </cfRule>
  </conditionalFormatting>
  <conditionalFormatting sqref="O32">
    <cfRule type="cellIs" dxfId="908" priority="46" stopIfTrue="1" operator="lessThan">
      <formula>0.1</formula>
    </cfRule>
  </conditionalFormatting>
  <conditionalFormatting sqref="O32">
    <cfRule type="cellIs" dxfId="907" priority="45" stopIfTrue="1" operator="lessThan">
      <formula>0.1</formula>
    </cfRule>
  </conditionalFormatting>
  <conditionalFormatting sqref="O32">
    <cfRule type="cellIs" dxfId="906" priority="44" stopIfTrue="1" operator="lessThan">
      <formula>0.1</formula>
    </cfRule>
  </conditionalFormatting>
  <conditionalFormatting sqref="O32">
    <cfRule type="cellIs" dxfId="905" priority="43" stopIfTrue="1" operator="lessThan">
      <formula>0.1</formula>
    </cfRule>
  </conditionalFormatting>
  <conditionalFormatting sqref="O32">
    <cfRule type="cellIs" dxfId="904" priority="42" stopIfTrue="1" operator="lessThan">
      <formula>0.1</formula>
    </cfRule>
  </conditionalFormatting>
  <conditionalFormatting sqref="O32">
    <cfRule type="cellIs" dxfId="903" priority="41" stopIfTrue="1" operator="lessThan">
      <formula>0.1</formula>
    </cfRule>
  </conditionalFormatting>
  <conditionalFormatting sqref="O32">
    <cfRule type="cellIs" dxfId="902" priority="40" stopIfTrue="1" operator="lessThan">
      <formula>0.1</formula>
    </cfRule>
  </conditionalFormatting>
  <conditionalFormatting sqref="O32">
    <cfRule type="cellIs" dxfId="901" priority="39" stopIfTrue="1" operator="lessThan">
      <formula>0.1</formula>
    </cfRule>
  </conditionalFormatting>
  <conditionalFormatting sqref="O32">
    <cfRule type="cellIs" dxfId="900" priority="38" stopIfTrue="1" operator="lessThan">
      <formula>0.1</formula>
    </cfRule>
  </conditionalFormatting>
  <conditionalFormatting sqref="O32">
    <cfRule type="cellIs" dxfId="899" priority="37" stopIfTrue="1" operator="lessThan">
      <formula>0.1</formula>
    </cfRule>
  </conditionalFormatting>
  <conditionalFormatting sqref="O32">
    <cfRule type="cellIs" dxfId="898" priority="36" stopIfTrue="1" operator="lessThan">
      <formula>0.1</formula>
    </cfRule>
  </conditionalFormatting>
  <conditionalFormatting sqref="O32">
    <cfRule type="cellIs" dxfId="897" priority="35" stopIfTrue="1" operator="lessThan">
      <formula>0.1</formula>
    </cfRule>
  </conditionalFormatting>
  <conditionalFormatting sqref="O32">
    <cfRule type="cellIs" dxfId="896" priority="34" stopIfTrue="1" operator="lessThan">
      <formula>0.1</formula>
    </cfRule>
  </conditionalFormatting>
  <conditionalFormatting sqref="O32">
    <cfRule type="cellIs" dxfId="895" priority="33" stopIfTrue="1" operator="lessThan">
      <formula>0.1</formula>
    </cfRule>
  </conditionalFormatting>
  <conditionalFormatting sqref="M64">
    <cfRule type="cellIs" dxfId="894" priority="32" stopIfTrue="1" operator="lessThan">
      <formula>0.1</formula>
    </cfRule>
  </conditionalFormatting>
  <conditionalFormatting sqref="M64">
    <cfRule type="cellIs" dxfId="893" priority="31" stopIfTrue="1" operator="lessThan">
      <formula>0.1</formula>
    </cfRule>
  </conditionalFormatting>
  <conditionalFormatting sqref="M64">
    <cfRule type="cellIs" dxfId="892" priority="30" stopIfTrue="1" operator="lessThan">
      <formula>0.1</formula>
    </cfRule>
  </conditionalFormatting>
  <conditionalFormatting sqref="M64">
    <cfRule type="cellIs" dxfId="891" priority="29" stopIfTrue="1" operator="lessThan">
      <formula>0.1</formula>
    </cfRule>
  </conditionalFormatting>
  <conditionalFormatting sqref="M64">
    <cfRule type="cellIs" dxfId="890" priority="28" stopIfTrue="1" operator="lessThan">
      <formula>0.1</formula>
    </cfRule>
  </conditionalFormatting>
  <conditionalFormatting sqref="M64">
    <cfRule type="cellIs" dxfId="889" priority="27" stopIfTrue="1" operator="lessThan">
      <formula>0.1</formula>
    </cfRule>
  </conditionalFormatting>
  <conditionalFormatting sqref="M64">
    <cfRule type="cellIs" dxfId="888" priority="26" stopIfTrue="1" operator="lessThan">
      <formula>0.1</formula>
    </cfRule>
  </conditionalFormatting>
  <conditionalFormatting sqref="M64">
    <cfRule type="cellIs" dxfId="887" priority="25" stopIfTrue="1" operator="lessThan">
      <formula>0.1</formula>
    </cfRule>
  </conditionalFormatting>
  <conditionalFormatting sqref="M64">
    <cfRule type="cellIs" dxfId="886" priority="24" stopIfTrue="1" operator="lessThan">
      <formula>0.1</formula>
    </cfRule>
  </conditionalFormatting>
  <conditionalFormatting sqref="M64">
    <cfRule type="cellIs" dxfId="885" priority="23" stopIfTrue="1" operator="lessThan">
      <formula>0.1</formula>
    </cfRule>
  </conditionalFormatting>
  <conditionalFormatting sqref="M64">
    <cfRule type="cellIs" dxfId="884" priority="22" stopIfTrue="1" operator="lessThan">
      <formula>0.1</formula>
    </cfRule>
  </conditionalFormatting>
  <conditionalFormatting sqref="M64">
    <cfRule type="cellIs" dxfId="883" priority="21" stopIfTrue="1" operator="lessThan">
      <formula>0.1</formula>
    </cfRule>
  </conditionalFormatting>
  <conditionalFormatting sqref="M64">
    <cfRule type="cellIs" dxfId="882" priority="20" stopIfTrue="1" operator="lessThan">
      <formula>0.1</formula>
    </cfRule>
  </conditionalFormatting>
  <conditionalFormatting sqref="M64">
    <cfRule type="cellIs" dxfId="881" priority="19" stopIfTrue="1" operator="lessThan">
      <formula>0.1</formula>
    </cfRule>
  </conditionalFormatting>
  <conditionalFormatting sqref="M64">
    <cfRule type="cellIs" dxfId="880" priority="18" stopIfTrue="1" operator="lessThan">
      <formula>0.1</formula>
    </cfRule>
  </conditionalFormatting>
  <conditionalFormatting sqref="M64">
    <cfRule type="cellIs" dxfId="879" priority="17" stopIfTrue="1" operator="lessThan">
      <formula>0.1</formula>
    </cfRule>
  </conditionalFormatting>
  <conditionalFormatting sqref="I96">
    <cfRule type="cellIs" dxfId="878" priority="16" stopIfTrue="1" operator="lessThan">
      <formula>0.1</formula>
    </cfRule>
  </conditionalFormatting>
  <conditionalFormatting sqref="I96">
    <cfRule type="cellIs" dxfId="877" priority="15" stopIfTrue="1" operator="lessThan">
      <formula>0.1</formula>
    </cfRule>
  </conditionalFormatting>
  <conditionalFormatting sqref="I96">
    <cfRule type="cellIs" dxfId="876" priority="14" stopIfTrue="1" operator="lessThan">
      <formula>0.1</formula>
    </cfRule>
  </conditionalFormatting>
  <conditionalFormatting sqref="I96">
    <cfRule type="cellIs" dxfId="875" priority="13" stopIfTrue="1" operator="lessThan">
      <formula>0.1</formula>
    </cfRule>
  </conditionalFormatting>
  <conditionalFormatting sqref="I96">
    <cfRule type="cellIs" dxfId="874" priority="12" stopIfTrue="1" operator="lessThan">
      <formula>0.1</formula>
    </cfRule>
  </conditionalFormatting>
  <conditionalFormatting sqref="I96">
    <cfRule type="cellIs" dxfId="873" priority="11" stopIfTrue="1" operator="lessThan">
      <formula>0.1</formula>
    </cfRule>
  </conditionalFormatting>
  <conditionalFormatting sqref="I96">
    <cfRule type="cellIs" dxfId="872" priority="10" stopIfTrue="1" operator="lessThan">
      <formula>0.1</formula>
    </cfRule>
  </conditionalFormatting>
  <conditionalFormatting sqref="I96">
    <cfRule type="cellIs" dxfId="871" priority="9" stopIfTrue="1" operator="lessThan">
      <formula>0.1</formula>
    </cfRule>
  </conditionalFormatting>
  <conditionalFormatting sqref="I96">
    <cfRule type="cellIs" dxfId="870" priority="8" stopIfTrue="1" operator="lessThan">
      <formula>0.1</formula>
    </cfRule>
  </conditionalFormatting>
  <conditionalFormatting sqref="I96">
    <cfRule type="cellIs" dxfId="869" priority="7" stopIfTrue="1" operator="lessThan">
      <formula>0.1</formula>
    </cfRule>
  </conditionalFormatting>
  <conditionalFormatting sqref="I96">
    <cfRule type="cellIs" dxfId="868" priority="6" stopIfTrue="1" operator="lessThan">
      <formula>0.1</formula>
    </cfRule>
  </conditionalFormatting>
  <conditionalFormatting sqref="I96">
    <cfRule type="cellIs" dxfId="867" priority="5" stopIfTrue="1" operator="lessThan">
      <formula>0.1</formula>
    </cfRule>
  </conditionalFormatting>
  <conditionalFormatting sqref="I96">
    <cfRule type="cellIs" dxfId="866" priority="4" stopIfTrue="1" operator="lessThan">
      <formula>0.1</formula>
    </cfRule>
  </conditionalFormatting>
  <conditionalFormatting sqref="I96">
    <cfRule type="cellIs" dxfId="865" priority="3" stopIfTrue="1" operator="lessThan">
      <formula>0.1</formula>
    </cfRule>
  </conditionalFormatting>
  <conditionalFormatting sqref="I96">
    <cfRule type="cellIs" dxfId="864" priority="2" stopIfTrue="1" operator="lessThan">
      <formula>0.1</formula>
    </cfRule>
  </conditionalFormatting>
  <conditionalFormatting sqref="I96">
    <cfRule type="cellIs" dxfId="863" priority="1" stopIfTrue="1" operator="lessThan">
      <formula>0.1</formula>
    </cfRule>
  </conditionalFormatting>
  <pageMargins left="0.5" right="0.5" top="1" bottom="0.8" header="0.75" footer="0.5"/>
  <pageSetup firstPageNumber="205" orientation="landscape" useFirstPageNumber="1" r:id="rId1"/>
  <headerFooter alignWithMargins="0">
    <oddHeader>&amp;R&amp;"Arial,Regular"&amp;8SREB-State Data Exchange</oddHeader>
    <oddFooter>&amp;C&amp;"Arial,Regular"&amp;10&amp;P</oddFooter>
  </headerFooter>
  <rowBreaks count="2" manualBreakCount="2">
    <brk id="32" max="14" man="1"/>
    <brk id="64" max="14" man="1"/>
  </rowBreaks>
</worksheet>
</file>

<file path=xl/worksheets/sheet4.xml><?xml version="1.0" encoding="utf-8"?>
<worksheet xmlns="http://schemas.openxmlformats.org/spreadsheetml/2006/main" xmlns:r="http://schemas.openxmlformats.org/officeDocument/2006/relationships">
  <sheetPr>
    <tabColor theme="5" tint="0.59999389629810485"/>
  </sheetPr>
  <dimension ref="A1:U96"/>
  <sheetViews>
    <sheetView showGridLines="0" showZeros="0" view="pageBreakPreview" zoomScaleNormal="75" zoomScaleSheetLayoutView="100" workbookViewId="0">
      <selection activeCell="O32" sqref="O32"/>
    </sheetView>
  </sheetViews>
  <sheetFormatPr defaultColWidth="9" defaultRowHeight="15"/>
  <cols>
    <col min="1" max="1" width="12.375" style="36" customWidth="1"/>
    <col min="2" max="2" width="8.625" style="36" customWidth="1"/>
    <col min="3" max="3" width="6.25" style="36" customWidth="1"/>
    <col min="4" max="4" width="8.5" style="36" customWidth="1"/>
    <col min="5" max="5" width="7.5" style="36" bestFit="1" customWidth="1"/>
    <col min="6" max="6" width="8.5" style="36" customWidth="1"/>
    <col min="7" max="7" width="6.375" style="36" customWidth="1"/>
    <col min="8" max="8" width="8.5" style="36" customWidth="1"/>
    <col min="9" max="9" width="6.375" style="123" customWidth="1"/>
    <col min="10" max="10" width="8.5" style="36" customWidth="1"/>
    <col min="11" max="11" width="6.375" style="36" customWidth="1"/>
    <col min="12" max="12" width="8.5" style="36" customWidth="1"/>
    <col min="13" max="13" width="7.25" style="135" customWidth="1"/>
    <col min="14" max="14" width="9" style="36"/>
    <col min="15" max="15" width="6.375" style="123" customWidth="1"/>
    <col min="16" max="16384" width="9" style="36"/>
  </cols>
  <sheetData>
    <row r="1" spans="1:20" ht="18">
      <c r="A1" s="647" t="s">
        <v>1097</v>
      </c>
      <c r="B1" s="647"/>
      <c r="C1" s="647"/>
      <c r="D1" s="647"/>
      <c r="E1" s="647"/>
      <c r="F1" s="647"/>
      <c r="G1" s="647"/>
      <c r="H1" s="647"/>
      <c r="I1" s="647"/>
      <c r="J1" s="647"/>
      <c r="K1" s="647"/>
      <c r="L1" s="647"/>
      <c r="M1" s="647"/>
      <c r="N1" s="647"/>
      <c r="O1" s="647"/>
    </row>
    <row r="2" spans="1:20">
      <c r="A2" s="37"/>
      <c r="B2" s="38"/>
      <c r="C2" s="38"/>
      <c r="D2" s="38"/>
      <c r="E2" s="38"/>
      <c r="F2" s="38"/>
      <c r="G2" s="38"/>
      <c r="H2" s="38"/>
      <c r="I2" s="130"/>
      <c r="J2" s="38"/>
      <c r="K2" s="38"/>
      <c r="L2" s="38"/>
      <c r="M2" s="130"/>
    </row>
    <row r="3" spans="1:20" ht="15.75">
      <c r="A3" s="640" t="s">
        <v>466</v>
      </c>
      <c r="B3" s="640"/>
      <c r="C3" s="640"/>
      <c r="D3" s="640"/>
      <c r="E3" s="640"/>
      <c r="F3" s="640"/>
      <c r="G3" s="640"/>
      <c r="H3" s="640"/>
      <c r="I3" s="640"/>
      <c r="J3" s="640"/>
      <c r="K3" s="640"/>
      <c r="L3" s="640"/>
      <c r="M3" s="640"/>
      <c r="N3" s="640"/>
      <c r="O3" s="640"/>
    </row>
    <row r="4" spans="1:20" ht="15.75">
      <c r="A4" s="652" t="s">
        <v>13</v>
      </c>
      <c r="B4" s="652"/>
      <c r="C4" s="652"/>
      <c r="D4" s="652"/>
      <c r="E4" s="652"/>
      <c r="F4" s="652"/>
      <c r="G4" s="652"/>
      <c r="H4" s="652"/>
      <c r="I4" s="652"/>
      <c r="J4" s="652"/>
      <c r="K4" s="652"/>
      <c r="L4" s="652"/>
      <c r="M4" s="652"/>
      <c r="N4" s="652"/>
      <c r="O4" s="652"/>
    </row>
    <row r="5" spans="1:20" ht="15.75">
      <c r="A5" s="652" t="s">
        <v>1062</v>
      </c>
      <c r="B5" s="652"/>
      <c r="C5" s="652"/>
      <c r="D5" s="652"/>
      <c r="E5" s="652"/>
      <c r="F5" s="652"/>
      <c r="G5" s="652"/>
      <c r="H5" s="652"/>
      <c r="I5" s="652"/>
      <c r="J5" s="652"/>
      <c r="K5" s="652"/>
      <c r="L5" s="652"/>
      <c r="M5" s="652"/>
      <c r="N5" s="652"/>
      <c r="O5" s="652"/>
    </row>
    <row r="6" spans="1:20" ht="15.75" customHeight="1">
      <c r="A6" s="37"/>
      <c r="B6" s="38"/>
      <c r="C6" s="38"/>
      <c r="D6" s="38"/>
      <c r="E6" s="38"/>
      <c r="F6" s="648"/>
      <c r="G6" s="649"/>
      <c r="H6" s="38"/>
      <c r="I6" s="130"/>
      <c r="J6" s="38"/>
      <c r="K6" s="38"/>
      <c r="L6" s="38"/>
      <c r="M6" s="130"/>
    </row>
    <row r="7" spans="1:20">
      <c r="A7" s="39"/>
      <c r="B7" s="643" t="s">
        <v>467</v>
      </c>
      <c r="C7" s="644"/>
      <c r="D7" s="643" t="s">
        <v>468</v>
      </c>
      <c r="E7" s="644"/>
      <c r="F7" s="645" t="s">
        <v>469</v>
      </c>
      <c r="G7" s="646"/>
      <c r="H7" s="643" t="s">
        <v>470</v>
      </c>
      <c r="I7" s="644"/>
      <c r="J7" s="643" t="s">
        <v>471</v>
      </c>
      <c r="K7" s="644"/>
      <c r="L7" s="650" t="s">
        <v>472</v>
      </c>
      <c r="M7" s="651"/>
      <c r="N7" s="650" t="s">
        <v>698</v>
      </c>
      <c r="O7" s="651"/>
      <c r="T7" s="5"/>
    </row>
    <row r="8" spans="1:20" ht="14.1" customHeight="1">
      <c r="A8" s="40"/>
      <c r="B8" s="2" t="s">
        <v>473</v>
      </c>
      <c r="C8" s="8" t="s">
        <v>18</v>
      </c>
      <c r="D8" s="2" t="s">
        <v>473</v>
      </c>
      <c r="E8" s="8" t="s">
        <v>18</v>
      </c>
      <c r="F8" s="9" t="s">
        <v>473</v>
      </c>
      <c r="G8" s="10" t="s">
        <v>18</v>
      </c>
      <c r="H8" s="2" t="s">
        <v>473</v>
      </c>
      <c r="I8" s="140" t="s">
        <v>18</v>
      </c>
      <c r="J8" s="2" t="s">
        <v>473</v>
      </c>
      <c r="K8" s="11" t="s">
        <v>18</v>
      </c>
      <c r="L8" s="21" t="s">
        <v>473</v>
      </c>
      <c r="M8" s="124"/>
      <c r="N8" s="21" t="s">
        <v>473</v>
      </c>
      <c r="O8" s="124"/>
      <c r="T8" s="5"/>
    </row>
    <row r="9" spans="1:20" ht="14.1" customHeight="1">
      <c r="A9" s="40"/>
      <c r="B9" s="4" t="s">
        <v>474</v>
      </c>
      <c r="C9" s="10" t="s">
        <v>475</v>
      </c>
      <c r="D9" s="4" t="s">
        <v>474</v>
      </c>
      <c r="E9" s="10" t="s">
        <v>475</v>
      </c>
      <c r="F9" s="4" t="s">
        <v>474</v>
      </c>
      <c r="G9" s="10" t="s">
        <v>475</v>
      </c>
      <c r="H9" s="4" t="s">
        <v>474</v>
      </c>
      <c r="I9" s="141" t="s">
        <v>475</v>
      </c>
      <c r="J9" s="4" t="s">
        <v>474</v>
      </c>
      <c r="K9" s="12" t="s">
        <v>475</v>
      </c>
      <c r="L9" s="22" t="s">
        <v>474</v>
      </c>
      <c r="M9" s="125" t="s">
        <v>475</v>
      </c>
      <c r="N9" s="22" t="s">
        <v>474</v>
      </c>
      <c r="O9" s="125" t="s">
        <v>475</v>
      </c>
      <c r="T9" s="5"/>
    </row>
    <row r="10" spans="1:20" ht="14.1" customHeight="1">
      <c r="A10" s="44"/>
      <c r="B10" s="18" t="s">
        <v>476</v>
      </c>
      <c r="C10" s="19" t="s">
        <v>477</v>
      </c>
      <c r="D10" s="18" t="s">
        <v>476</v>
      </c>
      <c r="E10" s="19" t="s">
        <v>477</v>
      </c>
      <c r="F10" s="18" t="s">
        <v>476</v>
      </c>
      <c r="G10" s="19" t="s">
        <v>477</v>
      </c>
      <c r="H10" s="18" t="s">
        <v>476</v>
      </c>
      <c r="I10" s="142" t="s">
        <v>477</v>
      </c>
      <c r="J10" s="18" t="s">
        <v>476</v>
      </c>
      <c r="K10" s="20" t="s">
        <v>477</v>
      </c>
      <c r="L10" s="23" t="s">
        <v>476</v>
      </c>
      <c r="M10" s="126" t="s">
        <v>477</v>
      </c>
      <c r="N10" s="23" t="s">
        <v>476</v>
      </c>
      <c r="O10" s="126" t="s">
        <v>477</v>
      </c>
      <c r="T10" s="5"/>
    </row>
    <row r="11" spans="1:20">
      <c r="A11" s="13" t="s">
        <v>478</v>
      </c>
      <c r="B11" s="73">
        <f>+'Old Tables 168-184'!B42</f>
        <v>84009.036482834694</v>
      </c>
      <c r="C11" s="96">
        <f>+'Old Tables 168-184'!O42</f>
        <v>26.08788419201074</v>
      </c>
      <c r="D11" s="73">
        <f>+'Old Tables 168-184'!B74</f>
        <v>75982.479552900986</v>
      </c>
      <c r="E11" s="96">
        <f>+'Old Tables 168-184'!O74</f>
        <v>25.458246630087032</v>
      </c>
      <c r="F11" s="73">
        <f>+'Old Tables 168-184'!B106</f>
        <v>63167.617887218912</v>
      </c>
      <c r="G11" s="96">
        <f>+'Old Tables 168-184'!O106</f>
        <v>27.367196975908936</v>
      </c>
      <c r="H11" s="73">
        <f>+'Old Tables 168-184'!B138</f>
        <v>61660.461744727807</v>
      </c>
      <c r="I11" s="105">
        <f>+'Old Tables 168-184'!O138</f>
        <v>27.93233896175305</v>
      </c>
      <c r="J11" s="73">
        <f>+'Old Tables 168-184'!B171</f>
        <v>58640.492704222183</v>
      </c>
      <c r="K11" s="96">
        <f>+'Old Tables 168-184'!O171</f>
        <v>29.684012550248845</v>
      </c>
      <c r="L11" s="73">
        <f>+'Old Tables 168-184'!B203</f>
        <v>57755.258250489518</v>
      </c>
      <c r="M11" s="105">
        <f>+'Old Tables 168-184'!O203</f>
        <v>28.044128921406585</v>
      </c>
      <c r="N11" s="73">
        <f>+'Old Tables 168-184'!B9</f>
        <v>73458.825806119945</v>
      </c>
      <c r="O11" s="127">
        <f>+'Old Tables 168-184'!O9</f>
        <v>26.683834710392919</v>
      </c>
      <c r="T11" s="5"/>
    </row>
    <row r="12" spans="1:20" ht="15.75" customHeight="1">
      <c r="A12" s="25"/>
      <c r="B12" s="74">
        <f>+'Old Tables 168-184'!B43</f>
        <v>0</v>
      </c>
      <c r="C12" s="27">
        <f>+'Old Tables 168-184'!O43</f>
        <v>0</v>
      </c>
      <c r="D12" s="74">
        <f>+'Old Tables 168-184'!B75</f>
        <v>0</v>
      </c>
      <c r="E12" s="27">
        <f>+'Old Tables 168-184'!O75</f>
        <v>0</v>
      </c>
      <c r="F12" s="74">
        <f>+'Old Tables 168-184'!B107</f>
        <v>0</v>
      </c>
      <c r="G12" s="27">
        <f>+'Old Tables 168-184'!O107</f>
        <v>0</v>
      </c>
      <c r="H12" s="74">
        <f>+'Old Tables 168-184'!B139</f>
        <v>0</v>
      </c>
      <c r="I12" s="106">
        <f>+'Old Tables 168-184'!O139</f>
        <v>0</v>
      </c>
      <c r="J12" s="74">
        <f>+'Old Tables 168-184'!B172</f>
        <v>0</v>
      </c>
      <c r="K12" s="27">
        <f>+'Old Tables 168-184'!O172</f>
        <v>0</v>
      </c>
      <c r="L12" s="74">
        <f>+'Old Tables 168-184'!B204</f>
        <v>0</v>
      </c>
      <c r="M12" s="106">
        <f>+'Old Tables 168-184'!O204</f>
        <v>0</v>
      </c>
      <c r="N12" s="74">
        <f>+'Old Tables 168-184'!B10</f>
        <v>0</v>
      </c>
      <c r="O12" s="86">
        <f>+'Old Tables 168-184'!O10</f>
        <v>0</v>
      </c>
      <c r="T12" s="5"/>
    </row>
    <row r="13" spans="1:20">
      <c r="A13" s="6" t="s">
        <v>479</v>
      </c>
      <c r="B13" s="617">
        <f>+'Old Tables 168-184'!B44</f>
        <v>79795.660453619479</v>
      </c>
      <c r="C13" s="27">
        <f>+'Old Tables 168-184'!O44</f>
        <v>32.296236932695592</v>
      </c>
      <c r="D13" s="617">
        <f>+'Old Tables 168-184'!B76</f>
        <v>74941.678860066007</v>
      </c>
      <c r="E13" s="27">
        <f>+'Old Tables 168-184'!O76</f>
        <v>31.698748451162963</v>
      </c>
      <c r="F13" s="617">
        <f>+'Old Tables 168-184'!B108</f>
        <v>61091.586803418802</v>
      </c>
      <c r="G13" s="27">
        <f>+'Old Tables 168-184'!O108</f>
        <v>30.301410489692593</v>
      </c>
      <c r="H13" s="617">
        <f>+'Old Tables 168-184'!B140</f>
        <v>63263.786931221715</v>
      </c>
      <c r="I13" s="106">
        <f>+'Old Tables 168-184'!O140</f>
        <v>29.059676118824761</v>
      </c>
      <c r="J13" s="617">
        <f>+'Old Tables 168-184'!B173</f>
        <v>56072.135406349211</v>
      </c>
      <c r="K13" s="27">
        <f>+'Old Tables 168-184'!O173</f>
        <v>27.023425747326957</v>
      </c>
      <c r="L13" s="617">
        <f>+'Old Tables 168-184'!B205</f>
        <v>68440.106785365861</v>
      </c>
      <c r="M13" s="106">
        <f>+'Old Tables 168-184'!O205</f>
        <v>33.260195421828705</v>
      </c>
      <c r="N13" s="617">
        <f>+'Old Tables 168-184'!B11</f>
        <v>71754.306204442197</v>
      </c>
      <c r="O13" s="86">
        <f>+'Old Tables 168-184'!O11</f>
        <v>31.568365632102974</v>
      </c>
      <c r="T13" s="5"/>
    </row>
    <row r="14" spans="1:20">
      <c r="A14" s="6" t="s">
        <v>480</v>
      </c>
      <c r="B14" s="617">
        <f>+'Old Tables 168-184'!B45</f>
        <v>76750.922739427304</v>
      </c>
      <c r="C14" s="27">
        <f>+'Old Tables 168-184'!O45</f>
        <v>25.332989368540872</v>
      </c>
      <c r="D14" s="617">
        <f>+'Old Tables 168-184'!B77</f>
        <v>0</v>
      </c>
      <c r="E14" s="27">
        <f>+'Old Tables 168-184'!O77</f>
        <v>0</v>
      </c>
      <c r="F14" s="617">
        <f>+'Old Tables 168-184'!B109</f>
        <v>56676.902067578128</v>
      </c>
      <c r="G14" s="27">
        <f>+'Old Tables 168-184'!O109</f>
        <v>27.753293737800249</v>
      </c>
      <c r="H14" s="617">
        <f>+'Old Tables 168-184'!B141</f>
        <v>50929.420572222218</v>
      </c>
      <c r="I14" s="106">
        <f>+'Old Tables 168-184'!O141</f>
        <v>28.099855146708681</v>
      </c>
      <c r="J14" s="617">
        <f>+'Old Tables 168-184'!B174</f>
        <v>49369.912337419351</v>
      </c>
      <c r="K14" s="27">
        <f>+'Old Tables 168-184'!O174</f>
        <v>29.475543273676731</v>
      </c>
      <c r="L14" s="617">
        <f>+'Old Tables 168-184'!B206</f>
        <v>51601.683674430373</v>
      </c>
      <c r="M14" s="106">
        <f>+'Old Tables 168-184'!O206</f>
        <v>29.349753720165733</v>
      </c>
      <c r="N14" s="617">
        <f>+'Old Tables 168-184'!B12</f>
        <v>59792.055882499313</v>
      </c>
      <c r="O14" s="86">
        <f>+'Old Tables 168-184'!O12</f>
        <v>27.371253592352414</v>
      </c>
      <c r="T14" s="5"/>
    </row>
    <row r="15" spans="1:20">
      <c r="A15" s="6" t="s">
        <v>494</v>
      </c>
      <c r="B15" s="617">
        <f>+'Old Tables 168-184'!B46</f>
        <v>98168.273375359713</v>
      </c>
      <c r="C15" s="27">
        <f>+'Old Tables 168-184'!O46</f>
        <v>32.500331702949062</v>
      </c>
      <c r="D15" s="617">
        <f>+'Old Tables 168-184'!B78</f>
        <v>0</v>
      </c>
      <c r="E15" s="27">
        <f>+'Old Tables 168-184'!O78</f>
        <v>0</v>
      </c>
      <c r="F15" s="617">
        <f>+'Old Tables 168-184'!B110</f>
        <v>0</v>
      </c>
      <c r="G15" s="27">
        <f>+'Old Tables 168-184'!O110</f>
        <v>0</v>
      </c>
      <c r="H15" s="617">
        <f>+'Old Tables 168-184'!B142</f>
        <v>66510.541366315796</v>
      </c>
      <c r="I15" s="106">
        <f>+'Old Tables 168-184'!O142</f>
        <v>40.179127967386769</v>
      </c>
      <c r="J15" s="617">
        <f>+'Old Tables 168-184'!B175</f>
        <v>0</v>
      </c>
      <c r="K15" s="27">
        <f>+'Old Tables 168-184'!O175</f>
        <v>0</v>
      </c>
      <c r="L15" s="617">
        <f>+'Old Tables 168-184'!B207</f>
        <v>0</v>
      </c>
      <c r="M15" s="106">
        <f>+'Old Tables 168-184'!O207</f>
        <v>0</v>
      </c>
      <c r="N15" s="617">
        <f>+'Old Tables 168-184'!B13</f>
        <v>93548.481453917047</v>
      </c>
      <c r="O15" s="86">
        <f>+'Old Tables 168-184'!O13</f>
        <v>33.276984652280049</v>
      </c>
      <c r="P15" s="157"/>
      <c r="Q15" s="118"/>
      <c r="T15" s="5"/>
    </row>
    <row r="16" spans="1:20">
      <c r="A16" s="6" t="s">
        <v>481</v>
      </c>
      <c r="B16" s="617">
        <f>+'Old Tables 168-184'!B47</f>
        <v>80136.293242337037</v>
      </c>
      <c r="C16" s="27">
        <f>+'Old Tables 168-184'!O47</f>
        <v>29.083157971018807</v>
      </c>
      <c r="D16" s="617">
        <f>+'Old Tables 168-184'!B79</f>
        <v>68760.949777424903</v>
      </c>
      <c r="E16" s="27">
        <f>+'Old Tables 168-184'!O79</f>
        <v>33.282904292581613</v>
      </c>
      <c r="F16" s="617">
        <f>+'Old Tables 168-184'!B111</f>
        <v>65735.091774832137</v>
      </c>
      <c r="G16" s="27">
        <f>+'Old Tables 168-184'!O111</f>
        <v>30.35504446247068</v>
      </c>
      <c r="H16" s="617">
        <f>+'Old Tables 168-184'!B143</f>
        <v>63330.62202643678</v>
      </c>
      <c r="I16" s="106">
        <f>+'Old Tables 168-184'!O143</f>
        <v>31.300452802715416</v>
      </c>
      <c r="J16" s="617">
        <f>+'Old Tables 168-184'!B176</f>
        <v>0</v>
      </c>
      <c r="K16" s="27">
        <f>+'Old Tables 168-184'!O176</f>
        <v>0</v>
      </c>
      <c r="L16" s="617">
        <f>+'Old Tables 168-184'!B208</f>
        <v>81165.366666666669</v>
      </c>
      <c r="M16" s="106">
        <f>+'Old Tables 168-184'!O208</f>
        <v>27.727069985785992</v>
      </c>
      <c r="N16" s="617">
        <f>+'Old Tables 168-184'!B14</f>
        <v>76316.768813501709</v>
      </c>
      <c r="O16" s="86">
        <f>+'Old Tables 168-184'!O14</f>
        <v>29.6538507431912</v>
      </c>
      <c r="T16" s="5"/>
    </row>
    <row r="17" spans="1:20">
      <c r="A17" s="6"/>
      <c r="B17" s="617">
        <f>+'Old Tables 168-184'!B48</f>
        <v>0</v>
      </c>
      <c r="C17" s="27">
        <f>+'Old Tables 168-184'!O48</f>
        <v>0</v>
      </c>
      <c r="D17" s="617">
        <f>+'Old Tables 168-184'!B80</f>
        <v>0</v>
      </c>
      <c r="E17" s="27">
        <f>+'Old Tables 168-184'!O80</f>
        <v>0</v>
      </c>
      <c r="F17" s="617">
        <f>+'Old Tables 168-184'!B112</f>
        <v>0</v>
      </c>
      <c r="G17" s="27">
        <f>+'Old Tables 168-184'!O112</f>
        <v>0</v>
      </c>
      <c r="H17" s="617">
        <f>+'Old Tables 168-184'!B144</f>
        <v>0</v>
      </c>
      <c r="I17" s="106">
        <f>+'Old Tables 168-184'!O144</f>
        <v>0</v>
      </c>
      <c r="J17" s="617">
        <f>+'Old Tables 168-184'!B177</f>
        <v>0</v>
      </c>
      <c r="K17" s="27">
        <f>+'Old Tables 168-184'!O177</f>
        <v>0</v>
      </c>
      <c r="L17" s="617">
        <f>+'Old Tables 168-184'!B209</f>
        <v>0</v>
      </c>
      <c r="M17" s="106">
        <f>+'Old Tables 168-184'!O209</f>
        <v>0</v>
      </c>
      <c r="N17" s="617"/>
      <c r="O17" s="86"/>
      <c r="T17" s="5"/>
    </row>
    <row r="18" spans="1:20">
      <c r="A18" s="6" t="s">
        <v>482</v>
      </c>
      <c r="B18" s="617">
        <f>+'Old Tables 168-184'!B49</f>
        <v>82608.400718853911</v>
      </c>
      <c r="C18" s="27">
        <f>+'Old Tables 168-184'!O49</f>
        <v>24.894582078308009</v>
      </c>
      <c r="D18" s="617">
        <f>+'Old Tables 168-184'!B81</f>
        <v>107062.63898098159</v>
      </c>
      <c r="E18" s="27">
        <f>+'Old Tables 168-184'!O81</f>
        <v>22.711867394560677</v>
      </c>
      <c r="F18" s="617">
        <f>+'Old Tables 168-184'!B113</f>
        <v>59610.573359830611</v>
      </c>
      <c r="G18" s="27">
        <f>+'Old Tables 168-184'!O113</f>
        <v>26.72447349808068</v>
      </c>
      <c r="H18" s="617">
        <f>+'Old Tables 168-184'!B145</f>
        <v>59928.075391244522</v>
      </c>
      <c r="I18" s="106">
        <f>+'Old Tables 168-184'!O145</f>
        <v>26.822322561359613</v>
      </c>
      <c r="J18" s="617">
        <f>+'Old Tables 168-184'!B178</f>
        <v>56293.851802214027</v>
      </c>
      <c r="K18" s="27">
        <f>+'Old Tables 168-184'!O178</f>
        <v>27.633424390744523</v>
      </c>
      <c r="L18" s="617">
        <f>+'Old Tables 168-184'!B210</f>
        <v>57927.212865053763</v>
      </c>
      <c r="M18" s="106">
        <f>+'Old Tables 168-184'!O210</f>
        <v>26.784911260843856</v>
      </c>
      <c r="N18" s="617">
        <f>+'Old Tables 168-184'!B16</f>
        <v>72787.952532273717</v>
      </c>
      <c r="O18" s="86">
        <f>+'Old Tables 168-184'!O16</f>
        <v>25.258261325254228</v>
      </c>
      <c r="T18" s="5"/>
    </row>
    <row r="19" spans="1:20">
      <c r="A19" s="6" t="s">
        <v>483</v>
      </c>
      <c r="B19" s="617">
        <f>+'Old Tables 168-184'!B50</f>
        <v>78918.481451703221</v>
      </c>
      <c r="C19" s="27">
        <f>+'Old Tables 168-184'!O50</f>
        <v>27.593444057613592</v>
      </c>
      <c r="D19" s="617">
        <f>+'Old Tables 168-184'!B82</f>
        <v>0</v>
      </c>
      <c r="E19" s="27">
        <f>+'Old Tables 168-184'!O82</f>
        <v>0</v>
      </c>
      <c r="F19" s="617">
        <f>+'Old Tables 168-184'!B114</f>
        <v>59428.287017573217</v>
      </c>
      <c r="G19" s="27">
        <f>+'Old Tables 168-184'!O114</f>
        <v>30.91745110432716</v>
      </c>
      <c r="H19" s="617">
        <f>+'Old Tables 168-184'!B146</f>
        <v>62441.87957303031</v>
      </c>
      <c r="I19" s="106">
        <f>+'Old Tables 168-184'!O146</f>
        <v>27.619975904299999</v>
      </c>
      <c r="J19" s="617">
        <f>+'Old Tables 168-184'!B179</f>
        <v>0</v>
      </c>
      <c r="K19" s="27">
        <f>+'Old Tables 168-184'!O179</f>
        <v>0</v>
      </c>
      <c r="L19" s="617">
        <f>+'Old Tables 168-184'!B211</f>
        <v>0</v>
      </c>
      <c r="M19" s="106">
        <f>+'Old Tables 168-184'!O211</f>
        <v>0</v>
      </c>
      <c r="N19" s="617">
        <f>+'Old Tables 168-184'!B17</f>
        <v>68260.838038756556</v>
      </c>
      <c r="O19" s="86">
        <f>+'Old Tables 168-184'!O17</f>
        <v>28.89404798139476</v>
      </c>
      <c r="T19" s="5"/>
    </row>
    <row r="20" spans="1:20">
      <c r="A20" s="6" t="s">
        <v>484</v>
      </c>
      <c r="B20" s="617">
        <f>+'Old Tables 168-184'!B51</f>
        <v>80885.909835555562</v>
      </c>
      <c r="C20" s="27">
        <f>+'Old Tables 168-184'!O51</f>
        <v>22.240471503392023</v>
      </c>
      <c r="D20" s="617">
        <f>+'Old Tables 168-184'!B83</f>
        <v>66682.225266249996</v>
      </c>
      <c r="E20" s="27">
        <f>+'Old Tables 168-184'!O83</f>
        <v>22.477939893245175</v>
      </c>
      <c r="F20" s="617">
        <f>+'Old Tables 168-184'!B115</f>
        <v>58899.918219830899</v>
      </c>
      <c r="G20" s="27">
        <f>+'Old Tables 168-184'!O115</f>
        <v>23.331243397687558</v>
      </c>
      <c r="H20" s="617">
        <f>+'Old Tables 168-184'!B147</f>
        <v>55789.054397960674</v>
      </c>
      <c r="I20" s="106">
        <f>+'Old Tables 168-184'!O147</f>
        <v>23.848467253393661</v>
      </c>
      <c r="J20" s="617">
        <f>+'Old Tables 168-184'!B180</f>
        <v>0</v>
      </c>
      <c r="K20" s="27">
        <f>+'Old Tables 168-184'!O180</f>
        <v>0</v>
      </c>
      <c r="L20" s="617">
        <f>+'Old Tables 168-184'!B212</f>
        <v>0</v>
      </c>
      <c r="M20" s="106">
        <f>+'Old Tables 168-184'!O212</f>
        <v>0</v>
      </c>
      <c r="N20" s="617">
        <f>+'Old Tables 168-184'!B18</f>
        <v>65474.383098579077</v>
      </c>
      <c r="O20" s="86">
        <f>+'Old Tables 168-184'!O18</f>
        <v>22.870709055727957</v>
      </c>
      <c r="T20" s="5"/>
    </row>
    <row r="21" spans="1:20">
      <c r="A21" s="6" t="s">
        <v>485</v>
      </c>
      <c r="B21" s="617">
        <f>+'Old Tables 168-184'!B52</f>
        <v>103615.90642451914</v>
      </c>
      <c r="C21" s="27">
        <f>+'Old Tables 168-184'!O52</f>
        <v>24.117885494740364</v>
      </c>
      <c r="D21" s="617">
        <f>+'Old Tables 168-184'!B84</f>
        <v>82074.193795479165</v>
      </c>
      <c r="E21" s="27">
        <f>+'Old Tables 168-184'!O84</f>
        <v>26.743956327718021</v>
      </c>
      <c r="F21" s="617">
        <f>+'Old Tables 168-184'!B116</f>
        <v>65322.681049986822</v>
      </c>
      <c r="G21" s="27">
        <f>+'Old Tables 168-184'!O116</f>
        <v>32.142050658848078</v>
      </c>
      <c r="H21" s="617">
        <f>+'Old Tables 168-184'!B148</f>
        <v>69855.31716569628</v>
      </c>
      <c r="I21" s="106">
        <f>+'Old Tables 168-184'!O148</f>
        <v>28.02320970582813</v>
      </c>
      <c r="J21" s="617">
        <f>+'Old Tables 168-184'!B181</f>
        <v>0</v>
      </c>
      <c r="K21" s="27">
        <f>+'Old Tables 168-184'!O181</f>
        <v>0</v>
      </c>
      <c r="L21" s="617">
        <f>+'Old Tables 168-184'!B213</f>
        <v>68493.936910489516</v>
      </c>
      <c r="M21" s="106">
        <f>+'Old Tables 168-184'!O213</f>
        <v>0</v>
      </c>
      <c r="N21" s="617">
        <f>+'Old Tables 168-184'!B19</f>
        <v>81158.682618265375</v>
      </c>
      <c r="O21" s="86">
        <f>+'Old Tables 168-184'!O19</f>
        <v>27.182047726241599</v>
      </c>
      <c r="T21" s="5"/>
    </row>
    <row r="22" spans="1:20">
      <c r="A22" s="6"/>
      <c r="B22" s="617">
        <f>+'Old Tables 168-184'!B53</f>
        <v>0</v>
      </c>
      <c r="C22" s="27">
        <f>+'Old Tables 168-184'!O53</f>
        <v>0</v>
      </c>
      <c r="D22" s="617">
        <f>+'Old Tables 168-184'!B85</f>
        <v>0</v>
      </c>
      <c r="E22" s="27">
        <f>+'Old Tables 168-184'!O85</f>
        <v>0</v>
      </c>
      <c r="F22" s="617">
        <f>+'Old Tables 168-184'!B117</f>
        <v>0</v>
      </c>
      <c r="G22" s="27">
        <f>+'Old Tables 168-184'!O117</f>
        <v>0</v>
      </c>
      <c r="H22" s="617">
        <f>+'Old Tables 168-184'!B149</f>
        <v>0</v>
      </c>
      <c r="I22" s="106">
        <f>+'Old Tables 168-184'!O149</f>
        <v>0</v>
      </c>
      <c r="J22" s="617">
        <f>+'Old Tables 168-184'!B182</f>
        <v>0</v>
      </c>
      <c r="K22" s="27">
        <f>+'Old Tables 168-184'!O182</f>
        <v>0</v>
      </c>
      <c r="L22" s="617">
        <f>+'Old Tables 168-184'!B214</f>
        <v>0</v>
      </c>
      <c r="M22" s="106">
        <f>+'Old Tables 168-184'!O214</f>
        <v>0</v>
      </c>
      <c r="N22" s="617"/>
      <c r="O22" s="86"/>
      <c r="T22" s="5"/>
    </row>
    <row r="23" spans="1:20">
      <c r="A23" s="6" t="s">
        <v>486</v>
      </c>
      <c r="B23" s="617">
        <f>+'Old Tables 168-184'!B54</f>
        <v>64519.903135105742</v>
      </c>
      <c r="C23" s="27">
        <f>+'Old Tables 168-184'!O54</f>
        <v>16.921832519974696</v>
      </c>
      <c r="D23" s="617">
        <f>+'Old Tables 168-184'!B86</f>
        <v>65720.434914081998</v>
      </c>
      <c r="E23" s="27">
        <f>+'Old Tables 168-184'!O86</f>
        <v>21.761446450528851</v>
      </c>
      <c r="F23" s="617">
        <f>+'Old Tables 168-184'!B118</f>
        <v>0</v>
      </c>
      <c r="G23" s="27">
        <f>+'Old Tables 168-184'!O118</f>
        <v>0</v>
      </c>
      <c r="H23" s="617">
        <f>+'Old Tables 168-184'!B150</f>
        <v>52593.69050393701</v>
      </c>
      <c r="I23" s="106">
        <f>+'Old Tables 168-184'!O150</f>
        <v>30.302937775329269</v>
      </c>
      <c r="J23" s="617">
        <f>+'Old Tables 168-184'!B183</f>
        <v>48859.633211940294</v>
      </c>
      <c r="K23" s="27">
        <f>+'Old Tables 168-184'!O183</f>
        <v>22.611144910534971</v>
      </c>
      <c r="L23" s="617">
        <f>+'Old Tables 168-184'!B215</f>
        <v>0</v>
      </c>
      <c r="M23" s="106">
        <f>+'Old Tables 168-184'!O215</f>
        <v>0</v>
      </c>
      <c r="N23" s="617">
        <f>+'Old Tables 168-184'!B21</f>
        <v>62528.093971512135</v>
      </c>
      <c r="O23" s="86">
        <f>+'Old Tables 168-184'!O21</f>
        <v>20.488052746083074</v>
      </c>
      <c r="T23" s="5"/>
    </row>
    <row r="24" spans="1:20">
      <c r="A24" s="6" t="s">
        <v>487</v>
      </c>
      <c r="B24" s="617">
        <f>+'Old Tables 168-184'!B55</f>
        <v>96437.632231284908</v>
      </c>
      <c r="C24" s="27">
        <f>+'Old Tables 168-184'!O55</f>
        <v>25.216499427574135</v>
      </c>
      <c r="D24" s="617">
        <f>+'Old Tables 168-184'!B87</f>
        <v>75843.229486846642</v>
      </c>
      <c r="E24" s="27">
        <f>+'Old Tables 168-184'!O87</f>
        <v>26.967359177300938</v>
      </c>
      <c r="F24" s="617">
        <f>+'Old Tables 168-184'!B119</f>
        <v>70724.133567610537</v>
      </c>
      <c r="G24" s="27">
        <f>+'Old Tables 168-184'!O119</f>
        <v>27.401437858641863</v>
      </c>
      <c r="H24" s="617">
        <f>+'Old Tables 168-184'!B151</f>
        <v>67671.400087804868</v>
      </c>
      <c r="I24" s="106">
        <f>+'Old Tables 168-184'!O151</f>
        <v>27.671705182119243</v>
      </c>
      <c r="J24" s="617">
        <f>+'Old Tables 168-184'!B184</f>
        <v>66820.645414886734</v>
      </c>
      <c r="K24" s="27">
        <f>+'Old Tables 168-184'!O184</f>
        <v>26.546877140616747</v>
      </c>
      <c r="L24" s="617">
        <f>+'Old Tables 168-184'!B216</f>
        <v>67893.65016353887</v>
      </c>
      <c r="M24" s="106">
        <f>+'Old Tables 168-184'!O216</f>
        <v>26.4649920166712</v>
      </c>
      <c r="N24" s="617">
        <f>+'Old Tables 168-184'!B22</f>
        <v>79533.217853819646</v>
      </c>
      <c r="O24" s="86">
        <f>+'Old Tables 168-184'!O22</f>
        <v>26.373318832886916</v>
      </c>
      <c r="T24" s="5"/>
    </row>
    <row r="25" spans="1:20">
      <c r="A25" s="6" t="s">
        <v>488</v>
      </c>
      <c r="B25" s="617">
        <f>+'Old Tables 168-184'!B56</f>
        <v>77205.691486159849</v>
      </c>
      <c r="C25" s="27">
        <f>+'Old Tables 168-184'!O56</f>
        <v>36.59299027303738</v>
      </c>
      <c r="D25" s="617">
        <f>+'Old Tables 168-184'!B88</f>
        <v>0</v>
      </c>
      <c r="E25" s="27">
        <f>+'Old Tables 168-184'!O88</f>
        <v>0</v>
      </c>
      <c r="F25" s="617">
        <f>+'Old Tables 168-184'!B120</f>
        <v>58934.905489178622</v>
      </c>
      <c r="G25" s="27">
        <f>+'Old Tables 168-184'!O120</f>
        <v>27.601214091634773</v>
      </c>
      <c r="H25" s="617">
        <f>+'Old Tables 168-184'!B152</f>
        <v>0</v>
      </c>
      <c r="I25" s="106">
        <f>+'Old Tables 168-184'!O152</f>
        <v>0</v>
      </c>
      <c r="J25" s="617">
        <f>+'Old Tables 168-184'!B185</f>
        <v>53402.211972984755</v>
      </c>
      <c r="K25" s="27">
        <f>+'Old Tables 168-184'!O185</f>
        <v>38.182297845460468</v>
      </c>
      <c r="L25" s="617">
        <f>+'Old Tables 168-184'!B217</f>
        <v>48691.569074757281</v>
      </c>
      <c r="M25" s="106">
        <f>+'Old Tables 168-184'!O217</f>
        <v>39.512952394742292</v>
      </c>
      <c r="N25" s="617">
        <f>+'Old Tables 168-184'!B23</f>
        <v>66620.046984630986</v>
      </c>
      <c r="O25" s="86">
        <f>+'Old Tables 168-184'!O23</f>
        <v>35.392578117519434</v>
      </c>
      <c r="T25" s="5"/>
    </row>
    <row r="26" spans="1:20">
      <c r="A26" s="6" t="s">
        <v>489</v>
      </c>
      <c r="B26" s="617">
        <f>+'Old Tables 168-184'!B57</f>
        <v>78863.153531941934</v>
      </c>
      <c r="C26" s="27">
        <f>+'Old Tables 168-184'!O57</f>
        <v>27.94112703398212</v>
      </c>
      <c r="D26" s="617">
        <f>+'Old Tables 168-184'!B89</f>
        <v>0</v>
      </c>
      <c r="E26" s="27">
        <f>+'Old Tables 168-184'!O89</f>
        <v>0</v>
      </c>
      <c r="F26" s="617">
        <f>+'Old Tables 168-184'!B121</f>
        <v>64181.644217113666</v>
      </c>
      <c r="G26" s="27">
        <f>+'Old Tables 168-184'!O121</f>
        <v>33.300907023484164</v>
      </c>
      <c r="H26" s="617">
        <f>+'Old Tables 168-184'!B153</f>
        <v>68583.118604651172</v>
      </c>
      <c r="I26" s="106">
        <f>+'Old Tables 168-184'!O153</f>
        <v>30.702552057650106</v>
      </c>
      <c r="J26" s="617">
        <f>+'Old Tables 168-184'!B186</f>
        <v>60555.275367429334</v>
      </c>
      <c r="K26" s="27">
        <f>+'Old Tables 168-184'!O186</f>
        <v>28.367287256183733</v>
      </c>
      <c r="L26" s="617">
        <f>+'Old Tables 168-184'!B218</f>
        <v>54236.405330785557</v>
      </c>
      <c r="M26" s="106">
        <f>+'Old Tables 168-184'!O218</f>
        <v>30.496756762199833</v>
      </c>
      <c r="N26" s="617">
        <f>+'Old Tables 168-184'!B24</f>
        <v>70066.963346718505</v>
      </c>
      <c r="O26" s="86">
        <f>+'Old Tables 168-184'!O24</f>
        <v>29.230233043749372</v>
      </c>
      <c r="T26" s="5"/>
    </row>
    <row r="27" spans="1:20">
      <c r="A27" s="6"/>
      <c r="B27" s="617">
        <f>+'Old Tables 168-184'!B58</f>
        <v>0</v>
      </c>
      <c r="C27" s="27">
        <f>+'Old Tables 168-184'!O58</f>
        <v>0</v>
      </c>
      <c r="D27" s="617">
        <f>+'Old Tables 168-184'!B90</f>
        <v>0</v>
      </c>
      <c r="E27" s="27">
        <f>+'Old Tables 168-184'!O90</f>
        <v>0</v>
      </c>
      <c r="F27" s="617">
        <f>+'Old Tables 168-184'!B122</f>
        <v>0</v>
      </c>
      <c r="G27" s="27">
        <f>+'Old Tables 168-184'!O122</f>
        <v>0</v>
      </c>
      <c r="H27" s="617">
        <f>+'Old Tables 168-184'!B154</f>
        <v>0</v>
      </c>
      <c r="I27" s="106">
        <f>+'Old Tables 168-184'!O154</f>
        <v>0</v>
      </c>
      <c r="J27" s="617">
        <f>+'Old Tables 168-184'!B187</f>
        <v>0</v>
      </c>
      <c r="K27" s="27">
        <f>+'Old Tables 168-184'!O187</f>
        <v>0</v>
      </c>
      <c r="L27" s="617">
        <f>+'Old Tables 168-184'!B219</f>
        <v>0</v>
      </c>
      <c r="M27" s="106">
        <f>+'Old Tables 168-184'!O219</f>
        <v>0</v>
      </c>
      <c r="N27" s="617"/>
      <c r="O27" s="86"/>
      <c r="T27" s="5"/>
    </row>
    <row r="28" spans="1:20">
      <c r="A28" s="6" t="s">
        <v>490</v>
      </c>
      <c r="B28" s="617">
        <f>+'Old Tables 168-184'!B59</f>
        <v>77017.774593491864</v>
      </c>
      <c r="C28" s="27">
        <f>+'Old Tables 168-184'!O59</f>
        <v>29.368447076756233</v>
      </c>
      <c r="D28" s="617">
        <f>+'Old Tables 168-184'!B91</f>
        <v>0</v>
      </c>
      <c r="E28" s="27">
        <f>+'Old Tables 168-184'!O91</f>
        <v>0</v>
      </c>
      <c r="F28" s="617">
        <f>+'Old Tables 168-184'!B123</f>
        <v>60051.000085348998</v>
      </c>
      <c r="G28" s="27">
        <f>+'Old Tables 168-184'!O123</f>
        <v>34.362449567323949</v>
      </c>
      <c r="H28" s="617">
        <f>+'Old Tables 168-184'!B155</f>
        <v>0</v>
      </c>
      <c r="I28" s="106">
        <f>+'Old Tables 168-184'!O155</f>
        <v>0</v>
      </c>
      <c r="J28" s="617">
        <f>+'Old Tables 168-184'!B188</f>
        <v>57167.812954014604</v>
      </c>
      <c r="K28" s="27">
        <f>+'Old Tables 168-184'!O188</f>
        <v>35.291603079744256</v>
      </c>
      <c r="L28" s="617">
        <f>+'Old Tables 168-184'!B220</f>
        <v>0</v>
      </c>
      <c r="M28" s="106">
        <f>+'Old Tables 168-184'!O220</f>
        <v>0</v>
      </c>
      <c r="N28" s="617">
        <f>+'Old Tables 168-184'!B26</f>
        <v>67217.103449595699</v>
      </c>
      <c r="O28" s="86">
        <f>+'Old Tables 168-184'!O26</f>
        <v>31.949484488767204</v>
      </c>
      <c r="T28" s="159"/>
    </row>
    <row r="29" spans="1:20">
      <c r="A29" s="6" t="s">
        <v>491</v>
      </c>
      <c r="B29" s="617">
        <f>+'Old Tables 168-184'!B60</f>
        <v>87134.146502431191</v>
      </c>
      <c r="C29" s="27">
        <f>+'Old Tables 168-184'!O60</f>
        <v>21.139375227828538</v>
      </c>
      <c r="D29" s="617">
        <f>+'Old Tables 168-184'!B92</f>
        <v>71913.133333333331</v>
      </c>
      <c r="E29" s="27">
        <f>+'Old Tables 168-184'!O92</f>
        <v>23.311577593441889</v>
      </c>
      <c r="F29" s="617">
        <f>+'Old Tables 168-184'!B124</f>
        <v>63656.897633920511</v>
      </c>
      <c r="G29" s="27">
        <f>+'Old Tables 168-184'!O124</f>
        <v>21.006621746789776</v>
      </c>
      <c r="H29" s="617">
        <f>+'Old Tables 168-184'!B156</f>
        <v>67800.679385416661</v>
      </c>
      <c r="I29" s="106">
        <f>+'Old Tables 168-184'!O156</f>
        <v>20.747753633839146</v>
      </c>
      <c r="J29" s="617">
        <f>+'Old Tables 168-184'!B189</f>
        <v>62441.159568965515</v>
      </c>
      <c r="K29" s="27">
        <f>+'Old Tables 168-184'!O189</f>
        <v>23.864079643004192</v>
      </c>
      <c r="L29" s="617">
        <f>+'Old Tables 168-184'!B221</f>
        <v>67833.889730526309</v>
      </c>
      <c r="M29" s="106">
        <f>+'Old Tables 168-184'!O221</f>
        <v>22.656730244799359</v>
      </c>
      <c r="N29" s="617">
        <f>+'Old Tables 168-184'!B27</f>
        <v>76261.234018070681</v>
      </c>
      <c r="O29" s="86">
        <f>+'Old Tables 168-184'!O27</f>
        <v>21.431992869102011</v>
      </c>
    </row>
    <row r="30" spans="1:20">
      <c r="A30" s="6" t="s">
        <v>492</v>
      </c>
      <c r="B30" s="617">
        <f>+'Old Tables 168-184'!B61</f>
        <v>90193.862815430271</v>
      </c>
      <c r="C30" s="27">
        <f>+'Old Tables 168-184'!O61</f>
        <v>26.623900360375313</v>
      </c>
      <c r="D30" s="617">
        <f>+'Old Tables 168-184'!B93</f>
        <v>78891.825942071388</v>
      </c>
      <c r="E30" s="27">
        <f>+'Old Tables 168-184'!O93</f>
        <v>27.586894084747758</v>
      </c>
      <c r="F30" s="617">
        <f>+'Old Tables 168-184'!B125</f>
        <v>67412.517019897947</v>
      </c>
      <c r="G30" s="27">
        <f>+'Old Tables 168-184'!O125</f>
        <v>32.30110508367077</v>
      </c>
      <c r="H30" s="617">
        <f>+'Old Tables 168-184'!B157</f>
        <v>64426.633514511035</v>
      </c>
      <c r="I30" s="106">
        <f>+'Old Tables 168-184'!O157</f>
        <v>30.520390060678377</v>
      </c>
      <c r="J30" s="617">
        <f>+'Old Tables 168-184'!B190</f>
        <v>64979.238374014603</v>
      </c>
      <c r="K30" s="27">
        <f>+'Old Tables 168-184'!O190</f>
        <v>33.237079410570587</v>
      </c>
      <c r="L30" s="617">
        <f>+'Old Tables 168-184'!B222</f>
        <v>56791.451612903227</v>
      </c>
      <c r="M30" s="106">
        <f>+'Old Tables 168-184'!O222</f>
        <v>33.246571707819712</v>
      </c>
      <c r="N30" s="617">
        <f>+'Old Tables 168-184'!B28</f>
        <v>80650.084406453097</v>
      </c>
      <c r="O30" s="86">
        <f>+'Old Tables 168-184'!O28</f>
        <v>28.075973245404068</v>
      </c>
    </row>
    <row r="31" spans="1:20">
      <c r="A31" s="14" t="s">
        <v>493</v>
      </c>
      <c r="B31" s="618">
        <f>+'Old Tables 168-184'!B62</f>
        <v>75774.047674551213</v>
      </c>
      <c r="C31" s="29">
        <f>+'Old Tables 168-184'!O62</f>
        <v>20.910985255950411</v>
      </c>
      <c r="D31" s="618">
        <f>+'Old Tables 168-184'!B94</f>
        <v>0</v>
      </c>
      <c r="E31" s="29">
        <f>+'Old Tables 168-184'!O94</f>
        <v>0</v>
      </c>
      <c r="F31" s="618">
        <f>+'Old Tables 168-184'!B126</f>
        <v>61068.888895095952</v>
      </c>
      <c r="G31" s="29">
        <f>+'Old Tables 168-184'!O126</f>
        <v>24.723610974475648</v>
      </c>
      <c r="H31" s="618">
        <f>+'Old Tables 168-184'!B158</f>
        <v>0</v>
      </c>
      <c r="I31" s="110">
        <f>+'Old Tables 168-184'!O158</f>
        <v>0</v>
      </c>
      <c r="J31" s="618">
        <f>+'Old Tables 168-184'!B191</f>
        <v>58741.739527397265</v>
      </c>
      <c r="K31" s="29">
        <f>+'Old Tables 168-184'!O191</f>
        <v>24.391623470882188</v>
      </c>
      <c r="L31" s="618">
        <f>+'Old Tables 168-184'!B223</f>
        <v>53238.316577192985</v>
      </c>
      <c r="M31" s="110">
        <f>+'Old Tables 168-184'!O223</f>
        <v>24.022628275150382</v>
      </c>
      <c r="N31" s="618">
        <f>+'Old Tables 168-184'!B29</f>
        <v>64924.3900046532</v>
      </c>
      <c r="O31" s="115">
        <f>+'Old Tables 168-184'!O29</f>
        <v>22.690492887487917</v>
      </c>
    </row>
    <row r="32" spans="1:20" ht="15" customHeight="1">
      <c r="A32" s="7"/>
      <c r="B32" s="45"/>
      <c r="C32" s="46"/>
      <c r="D32" s="45"/>
      <c r="E32" s="47"/>
      <c r="F32" s="45"/>
      <c r="G32" s="49"/>
      <c r="K32" s="47"/>
      <c r="L32" s="45"/>
      <c r="M32" s="77"/>
      <c r="O32" s="637" t="s">
        <v>1321</v>
      </c>
    </row>
    <row r="33" spans="1:15" ht="18">
      <c r="A33" s="647" t="s">
        <v>1098</v>
      </c>
      <c r="B33" s="647"/>
      <c r="C33" s="647"/>
      <c r="D33" s="647"/>
      <c r="E33" s="647"/>
      <c r="F33" s="647"/>
      <c r="G33" s="647"/>
      <c r="H33" s="647"/>
      <c r="I33" s="647"/>
      <c r="J33" s="647"/>
      <c r="K33" s="647"/>
      <c r="L33" s="647"/>
      <c r="M33" s="647"/>
      <c r="N33" s="78"/>
      <c r="O33" s="128"/>
    </row>
    <row r="34" spans="1:15" ht="12" customHeight="1">
      <c r="A34" s="42"/>
      <c r="B34" s="66"/>
      <c r="C34" s="42"/>
      <c r="D34" s="42"/>
      <c r="E34" s="42"/>
      <c r="F34" s="42"/>
      <c r="G34" s="48"/>
      <c r="H34" s="48"/>
      <c r="I34" s="143"/>
      <c r="J34" s="48"/>
      <c r="K34" s="48"/>
    </row>
    <row r="35" spans="1:15" ht="15.75">
      <c r="A35" s="642" t="s">
        <v>17</v>
      </c>
      <c r="B35" s="642"/>
      <c r="C35" s="642"/>
      <c r="D35" s="642"/>
      <c r="E35" s="642"/>
      <c r="F35" s="642"/>
      <c r="G35" s="642"/>
      <c r="H35" s="642"/>
      <c r="I35" s="642"/>
      <c r="J35" s="642"/>
      <c r="K35" s="642"/>
      <c r="L35" s="642"/>
      <c r="M35" s="642"/>
    </row>
    <row r="36" spans="1:15" ht="15.75">
      <c r="A36" s="642" t="s">
        <v>16</v>
      </c>
      <c r="B36" s="642"/>
      <c r="C36" s="642"/>
      <c r="D36" s="642"/>
      <c r="E36" s="642"/>
      <c r="F36" s="642"/>
      <c r="G36" s="642"/>
      <c r="H36" s="642"/>
      <c r="I36" s="642"/>
      <c r="J36" s="642"/>
      <c r="K36" s="642"/>
      <c r="L36" s="642"/>
      <c r="M36" s="642"/>
    </row>
    <row r="37" spans="1:15" ht="15.75">
      <c r="A37" s="640" t="s">
        <v>1063</v>
      </c>
      <c r="B37" s="640"/>
      <c r="C37" s="640"/>
      <c r="D37" s="640"/>
      <c r="E37" s="640"/>
      <c r="F37" s="640"/>
      <c r="G37" s="640"/>
      <c r="H37" s="640"/>
      <c r="I37" s="640"/>
      <c r="J37" s="640"/>
      <c r="K37" s="640"/>
      <c r="L37" s="640"/>
      <c r="M37" s="640"/>
    </row>
    <row r="38" spans="1:15" ht="12.75" customHeight="1">
      <c r="A38" s="49"/>
      <c r="B38" s="49"/>
      <c r="C38" s="49"/>
      <c r="D38" s="49"/>
      <c r="E38" s="49"/>
      <c r="F38" s="49"/>
      <c r="G38" s="60"/>
      <c r="H38" s="60"/>
      <c r="I38" s="144"/>
      <c r="J38" s="60"/>
      <c r="K38" s="75"/>
    </row>
    <row r="39" spans="1:15" ht="24">
      <c r="A39" s="13"/>
      <c r="B39" s="61" t="s">
        <v>722</v>
      </c>
      <c r="C39" s="62"/>
      <c r="D39" s="64" t="s">
        <v>723</v>
      </c>
      <c r="E39" s="63"/>
      <c r="F39" s="64" t="s">
        <v>724</v>
      </c>
      <c r="G39" s="68"/>
      <c r="H39" s="26" t="s">
        <v>725</v>
      </c>
      <c r="I39" s="136"/>
      <c r="J39" s="67" t="s">
        <v>36</v>
      </c>
      <c r="K39" s="76"/>
      <c r="L39" s="61" t="s">
        <v>721</v>
      </c>
      <c r="M39" s="136"/>
    </row>
    <row r="40" spans="1:15">
      <c r="A40" s="25"/>
      <c r="B40" s="2" t="s">
        <v>473</v>
      </c>
      <c r="C40" s="8" t="s">
        <v>18</v>
      </c>
      <c r="D40" s="2" t="s">
        <v>473</v>
      </c>
      <c r="E40" s="8" t="s">
        <v>18</v>
      </c>
      <c r="F40" s="9" t="s">
        <v>473</v>
      </c>
      <c r="G40" s="10" t="s">
        <v>18</v>
      </c>
      <c r="H40" s="2" t="s">
        <v>473</v>
      </c>
      <c r="I40" s="124" t="s">
        <v>18</v>
      </c>
      <c r="J40" s="21" t="s">
        <v>473</v>
      </c>
      <c r="K40" s="8" t="s">
        <v>18</v>
      </c>
      <c r="L40" s="2" t="s">
        <v>473</v>
      </c>
      <c r="M40" s="137"/>
    </row>
    <row r="41" spans="1:15">
      <c r="A41" s="51"/>
      <c r="B41" s="9" t="s">
        <v>474</v>
      </c>
      <c r="C41" s="227" t="s">
        <v>475</v>
      </c>
      <c r="D41" s="22" t="s">
        <v>474</v>
      </c>
      <c r="E41" s="227" t="s">
        <v>475</v>
      </c>
      <c r="F41" s="69" t="s">
        <v>474</v>
      </c>
      <c r="G41" s="10" t="s">
        <v>475</v>
      </c>
      <c r="H41" s="9" t="s">
        <v>474</v>
      </c>
      <c r="I41" s="138" t="s">
        <v>475</v>
      </c>
      <c r="J41" s="22" t="s">
        <v>474</v>
      </c>
      <c r="K41" s="10" t="s">
        <v>475</v>
      </c>
      <c r="L41" s="9" t="s">
        <v>474</v>
      </c>
      <c r="M41" s="138" t="s">
        <v>475</v>
      </c>
    </row>
    <row r="42" spans="1:15" ht="15" customHeight="1">
      <c r="A42" s="52"/>
      <c r="B42" s="18" t="s">
        <v>476</v>
      </c>
      <c r="C42" s="17" t="s">
        <v>477</v>
      </c>
      <c r="D42" s="23" t="s">
        <v>476</v>
      </c>
      <c r="E42" s="17" t="s">
        <v>477</v>
      </c>
      <c r="F42" s="70" t="s">
        <v>476</v>
      </c>
      <c r="G42" s="19" t="s">
        <v>477</v>
      </c>
      <c r="H42" s="18" t="s">
        <v>476</v>
      </c>
      <c r="I42" s="131" t="s">
        <v>477</v>
      </c>
      <c r="J42" s="23" t="s">
        <v>476</v>
      </c>
      <c r="K42" s="19" t="s">
        <v>477</v>
      </c>
      <c r="L42" s="18" t="s">
        <v>476</v>
      </c>
      <c r="M42" s="131" t="s">
        <v>477</v>
      </c>
    </row>
    <row r="43" spans="1:15">
      <c r="A43" s="13" t="s">
        <v>478</v>
      </c>
      <c r="B43" s="73">
        <f>+'Old Tables 168-184'!B267</f>
        <v>54175.924906059598</v>
      </c>
      <c r="C43" s="96">
        <f>+'Old Tables 168-184'!O267</f>
        <v>29.509884056127479</v>
      </c>
      <c r="D43" s="73">
        <f>+'Old Tables 168-184'!B298</f>
        <v>53785.728975032594</v>
      </c>
      <c r="E43" s="105">
        <f>+'Old Tables 168-184'!O298</f>
        <v>24.875108937982805</v>
      </c>
      <c r="F43" s="73">
        <f>+'Old Tables 168-184'!B330</f>
        <v>49354.562347030609</v>
      </c>
      <c r="G43" s="96">
        <f>+'Old Tables 168-184'!O330</f>
        <v>29.666402974567159</v>
      </c>
      <c r="H43" s="73">
        <f>+'Old Tables 168-184'!B362</f>
        <v>45876.164282673271</v>
      </c>
      <c r="I43" s="105">
        <f>+'Old Tables 168-184'!O362</f>
        <v>30.561209143618605</v>
      </c>
      <c r="J43" s="73" t="str">
        <f>+'Old Tables 168-184'!B395</f>
        <v>NA</v>
      </c>
      <c r="K43" s="96" t="str">
        <f>+'Old Tables 168-184'!O395</f>
        <v>NA</v>
      </c>
      <c r="L43" s="155">
        <f>+'Old Tables 168-184'!B234</f>
        <v>51671.338241047022</v>
      </c>
      <c r="M43" s="127">
        <f>+'Old Tables 168-184'!O234</f>
        <v>27.158185918413086</v>
      </c>
    </row>
    <row r="44" spans="1:15">
      <c r="A44" s="25"/>
      <c r="B44" s="74">
        <f>+'Old Tables 168-184'!B268</f>
        <v>0</v>
      </c>
      <c r="C44" s="27">
        <f>+'Old Tables 168-184'!O268</f>
        <v>0</v>
      </c>
      <c r="D44" s="74">
        <f>+'Old Tables 168-184'!B299</f>
        <v>0</v>
      </c>
      <c r="E44" s="106">
        <f>+'Old Tables 168-184'!O299</f>
        <v>0</v>
      </c>
      <c r="F44" s="74">
        <f>+'Old Tables 168-184'!B331</f>
        <v>0</v>
      </c>
      <c r="G44" s="27">
        <f>+'Old Tables 168-184'!O331</f>
        <v>0</v>
      </c>
      <c r="H44" s="74">
        <f>+'Old Tables 168-184'!B363</f>
        <v>0</v>
      </c>
      <c r="I44" s="106">
        <f>+'Old Tables 168-184'!O363</f>
        <v>0</v>
      </c>
      <c r="J44" s="74">
        <f>+'Old Tables 168-184'!B396</f>
        <v>0</v>
      </c>
      <c r="K44" s="27">
        <f>+'Old Tables 168-184'!O396</f>
        <v>0</v>
      </c>
      <c r="L44" s="156">
        <f>+'Old Tables 168-184'!B235</f>
        <v>0</v>
      </c>
      <c r="M44" s="86">
        <f>+'Old Tables 168-184'!O235</f>
        <v>0</v>
      </c>
    </row>
    <row r="45" spans="1:15">
      <c r="A45" s="6" t="s">
        <v>479</v>
      </c>
      <c r="B45" s="617">
        <f>+'Old Tables 168-184'!B269</f>
        <v>0</v>
      </c>
      <c r="C45" s="27">
        <f>+'Old Tables 168-184'!O269</f>
        <v>0</v>
      </c>
      <c r="D45" s="617">
        <f>+'Old Tables 168-184'!B300</f>
        <v>53891.246937627118</v>
      </c>
      <c r="E45" s="106">
        <f>+'Old Tables 168-184'!O300</f>
        <v>36.905503468055784</v>
      </c>
      <c r="F45" s="617">
        <f>+'Old Tables 168-184'!B332</f>
        <v>53584.435250413982</v>
      </c>
      <c r="G45" s="27">
        <f>+'Old Tables 168-184'!O332</f>
        <v>37.087318628812291</v>
      </c>
      <c r="H45" s="617">
        <f>+'Old Tables 168-184'!B364</f>
        <v>52613.547017010314</v>
      </c>
      <c r="I45" s="106">
        <f>+'Old Tables 168-184'!O364</f>
        <v>37.039583984703448</v>
      </c>
      <c r="J45" s="74" t="str">
        <f>+'Old Tables 168-184'!B397</f>
        <v>NA</v>
      </c>
      <c r="K45" s="27" t="str">
        <f>+'Old Tables 168-184'!O397</f>
        <v>NA</v>
      </c>
      <c r="L45" s="617">
        <f>+'Old Tables 168-184'!B236</f>
        <v>53422.743054463281</v>
      </c>
      <c r="M45" s="86">
        <f>+'Old Tables 168-184'!O236</f>
        <v>37.042686199200588</v>
      </c>
    </row>
    <row r="46" spans="1:15">
      <c r="A46" s="6" t="s">
        <v>480</v>
      </c>
      <c r="B46" s="617">
        <f>+'Old Tables 168-184'!B270</f>
        <v>0</v>
      </c>
      <c r="C46" s="27">
        <f>+'Old Tables 168-184'!O270</f>
        <v>0</v>
      </c>
      <c r="D46" s="617">
        <f>+'Old Tables 168-184'!B301</f>
        <v>46162.602924050632</v>
      </c>
      <c r="E46" s="106">
        <f>+'Old Tables 168-184'!O301</f>
        <v>30.504321361521058</v>
      </c>
      <c r="F46" s="617">
        <f>+'Old Tables 168-184'!B333</f>
        <v>46587.940893063584</v>
      </c>
      <c r="G46" s="27">
        <f>+'Old Tables 168-184'!O333</f>
        <v>25.873942986730825</v>
      </c>
      <c r="H46" s="617">
        <f>+'Old Tables 168-184'!B365</f>
        <v>41884.408191304348</v>
      </c>
      <c r="I46" s="106">
        <f>+'Old Tables 168-184'!O365</f>
        <v>32.491824787234947</v>
      </c>
      <c r="J46" s="74" t="str">
        <f>+'Old Tables 168-184'!B398</f>
        <v>NA</v>
      </c>
      <c r="K46" s="27" t="str">
        <f>+'Old Tables 168-184'!O398</f>
        <v>NA</v>
      </c>
      <c r="L46" s="617">
        <f>+'Old Tables 168-184'!B237</f>
        <v>43555.944535703915</v>
      </c>
      <c r="M46" s="86">
        <f>+'Old Tables 168-184'!O237</f>
        <v>30.480398656498831</v>
      </c>
    </row>
    <row r="47" spans="1:15">
      <c r="A47" s="6" t="s">
        <v>494</v>
      </c>
      <c r="B47" s="617">
        <f>+'Old Tables 168-184'!B271</f>
        <v>0</v>
      </c>
      <c r="C47" s="27">
        <f>+'Old Tables 168-184'!O271</f>
        <v>0</v>
      </c>
      <c r="D47" s="617">
        <f>+'Old Tables 168-184'!B302</f>
        <v>0</v>
      </c>
      <c r="E47" s="106">
        <f>+'Old Tables 168-184'!O302</f>
        <v>0</v>
      </c>
      <c r="F47" s="617">
        <f>+'Old Tables 168-184'!B334</f>
        <v>62869.172308474575</v>
      </c>
      <c r="G47" s="27">
        <f>+'Old Tables 168-184'!O334</f>
        <v>44.012935126240592</v>
      </c>
      <c r="H47" s="617">
        <f>+'Old Tables 168-184'!B366</f>
        <v>62452.983214814813</v>
      </c>
      <c r="I47" s="106">
        <f>+'Old Tables 168-184'!O366</f>
        <v>44.425173695098799</v>
      </c>
      <c r="J47" s="74" t="str">
        <f>+'Old Tables 168-184'!B399</f>
        <v>NA</v>
      </c>
      <c r="K47" s="27" t="str">
        <f>+'Old Tables 168-184'!O399</f>
        <v>NA</v>
      </c>
      <c r="L47" s="617">
        <f>+'Old Tables 168-184'!B238</f>
        <v>62779.514551595748</v>
      </c>
      <c r="M47" s="86">
        <f>+'Old Tables 168-184'!O238</f>
        <v>44.101673272131485</v>
      </c>
    </row>
    <row r="48" spans="1:15">
      <c r="A48" s="6" t="s">
        <v>481</v>
      </c>
      <c r="B48" s="617">
        <f>+'Old Tables 168-184'!B272</f>
        <v>57610.60145888594</v>
      </c>
      <c r="C48" s="27">
        <f>+'Old Tables 168-184'!O272</f>
        <v>33.110596653262903</v>
      </c>
      <c r="D48" s="617">
        <f>+'Old Tables 168-184'!B303</f>
        <v>52851.372625866745</v>
      </c>
      <c r="E48" s="106">
        <f>+'Old Tables 168-184'!O303</f>
        <v>31.259289086768039</v>
      </c>
      <c r="F48" s="617">
        <f>+'Old Tables 168-184'!B335</f>
        <v>46253.260047281321</v>
      </c>
      <c r="G48" s="27">
        <f>+'Old Tables 168-184'!O335</f>
        <v>30.727175521802781</v>
      </c>
      <c r="H48" s="617">
        <f>+'Old Tables 168-184'!B367</f>
        <v>47029.428571428572</v>
      </c>
      <c r="I48" s="106">
        <f>+'Old Tables 168-184'!O367</f>
        <v>23.551325230250967</v>
      </c>
      <c r="J48" s="74" t="str">
        <f>+'Old Tables 168-184'!B400</f>
        <v>NA</v>
      </c>
      <c r="K48" s="27" t="str">
        <f>+'Old Tables 168-184'!O400</f>
        <v>NA</v>
      </c>
      <c r="L48" s="617">
        <f>+'Old Tables 168-184'!B239</f>
        <v>53625.516518784214</v>
      </c>
      <c r="M48" s="86">
        <f>+'Old Tables 168-184'!O239</f>
        <v>31.742394566023918</v>
      </c>
    </row>
    <row r="49" spans="1:21">
      <c r="A49" s="6"/>
      <c r="B49" s="617">
        <f>+'Old Tables 168-184'!B273</f>
        <v>0</v>
      </c>
      <c r="C49" s="27">
        <f>+'Old Tables 168-184'!O273</f>
        <v>0</v>
      </c>
      <c r="D49" s="617">
        <f>+'Old Tables 168-184'!B304</f>
        <v>0</v>
      </c>
      <c r="E49" s="106">
        <f>+'Old Tables 168-184'!O304</f>
        <v>0</v>
      </c>
      <c r="F49" s="617">
        <f>+'Old Tables 168-184'!B336</f>
        <v>0</v>
      </c>
      <c r="G49" s="27">
        <f>+'Old Tables 168-184'!O336</f>
        <v>0</v>
      </c>
      <c r="H49" s="617">
        <f>+'Old Tables 168-184'!B368</f>
        <v>0</v>
      </c>
      <c r="I49" s="106">
        <f>+'Old Tables 168-184'!O368</f>
        <v>0</v>
      </c>
      <c r="J49" s="74">
        <f>+'Old Tables 168-184'!B401</f>
        <v>0</v>
      </c>
      <c r="K49" s="27">
        <f>+'Old Tables 168-184'!O401</f>
        <v>0</v>
      </c>
      <c r="L49" s="617"/>
      <c r="M49" s="86"/>
    </row>
    <row r="50" spans="1:21">
      <c r="A50" s="6" t="s">
        <v>482</v>
      </c>
      <c r="B50" s="617">
        <f>+'Old Tables 168-184'!B274</f>
        <v>48963.16156331361</v>
      </c>
      <c r="C50" s="27">
        <f>+'Old Tables 168-184'!O274</f>
        <v>29.537493068829356</v>
      </c>
      <c r="D50" s="617">
        <f>+'Old Tables 168-184'!B305</f>
        <v>50094.771843216076</v>
      </c>
      <c r="E50" s="106">
        <f>+'Old Tables 168-184'!O305</f>
        <v>28.61325844866786</v>
      </c>
      <c r="F50" s="617">
        <f>+'Old Tables 168-184'!B337</f>
        <v>47119.135242014388</v>
      </c>
      <c r="G50" s="27">
        <f>+'Old Tables 168-184'!O337</f>
        <v>29.102172719799796</v>
      </c>
      <c r="H50" s="617">
        <f>+'Old Tables 168-184'!B369</f>
        <v>46285.490368862273</v>
      </c>
      <c r="I50" s="106">
        <f>+'Old Tables 168-184'!O369</f>
        <v>28.821191546360854</v>
      </c>
      <c r="J50" s="74" t="str">
        <f>+'Old Tables 168-184'!B402</f>
        <v>NA</v>
      </c>
      <c r="K50" s="27" t="str">
        <f>+'Old Tables 168-184'!O402</f>
        <v>NA</v>
      </c>
      <c r="L50" s="617">
        <f>+'Old Tables 168-184'!B241</f>
        <v>48163.168765206508</v>
      </c>
      <c r="M50" s="86">
        <f>+'Old Tables 168-184'!O241</f>
        <v>29.035871984735774</v>
      </c>
    </row>
    <row r="51" spans="1:21">
      <c r="A51" s="6" t="s">
        <v>483</v>
      </c>
      <c r="B51" s="617">
        <f>+'Old Tables 168-184'!B275</f>
        <v>0</v>
      </c>
      <c r="C51" s="27">
        <f>+'Old Tables 168-184'!O275</f>
        <v>0</v>
      </c>
      <c r="D51" s="617">
        <f>+'Old Tables 168-184'!B306</f>
        <v>49613.464754477616</v>
      </c>
      <c r="E51" s="106">
        <f>+'Old Tables 168-184'!O306</f>
        <v>31.959293266719591</v>
      </c>
      <c r="F51" s="617">
        <f>+'Old Tables 168-184'!B338</f>
        <v>48311.994124048098</v>
      </c>
      <c r="G51" s="27">
        <f>+'Old Tables 168-184'!O338</f>
        <v>31.869520168874033</v>
      </c>
      <c r="H51" s="617">
        <f>+'Old Tables 168-184'!B370</f>
        <v>49784.794435874435</v>
      </c>
      <c r="I51" s="106">
        <f>+'Old Tables 168-184'!O370</f>
        <v>32.095645138761228</v>
      </c>
      <c r="J51" s="74" t="str">
        <f>+'Old Tables 168-184'!B403</f>
        <v>NA</v>
      </c>
      <c r="K51" s="27" t="str">
        <f>+'Old Tables 168-184'!O403</f>
        <v>NA</v>
      </c>
      <c r="L51" s="617">
        <f>+'Old Tables 168-184'!B242</f>
        <v>48895.956974046676</v>
      </c>
      <c r="M51" s="86">
        <f>+'Old Tables 168-184'!O242</f>
        <v>31.910732266018783</v>
      </c>
    </row>
    <row r="52" spans="1:21">
      <c r="A52" s="6" t="s">
        <v>484</v>
      </c>
      <c r="B52" s="617">
        <f>+'Old Tables 168-184'!B276</f>
        <v>48408.598088888888</v>
      </c>
      <c r="C52" s="27">
        <f>+'Old Tables 168-184'!O276</f>
        <v>25.855589819868403</v>
      </c>
      <c r="D52" s="617">
        <f>+'Old Tables 168-184'!B307</f>
        <v>55918.044931724144</v>
      </c>
      <c r="E52" s="106">
        <f>+'Old Tables 168-184'!O307</f>
        <v>17.549985306165976</v>
      </c>
      <c r="F52" s="617">
        <f>+'Old Tables 168-184'!B339</f>
        <v>44371.565560368668</v>
      </c>
      <c r="G52" s="27">
        <f>+'Old Tables 168-184'!O339</f>
        <v>22.35565778136694</v>
      </c>
      <c r="H52" s="617">
        <f>+'Old Tables 168-184'!B371</f>
        <v>42206.717465555557</v>
      </c>
      <c r="I52" s="106">
        <f>+'Old Tables 168-184'!O371</f>
        <v>25.063028739146194</v>
      </c>
      <c r="J52" s="74" t="str">
        <f>+'Old Tables 168-184'!B404</f>
        <v>NA</v>
      </c>
      <c r="K52" s="27" t="str">
        <f>+'Old Tables 168-184'!O404</f>
        <v>NA</v>
      </c>
      <c r="L52" s="617">
        <f>+'Old Tables 168-184'!B243</f>
        <v>50586.574676866359</v>
      </c>
      <c r="M52" s="86">
        <f>+'Old Tables 168-184'!O243</f>
        <v>20.29447975942044</v>
      </c>
    </row>
    <row r="53" spans="1:21">
      <c r="A53" s="6" t="s">
        <v>485</v>
      </c>
      <c r="B53" s="617">
        <f>+'Old Tables 168-184'!B277</f>
        <v>0</v>
      </c>
      <c r="C53" s="27">
        <f>+'Old Tables 168-184'!O277</f>
        <v>0</v>
      </c>
      <c r="D53" s="617">
        <f>+'Old Tables 168-184'!B308</f>
        <v>68555.176708086467</v>
      </c>
      <c r="E53" s="106">
        <f>+'Old Tables 168-184'!O308</f>
        <v>23.351232527714821</v>
      </c>
      <c r="F53" s="617">
        <f>+'Old Tables 168-184'!B340</f>
        <v>62574.229972057416</v>
      </c>
      <c r="G53" s="27">
        <f>+'Old Tables 168-184'!O340</f>
        <v>32.135194668122232</v>
      </c>
      <c r="H53" s="617">
        <f>+'Old Tables 168-184'!B372</f>
        <v>61671.313047154472</v>
      </c>
      <c r="I53" s="106">
        <f>+'Old Tables 168-184'!O372</f>
        <v>33.08190534627488</v>
      </c>
      <c r="J53" s="74" t="str">
        <f>+'Old Tables 168-184'!B405</f>
        <v>NA</v>
      </c>
      <c r="K53" s="27" t="str">
        <f>+'Old Tables 168-184'!O405</f>
        <v>NA</v>
      </c>
      <c r="L53" s="617">
        <f>+'Old Tables 168-184'!B244</f>
        <v>66025.461728139242</v>
      </c>
      <c r="M53" s="86">
        <f>+'Old Tables 168-184'!O244</f>
        <v>26.897923937045825</v>
      </c>
    </row>
    <row r="54" spans="1:21">
      <c r="A54" s="6"/>
      <c r="B54" s="617">
        <f>+'Old Tables 168-184'!B278</f>
        <v>0</v>
      </c>
      <c r="C54" s="27">
        <f>+'Old Tables 168-184'!O278</f>
        <v>0</v>
      </c>
      <c r="D54" s="617">
        <f>+'Old Tables 168-184'!B309</f>
        <v>0</v>
      </c>
      <c r="E54" s="106">
        <f>+'Old Tables 168-184'!O309</f>
        <v>0</v>
      </c>
      <c r="F54" s="617">
        <f>+'Old Tables 168-184'!B341</f>
        <v>0</v>
      </c>
      <c r="G54" s="27">
        <f>+'Old Tables 168-184'!O341</f>
        <v>0</v>
      </c>
      <c r="H54" s="617">
        <f>+'Old Tables 168-184'!B373</f>
        <v>0</v>
      </c>
      <c r="I54" s="106">
        <f>+'Old Tables 168-184'!O373</f>
        <v>0</v>
      </c>
      <c r="J54" s="74">
        <f>+'Old Tables 168-184'!B406</f>
        <v>0</v>
      </c>
      <c r="K54" s="27">
        <f>+'Old Tables 168-184'!O406</f>
        <v>0</v>
      </c>
      <c r="L54" s="617"/>
      <c r="M54" s="86"/>
    </row>
    <row r="55" spans="1:21">
      <c r="A55" s="6" t="s">
        <v>486</v>
      </c>
      <c r="B55" s="617">
        <f>+'Old Tables 168-184'!B279</f>
        <v>0</v>
      </c>
      <c r="C55" s="27">
        <f>+'Old Tables 168-184'!O279</f>
        <v>0</v>
      </c>
      <c r="D55" s="617">
        <f>+'Old Tables 168-184'!B310</f>
        <v>47489.630033670037</v>
      </c>
      <c r="E55" s="106">
        <f>+'Old Tables 168-184'!O310</f>
        <v>29.98040480312013</v>
      </c>
      <c r="F55" s="617">
        <f>+'Old Tables 168-184'!B342</f>
        <v>50283.487044301211</v>
      </c>
      <c r="G55" s="27">
        <f>+'Old Tables 168-184'!O342</f>
        <v>28.685391271224248</v>
      </c>
      <c r="H55" s="617">
        <f>+'Old Tables 168-184'!B374</f>
        <v>47282.641919178088</v>
      </c>
      <c r="I55" s="106">
        <f>+'Old Tables 168-184'!O374</f>
        <v>28.61687761621452</v>
      </c>
      <c r="J55" s="74" t="str">
        <f>+'Old Tables 168-184'!B407</f>
        <v>NA</v>
      </c>
      <c r="K55" s="27" t="str">
        <f>+'Old Tables 168-184'!O407</f>
        <v>NA</v>
      </c>
      <c r="L55" s="617">
        <f>+'Old Tables 168-184'!B246</f>
        <v>48815.648814470456</v>
      </c>
      <c r="M55" s="86">
        <f>+'Old Tables 168-184'!O246</f>
        <v>29.263935742569579</v>
      </c>
    </row>
    <row r="56" spans="1:21">
      <c r="A56" s="6" t="s">
        <v>487</v>
      </c>
      <c r="B56" s="617">
        <f>+'Old Tables 168-184'!B280</f>
        <v>0</v>
      </c>
      <c r="C56" s="27">
        <f>+'Old Tables 168-184'!O280</f>
        <v>0</v>
      </c>
      <c r="D56" s="617">
        <f>+'Old Tables 168-184'!B311</f>
        <v>48064.402660217653</v>
      </c>
      <c r="E56" s="106">
        <f>+'Old Tables 168-184'!O311</f>
        <v>27.842220298543896</v>
      </c>
      <c r="F56" s="617">
        <f>+'Old Tables 168-184'!B343</f>
        <v>47077.458747135221</v>
      </c>
      <c r="G56" s="27">
        <f>+'Old Tables 168-184'!O343</f>
        <v>27.578497296785503</v>
      </c>
      <c r="H56" s="617">
        <f>+'Old Tables 168-184'!B375</f>
        <v>45310.913663663661</v>
      </c>
      <c r="I56" s="106">
        <f>+'Old Tables 168-184'!O375</f>
        <v>27.506066812314849</v>
      </c>
      <c r="J56" s="74" t="str">
        <f>+'Old Tables 168-184'!B408</f>
        <v>NA</v>
      </c>
      <c r="K56" s="27" t="str">
        <f>+'Old Tables 168-184'!O408</f>
        <v>NA</v>
      </c>
      <c r="L56" s="617">
        <f>+'Old Tables 168-184'!B247</f>
        <v>47092.319545949307</v>
      </c>
      <c r="M56" s="86">
        <f>+'Old Tables 168-184'!O247</f>
        <v>27.685756796946787</v>
      </c>
    </row>
    <row r="57" spans="1:21">
      <c r="A57" s="6" t="s">
        <v>488</v>
      </c>
      <c r="B57" s="617">
        <f>+'Old Tables 168-184'!B281</f>
        <v>53446</v>
      </c>
      <c r="C57" s="27">
        <f>+'Old Tables 168-184'!O281</f>
        <v>34.801674066608065</v>
      </c>
      <c r="D57" s="617">
        <f>+'Old Tables 168-184'!B312</f>
        <v>53778.978769506728</v>
      </c>
      <c r="E57" s="106">
        <f>+'Old Tables 168-184'!O312</f>
        <v>42.887168696285691</v>
      </c>
      <c r="F57" s="617">
        <f>+'Old Tables 168-184'!B344</f>
        <v>47479.820051999995</v>
      </c>
      <c r="G57" s="27">
        <f>+'Old Tables 168-184'!O344</f>
        <v>42.071308099252562</v>
      </c>
      <c r="H57" s="617">
        <f>+'Old Tables 168-184'!B376</f>
        <v>42741.687390476189</v>
      </c>
      <c r="I57" s="106">
        <f>+'Old Tables 168-184'!O376</f>
        <v>41.452187656436529</v>
      </c>
      <c r="J57" s="74" t="str">
        <f>+'Old Tables 168-184'!B409</f>
        <v>NA</v>
      </c>
      <c r="K57" s="27" t="str">
        <f>+'Old Tables 168-184'!O409</f>
        <v>NA</v>
      </c>
      <c r="L57" s="617">
        <f>+'Old Tables 168-184'!B248</f>
        <v>48888.647740705128</v>
      </c>
      <c r="M57" s="86">
        <f>+'Old Tables 168-184'!O248</f>
        <v>41.445887270456922</v>
      </c>
    </row>
    <row r="58" spans="1:21">
      <c r="A58" s="6" t="s">
        <v>489</v>
      </c>
      <c r="B58" s="617">
        <f>+'Old Tables 168-184'!B282</f>
        <v>55680.701021052635</v>
      </c>
      <c r="C58" s="27">
        <f>+'Old Tables 168-184'!O282</f>
        <v>30.471507099615554</v>
      </c>
      <c r="D58" s="617">
        <f>+'Old Tables 168-184'!B313</f>
        <v>46918.906508875742</v>
      </c>
      <c r="E58" s="106">
        <f>+'Old Tables 168-184'!O313</f>
        <v>32.020443676560348</v>
      </c>
      <c r="F58" s="617">
        <f>+'Old Tables 168-184'!B345</f>
        <v>46189.096008629989</v>
      </c>
      <c r="G58" s="27">
        <f>+'Old Tables 168-184'!O345</f>
        <v>29.7034043742375</v>
      </c>
      <c r="H58" s="617">
        <f>+'Old Tables 168-184'!B377</f>
        <v>45079.401628799998</v>
      </c>
      <c r="I58" s="106">
        <f>+'Old Tables 168-184'!O377</f>
        <v>31.889825928372815</v>
      </c>
      <c r="J58" s="74" t="str">
        <f>+'Old Tables 168-184'!B410</f>
        <v>NA</v>
      </c>
      <c r="K58" s="27" t="str">
        <f>+'Old Tables 168-184'!O410</f>
        <v>NA</v>
      </c>
      <c r="L58" s="617">
        <f>+'Old Tables 168-184'!B249</f>
        <v>46612.51484627225</v>
      </c>
      <c r="M58" s="86">
        <f>+'Old Tables 168-184'!O249</f>
        <v>30.931685589595769</v>
      </c>
    </row>
    <row r="59" spans="1:21">
      <c r="A59" s="6"/>
      <c r="B59" s="617">
        <f>+'Old Tables 168-184'!B283</f>
        <v>0</v>
      </c>
      <c r="C59" s="27">
        <f>+'Old Tables 168-184'!O283</f>
        <v>0</v>
      </c>
      <c r="D59" s="617">
        <f>+'Old Tables 168-184'!B314</f>
        <v>0</v>
      </c>
      <c r="E59" s="106">
        <f>+'Old Tables 168-184'!O314</f>
        <v>0</v>
      </c>
      <c r="F59" s="617">
        <f>+'Old Tables 168-184'!B346</f>
        <v>0</v>
      </c>
      <c r="G59" s="27">
        <f>+'Old Tables 168-184'!O346</f>
        <v>0</v>
      </c>
      <c r="H59" s="617">
        <f>+'Old Tables 168-184'!B378</f>
        <v>0</v>
      </c>
      <c r="I59" s="106">
        <f>+'Old Tables 168-184'!O378</f>
        <v>0</v>
      </c>
      <c r="J59" s="74">
        <f>+'Old Tables 168-184'!B411</f>
        <v>0</v>
      </c>
      <c r="K59" s="27">
        <f>+'Old Tables 168-184'!O411</f>
        <v>0</v>
      </c>
      <c r="L59" s="617"/>
      <c r="M59" s="86"/>
    </row>
    <row r="60" spans="1:21">
      <c r="A60" s="6" t="s">
        <v>490</v>
      </c>
      <c r="B60" s="617">
        <f>+'Old Tables 168-184'!B284</f>
        <v>0</v>
      </c>
      <c r="C60" s="27">
        <f>+'Old Tables 168-184'!O284</f>
        <v>0</v>
      </c>
      <c r="D60" s="617">
        <f>+'Old Tables 168-184'!B315</f>
        <v>47600.536504566924</v>
      </c>
      <c r="E60" s="106">
        <f>+'Old Tables 168-184'!O315</f>
        <v>36.873248683092314</v>
      </c>
      <c r="F60" s="617">
        <f>+'Old Tables 168-184'!B347</f>
        <v>46382.817925558797</v>
      </c>
      <c r="G60" s="27">
        <f>+'Old Tables 168-184'!O347</f>
        <v>38.799013563093631</v>
      </c>
      <c r="H60" s="617">
        <f>+'Old Tables 168-184'!B379</f>
        <v>46971.84151111111</v>
      </c>
      <c r="I60" s="106">
        <f>+'Old Tables 168-184'!O379</f>
        <v>37.995761814353415</v>
      </c>
      <c r="J60" s="74" t="str">
        <f>+'Old Tables 168-184'!B412</f>
        <v>NA</v>
      </c>
      <c r="K60" s="27" t="str">
        <f>+'Old Tables 168-184'!O412</f>
        <v>NA</v>
      </c>
      <c r="L60" s="617">
        <f>+'Old Tables 168-184'!B251</f>
        <v>46851.42012072177</v>
      </c>
      <c r="M60" s="86">
        <f>+'Old Tables 168-184'!O251</f>
        <v>38.047846386820446</v>
      </c>
    </row>
    <row r="61" spans="1:21" ht="15.75">
      <c r="A61" s="6" t="s">
        <v>491</v>
      </c>
      <c r="B61" s="617">
        <f>+'Old Tables 168-184'!B285</f>
        <v>51563.563213241381</v>
      </c>
      <c r="C61" s="27">
        <f>+'Old Tables 168-184'!O285</f>
        <v>22.866888968508832</v>
      </c>
      <c r="D61" s="617">
        <f>+'Old Tables 168-184'!B316</f>
        <v>55893.740439594279</v>
      </c>
      <c r="E61" s="106">
        <f>+'Old Tables 168-184'!O316</f>
        <v>19.531961083239381</v>
      </c>
      <c r="F61" s="617">
        <f>+'Old Tables 168-184'!B348</f>
        <v>48357.189551877134</v>
      </c>
      <c r="G61" s="27">
        <f>+'Old Tables 168-184'!O348</f>
        <v>22.512904010770178</v>
      </c>
      <c r="H61" s="617">
        <f>+'Old Tables 168-184'!B380</f>
        <v>43316.123463971882</v>
      </c>
      <c r="I61" s="106">
        <f>+'Old Tables 168-184'!O380</f>
        <v>25.212166494894721</v>
      </c>
      <c r="J61" s="74" t="str">
        <f>+'Old Tables 168-184'!B413</f>
        <v>NA</v>
      </c>
      <c r="K61" s="27" t="str">
        <f>+'Old Tables 168-184'!O413</f>
        <v>NA</v>
      </c>
      <c r="L61" s="617">
        <f>+'Old Tables 168-184'!B252</f>
        <v>53284.073586265818</v>
      </c>
      <c r="M61" s="86">
        <f>+'Old Tables 168-184'!O252</f>
        <v>20.573246671259824</v>
      </c>
      <c r="P61" s="160"/>
      <c r="Q61" s="53"/>
      <c r="R61" s="53"/>
      <c r="S61" s="53"/>
      <c r="T61" s="53"/>
      <c r="U61" s="53"/>
    </row>
    <row r="62" spans="1:21">
      <c r="A62" s="6" t="s">
        <v>492</v>
      </c>
      <c r="B62" s="617">
        <f>+'Old Tables 168-184'!B286</f>
        <v>0</v>
      </c>
      <c r="C62" s="27">
        <f>+'Old Tables 168-184'!O286</f>
        <v>0</v>
      </c>
      <c r="D62" s="617">
        <f>+'Old Tables 168-184'!B317</f>
        <v>0</v>
      </c>
      <c r="E62" s="106">
        <f>+'Old Tables 168-184'!O317</f>
        <v>0</v>
      </c>
      <c r="F62" s="617">
        <f>+'Old Tables 168-184'!B349</f>
        <v>0</v>
      </c>
      <c r="G62" s="27">
        <f>+'Old Tables 168-184'!O349</f>
        <v>0</v>
      </c>
      <c r="H62" s="617">
        <f>+'Old Tables 168-184'!B381</f>
        <v>55425.181818181816</v>
      </c>
      <c r="I62" s="106">
        <f>+'Old Tables 168-184'!O381</f>
        <v>0</v>
      </c>
      <c r="J62" s="74" t="str">
        <f>+'Old Tables 168-184'!B414</f>
        <v>NA</v>
      </c>
      <c r="K62" s="27" t="str">
        <f>+'Old Tables 168-184'!O414</f>
        <v>NA</v>
      </c>
      <c r="L62" s="617">
        <f>+'Old Tables 168-184'!B253</f>
        <v>57185.932421415615</v>
      </c>
      <c r="M62" s="86">
        <f>+'Old Tables 168-184'!O253</f>
        <v>0</v>
      </c>
      <c r="P62" s="53"/>
      <c r="Q62" s="53"/>
      <c r="R62" s="53"/>
      <c r="S62" s="53"/>
      <c r="T62" s="53"/>
      <c r="U62" s="53"/>
    </row>
    <row r="63" spans="1:21">
      <c r="A63" s="14" t="s">
        <v>493</v>
      </c>
      <c r="B63" s="618">
        <f>+'Old Tables 168-184'!B287</f>
        <v>47120.757516535428</v>
      </c>
      <c r="C63" s="29">
        <f>+'Old Tables 168-184'!O287</f>
        <v>24.679034397042209</v>
      </c>
      <c r="D63" s="618">
        <f>+'Old Tables 168-184'!B318</f>
        <v>0</v>
      </c>
      <c r="E63" s="110">
        <f>+'Old Tables 168-184'!O318</f>
        <v>0</v>
      </c>
      <c r="F63" s="618">
        <f>+'Old Tables 168-184'!B350</f>
        <v>0</v>
      </c>
      <c r="G63" s="29">
        <f>+'Old Tables 168-184'!O350</f>
        <v>0</v>
      </c>
      <c r="H63" s="618">
        <f>+'Old Tables 168-184'!B382</f>
        <v>46535.77732691358</v>
      </c>
      <c r="I63" s="110">
        <f>+'Old Tables 168-184'!O382</f>
        <v>24.987506285914748</v>
      </c>
      <c r="J63" s="97" t="str">
        <f>+'Old Tables 168-184'!B415</f>
        <v>NA</v>
      </c>
      <c r="K63" s="29" t="str">
        <f>+'Old Tables 168-184'!O415</f>
        <v>NA</v>
      </c>
      <c r="L63" s="618">
        <f>+'Old Tables 168-184'!B254</f>
        <v>46675.424853383462</v>
      </c>
      <c r="M63" s="115">
        <f>+'Old Tables 168-184'!O254</f>
        <v>24.913166334631679</v>
      </c>
      <c r="P63" s="152"/>
      <c r="Q63" s="154"/>
      <c r="R63" s="152"/>
      <c r="S63" s="152"/>
      <c r="T63" s="118"/>
      <c r="U63" s="161"/>
    </row>
    <row r="64" spans="1:21">
      <c r="A64" s="7"/>
      <c r="K64" s="53"/>
      <c r="M64" s="637" t="s">
        <v>1321</v>
      </c>
      <c r="P64" s="53"/>
      <c r="Q64" s="53"/>
      <c r="R64" s="53"/>
      <c r="S64" s="53"/>
      <c r="T64" s="53"/>
      <c r="U64" s="53"/>
    </row>
    <row r="65" spans="1:21" ht="18">
      <c r="A65" s="647" t="s">
        <v>1099</v>
      </c>
      <c r="B65" s="647"/>
      <c r="C65" s="647"/>
      <c r="D65" s="647"/>
      <c r="E65" s="647"/>
      <c r="F65" s="647"/>
      <c r="G65" s="647"/>
      <c r="H65" s="647"/>
      <c r="I65" s="647"/>
      <c r="J65" s="48"/>
      <c r="K65" s="65"/>
      <c r="P65" s="53"/>
      <c r="Q65" s="53"/>
      <c r="R65" s="53"/>
      <c r="S65" s="53"/>
      <c r="T65" s="53"/>
      <c r="U65" s="53"/>
    </row>
    <row r="66" spans="1:21" ht="12.75" customHeight="1">
      <c r="A66" s="42"/>
      <c r="B66" s="66"/>
      <c r="C66" s="42"/>
      <c r="D66" s="42"/>
      <c r="E66" s="42"/>
      <c r="F66" s="42"/>
      <c r="G66" s="48"/>
      <c r="H66" s="48"/>
      <c r="I66" s="143"/>
      <c r="J66" s="48"/>
      <c r="K66" s="65"/>
    </row>
    <row r="67" spans="1:21" ht="15.75">
      <c r="A67" s="642" t="s">
        <v>17</v>
      </c>
      <c r="B67" s="642"/>
      <c r="C67" s="642"/>
      <c r="D67" s="642"/>
      <c r="E67" s="642"/>
      <c r="F67" s="642"/>
      <c r="G67" s="642"/>
      <c r="H67" s="642"/>
      <c r="I67" s="642"/>
      <c r="J67" s="48"/>
      <c r="K67" s="65"/>
    </row>
    <row r="68" spans="1:21" ht="15.75">
      <c r="A68" s="642" t="s">
        <v>16</v>
      </c>
      <c r="B68" s="642"/>
      <c r="C68" s="642"/>
      <c r="D68" s="642"/>
      <c r="E68" s="642"/>
      <c r="F68" s="642"/>
      <c r="G68" s="642"/>
      <c r="H68" s="642"/>
      <c r="I68" s="642"/>
      <c r="J68" s="48"/>
      <c r="K68" s="65"/>
    </row>
    <row r="69" spans="1:21" ht="15.75">
      <c r="A69" s="640" t="s">
        <v>1064</v>
      </c>
      <c r="B69" s="640"/>
      <c r="C69" s="640"/>
      <c r="D69" s="640"/>
      <c r="E69" s="640"/>
      <c r="F69" s="640"/>
      <c r="G69" s="640"/>
      <c r="H69" s="640"/>
      <c r="I69" s="640"/>
      <c r="J69" s="60"/>
      <c r="K69" s="75"/>
    </row>
    <row r="70" spans="1:21" ht="10.5" customHeight="1">
      <c r="A70" s="49"/>
      <c r="B70" s="49"/>
      <c r="C70" s="49"/>
      <c r="D70" s="49"/>
      <c r="E70" s="49"/>
      <c r="F70" s="49"/>
      <c r="G70" s="60"/>
      <c r="H70" s="60"/>
      <c r="I70" s="144"/>
      <c r="J70" s="60"/>
      <c r="K70" s="75"/>
      <c r="L70" s="60"/>
    </row>
    <row r="71" spans="1:21" ht="40.5" customHeight="1">
      <c r="A71" s="13"/>
      <c r="B71" s="61" t="s">
        <v>442</v>
      </c>
      <c r="C71" s="62"/>
      <c r="D71" s="67" t="s">
        <v>443</v>
      </c>
      <c r="E71" s="68"/>
      <c r="F71" s="61" t="s">
        <v>444</v>
      </c>
      <c r="G71" s="63"/>
      <c r="H71" s="67" t="s">
        <v>445</v>
      </c>
      <c r="I71" s="136"/>
      <c r="J71" s="60" t="s">
        <v>18</v>
      </c>
      <c r="K71" s="75"/>
      <c r="L71" s="60"/>
    </row>
    <row r="72" spans="1:21" ht="13.5" customHeight="1">
      <c r="A72" s="25"/>
      <c r="B72" s="2" t="s">
        <v>473</v>
      </c>
      <c r="C72" s="8" t="s">
        <v>18</v>
      </c>
      <c r="D72" s="2" t="s">
        <v>473</v>
      </c>
      <c r="E72" s="8" t="s">
        <v>18</v>
      </c>
      <c r="F72" s="9" t="s">
        <v>473</v>
      </c>
      <c r="G72" s="10" t="s">
        <v>18</v>
      </c>
      <c r="H72" s="2" t="s">
        <v>473</v>
      </c>
      <c r="I72" s="124" t="s">
        <v>18</v>
      </c>
      <c r="J72" s="60"/>
      <c r="K72" s="72"/>
    </row>
    <row r="73" spans="1:21" ht="13.5" customHeight="1">
      <c r="A73" s="51"/>
      <c r="B73" s="9" t="s">
        <v>474</v>
      </c>
      <c r="C73" s="227" t="s">
        <v>475</v>
      </c>
      <c r="D73" s="22" t="s">
        <v>474</v>
      </c>
      <c r="E73" s="10" t="s">
        <v>475</v>
      </c>
      <c r="F73" s="227" t="s">
        <v>474</v>
      </c>
      <c r="G73" s="227" t="s">
        <v>475</v>
      </c>
      <c r="H73" s="22" t="s">
        <v>474</v>
      </c>
      <c r="I73" s="138" t="s">
        <v>475</v>
      </c>
      <c r="J73" s="60"/>
      <c r="K73" s="75"/>
      <c r="L73" s="60"/>
    </row>
    <row r="74" spans="1:21" ht="13.5" customHeight="1">
      <c r="A74" s="52"/>
      <c r="B74" s="18" t="s">
        <v>476</v>
      </c>
      <c r="C74" s="17" t="s">
        <v>477</v>
      </c>
      <c r="D74" s="23" t="s">
        <v>476</v>
      </c>
      <c r="E74" s="19" t="s">
        <v>477</v>
      </c>
      <c r="F74" s="17" t="s">
        <v>476</v>
      </c>
      <c r="G74" s="17" t="s">
        <v>477</v>
      </c>
      <c r="H74" s="23" t="s">
        <v>476</v>
      </c>
      <c r="I74" s="131" t="s">
        <v>477</v>
      </c>
      <c r="J74" s="60"/>
      <c r="K74" s="75"/>
      <c r="L74" s="60"/>
    </row>
    <row r="75" spans="1:21" ht="15.75">
      <c r="A75" s="13" t="s">
        <v>478</v>
      </c>
      <c r="B75" s="73">
        <f>+'Old Tables 168-184'!B455</f>
        <v>45758.964140479758</v>
      </c>
      <c r="C75" s="96">
        <f>+'Old Tables 168-184'!O455</f>
        <v>32.141364546585244</v>
      </c>
      <c r="D75" s="73">
        <f>+'Old Tables 168-184'!B487</f>
        <v>44171.575398780493</v>
      </c>
      <c r="E75" s="96">
        <f>+'Old Tables 168-184'!O487</f>
        <v>26.896954866892681</v>
      </c>
      <c r="F75" s="73">
        <f>+'Old Tables 168-184'!B519</f>
        <v>40200.47929486166</v>
      </c>
      <c r="G75" s="96">
        <f>+'Old Tables 168-184'!O519</f>
        <v>24.930225319708722</v>
      </c>
      <c r="H75" s="73">
        <f>+'Old Tables 168-184'!B426</f>
        <v>44650.237449161286</v>
      </c>
      <c r="I75" s="127">
        <f>+'Old Tables 168-184'!O426</f>
        <v>29.918199183755995</v>
      </c>
      <c r="J75" s="60"/>
      <c r="K75" s="75"/>
      <c r="L75" s="60"/>
    </row>
    <row r="76" spans="1:21" s="83" customFormat="1" ht="12.75">
      <c r="A76" s="82"/>
      <c r="B76" s="74">
        <f>+'Old Tables 168-184'!B456</f>
        <v>0</v>
      </c>
      <c r="C76" s="27">
        <f>+'Old Tables 168-184'!O456</f>
        <v>0</v>
      </c>
      <c r="D76" s="74">
        <f>+'Old Tables 168-184'!B488</f>
        <v>0</v>
      </c>
      <c r="E76" s="27">
        <f>+'Old Tables 168-184'!O488</f>
        <v>0</v>
      </c>
      <c r="F76" s="74">
        <f>+'Old Tables 168-184'!B520</f>
        <v>0</v>
      </c>
      <c r="G76" s="27">
        <f>+'Old Tables 168-184'!O520</f>
        <v>0</v>
      </c>
      <c r="H76" s="74">
        <f>+'Old Tables 168-184'!B427</f>
        <v>0</v>
      </c>
      <c r="I76" s="86">
        <f>+'Old Tables 168-184'!O427</f>
        <v>0</v>
      </c>
      <c r="K76" s="84"/>
      <c r="M76" s="139"/>
      <c r="O76" s="129"/>
    </row>
    <row r="77" spans="1:21">
      <c r="A77" s="6" t="s">
        <v>479</v>
      </c>
      <c r="B77" s="617">
        <f>+'Old Tables 168-184'!B457</f>
        <v>54025.01278918919</v>
      </c>
      <c r="C77" s="27">
        <f>+'Old Tables 168-184'!O457</f>
        <v>35.448030581183346</v>
      </c>
      <c r="D77" s="617">
        <f>+'Old Tables 168-184'!B489</f>
        <v>53407.699217977526</v>
      </c>
      <c r="E77" s="27">
        <f>+'Old Tables 168-184'!O489</f>
        <v>35.836011696944816</v>
      </c>
      <c r="F77" s="617">
        <f>+'Old Tables 168-184'!B521</f>
        <v>0</v>
      </c>
      <c r="G77" s="27">
        <f>+'Old Tables 168-184'!O521</f>
        <v>0</v>
      </c>
      <c r="H77" s="617">
        <f>+'Old Tables 168-184'!B428</f>
        <v>53687.952004907973</v>
      </c>
      <c r="I77" s="86">
        <f>+'Old Tables 168-184'!O428</f>
        <v>35.65915792092003</v>
      </c>
      <c r="K77" s="53"/>
    </row>
    <row r="78" spans="1:21">
      <c r="A78" s="6" t="s">
        <v>480</v>
      </c>
      <c r="B78" s="617">
        <f>+'Old Tables 168-184'!B458</f>
        <v>0</v>
      </c>
      <c r="C78" s="27">
        <f>+'Old Tables 168-184'!O458</f>
        <v>0</v>
      </c>
      <c r="D78" s="617">
        <f>+'Old Tables 168-184'!B490</f>
        <v>0</v>
      </c>
      <c r="E78" s="27">
        <f>+'Old Tables 168-184'!O490</f>
        <v>0</v>
      </c>
      <c r="F78" s="617">
        <f>+'Old Tables 168-184'!B522</f>
        <v>0</v>
      </c>
      <c r="G78" s="27">
        <f>+'Old Tables 168-184'!O522</f>
        <v>0</v>
      </c>
      <c r="H78" s="617">
        <f>+'Old Tables 168-184'!B429</f>
        <v>0</v>
      </c>
      <c r="I78" s="86">
        <f>+'Old Tables 168-184'!O429</f>
        <v>0</v>
      </c>
      <c r="K78" s="53"/>
    </row>
    <row r="79" spans="1:21">
      <c r="A79" s="6" t="s">
        <v>494</v>
      </c>
      <c r="B79" s="617">
        <f>+'Old Tables 168-184'!B459</f>
        <v>0</v>
      </c>
      <c r="C79" s="27">
        <f>+'Old Tables 168-184'!O459</f>
        <v>0</v>
      </c>
      <c r="D79" s="617">
        <f>+'Old Tables 168-184'!B491</f>
        <v>0</v>
      </c>
      <c r="E79" s="27">
        <f>+'Old Tables 168-184'!O491</f>
        <v>0</v>
      </c>
      <c r="F79" s="617">
        <f>+'Old Tables 168-184'!B523</f>
        <v>0</v>
      </c>
      <c r="G79" s="27">
        <f>+'Old Tables 168-184'!O523</f>
        <v>0</v>
      </c>
      <c r="H79" s="617">
        <f>+'Old Tables 168-184'!B430</f>
        <v>0</v>
      </c>
      <c r="I79" s="86">
        <f>+'Old Tables 168-184'!O430</f>
        <v>0</v>
      </c>
      <c r="K79" s="53"/>
    </row>
    <row r="80" spans="1:21">
      <c r="A80" s="6" t="s">
        <v>481</v>
      </c>
      <c r="B80" s="617">
        <f>+'Old Tables 168-184'!B460</f>
        <v>0</v>
      </c>
      <c r="C80" s="27">
        <f>+'Old Tables 168-184'!O460</f>
        <v>0</v>
      </c>
      <c r="D80" s="617">
        <f>+'Old Tables 168-184'!B492</f>
        <v>0</v>
      </c>
      <c r="E80" s="27">
        <f>+'Old Tables 168-184'!O492</f>
        <v>0</v>
      </c>
      <c r="F80" s="617">
        <f>+'Old Tables 168-184'!B524</f>
        <v>0</v>
      </c>
      <c r="G80" s="27">
        <f>+'Old Tables 168-184'!O524</f>
        <v>0</v>
      </c>
      <c r="H80" s="617">
        <f>+'Old Tables 168-184'!B431</f>
        <v>0</v>
      </c>
      <c r="I80" s="86">
        <f>+'Old Tables 168-184'!O431</f>
        <v>0</v>
      </c>
      <c r="K80" s="53"/>
    </row>
    <row r="81" spans="1:15" s="83" customFormat="1" ht="12.75">
      <c r="A81" s="82"/>
      <c r="B81" s="617">
        <f>+'Old Tables 168-184'!B461</f>
        <v>0</v>
      </c>
      <c r="C81" s="27">
        <f>+'Old Tables 168-184'!O461</f>
        <v>0</v>
      </c>
      <c r="D81" s="617">
        <f>+'Old Tables 168-184'!B493</f>
        <v>0</v>
      </c>
      <c r="E81" s="27">
        <f>+'Old Tables 168-184'!O493</f>
        <v>0</v>
      </c>
      <c r="F81" s="617">
        <f>+'Old Tables 168-184'!B525</f>
        <v>0</v>
      </c>
      <c r="G81" s="27">
        <f>+'Old Tables 168-184'!O525</f>
        <v>0</v>
      </c>
      <c r="H81" s="617"/>
      <c r="I81" s="86"/>
      <c r="K81" s="84"/>
      <c r="M81" s="139"/>
      <c r="O81" s="129"/>
    </row>
    <row r="82" spans="1:15">
      <c r="A82" s="6" t="s">
        <v>482</v>
      </c>
      <c r="B82" s="617">
        <f>+'Old Tables 168-184'!B462</f>
        <v>44984.557607792209</v>
      </c>
      <c r="C82" s="27">
        <f>+'Old Tables 168-184'!O462</f>
        <v>34.678705289738176</v>
      </c>
      <c r="D82" s="617">
        <f>+'Old Tables 168-184'!B494</f>
        <v>37568.506393333337</v>
      </c>
      <c r="E82" s="27">
        <f>+'Old Tables 168-184'!O494</f>
        <v>37.210109627790338</v>
      </c>
      <c r="F82" s="617">
        <f>+'Old Tables 168-184'!B526</f>
        <v>0</v>
      </c>
      <c r="G82" s="27">
        <f>+'Old Tables 168-184'!O526</f>
        <v>0</v>
      </c>
      <c r="H82" s="617">
        <f>+'Old Tables 168-184'!B432</f>
        <v>0</v>
      </c>
      <c r="I82" s="86">
        <f>+'Old Tables 168-184'!O432</f>
        <v>0</v>
      </c>
      <c r="K82" s="53"/>
    </row>
    <row r="83" spans="1:15">
      <c r="A83" s="6" t="s">
        <v>483</v>
      </c>
      <c r="B83" s="617">
        <f>+'Old Tables 168-184'!B463</f>
        <v>44346.303811034486</v>
      </c>
      <c r="C83" s="27">
        <f>+'Old Tables 168-184'!O463</f>
        <v>32.310763277795694</v>
      </c>
      <c r="D83" s="617">
        <f>+'Old Tables 168-184'!B495</f>
        <v>0</v>
      </c>
      <c r="E83" s="27">
        <f>+'Old Tables 168-184'!O495</f>
        <v>0</v>
      </c>
      <c r="F83" s="617">
        <f>+'Old Tables 168-184'!B527</f>
        <v>0</v>
      </c>
      <c r="G83" s="27">
        <f>+'Old Tables 168-184'!O527</f>
        <v>0</v>
      </c>
      <c r="H83" s="617">
        <f>+'Old Tables 168-184'!B433</f>
        <v>44879.06612536747</v>
      </c>
      <c r="I83" s="86">
        <f>+'Old Tables 168-184'!O433</f>
        <v>31.927200104407522</v>
      </c>
      <c r="K83" s="53"/>
    </row>
    <row r="84" spans="1:15">
      <c r="A84" s="6" t="s">
        <v>484</v>
      </c>
      <c r="B84" s="617">
        <f>+'Old Tables 168-184'!B464</f>
        <v>41512.950705882351</v>
      </c>
      <c r="C84" s="27">
        <f>+'Old Tables 168-184'!O464</f>
        <v>24.283931205572451</v>
      </c>
      <c r="D84" s="617">
        <f>+'Old Tables 168-184'!B496</f>
        <v>37662.391721951222</v>
      </c>
      <c r="E84" s="27">
        <f>+'Old Tables 168-184'!O496</f>
        <v>26.09436950028693</v>
      </c>
      <c r="F84" s="617">
        <f>+'Old Tables 168-184'!B528</f>
        <v>40121.755793600001</v>
      </c>
      <c r="G84" s="27">
        <f>+'Old Tables 168-184'!O528</f>
        <v>24.979141290248638</v>
      </c>
      <c r="H84" s="617">
        <f>+'Old Tables 168-184'!B434</f>
        <v>44346.303811034486</v>
      </c>
      <c r="I84" s="86">
        <f>+'Old Tables 168-184'!O434</f>
        <v>22.582162873914857</v>
      </c>
      <c r="K84" s="53"/>
    </row>
    <row r="85" spans="1:15">
      <c r="A85" s="6" t="s">
        <v>485</v>
      </c>
      <c r="B85" s="617">
        <f>+'Old Tables 168-184'!B465</f>
        <v>0</v>
      </c>
      <c r="C85" s="27">
        <f>+'Old Tables 168-184'!O465</f>
        <v>0</v>
      </c>
      <c r="D85" s="617">
        <f>+'Old Tables 168-184'!B497</f>
        <v>0</v>
      </c>
      <c r="E85" s="27">
        <f>+'Old Tables 168-184'!O497</f>
        <v>0</v>
      </c>
      <c r="F85" s="617">
        <f>+'Old Tables 168-184'!B529</f>
        <v>0</v>
      </c>
      <c r="G85" s="27">
        <f>+'Old Tables 168-184'!O529</f>
        <v>0</v>
      </c>
      <c r="H85" s="617">
        <f>+'Old Tables 168-184'!B435</f>
        <v>40111.521519540227</v>
      </c>
      <c r="I85" s="86">
        <f>+'Old Tables 168-184'!O435</f>
        <v>0</v>
      </c>
      <c r="K85" s="53"/>
    </row>
    <row r="86" spans="1:15" s="83" customFormat="1" ht="12.75">
      <c r="A86" s="82"/>
      <c r="B86" s="617">
        <f>+'Old Tables 168-184'!B466</f>
        <v>0</v>
      </c>
      <c r="C86" s="27">
        <f>+'Old Tables 168-184'!O466</f>
        <v>0</v>
      </c>
      <c r="D86" s="617">
        <f>+'Old Tables 168-184'!B498</f>
        <v>0</v>
      </c>
      <c r="E86" s="27">
        <f>+'Old Tables 168-184'!O498</f>
        <v>0</v>
      </c>
      <c r="F86" s="617">
        <f>+'Old Tables 168-184'!B530</f>
        <v>0</v>
      </c>
      <c r="G86" s="27">
        <f>+'Old Tables 168-184'!O530</f>
        <v>0</v>
      </c>
      <c r="H86" s="617"/>
      <c r="I86" s="86"/>
      <c r="K86" s="84"/>
      <c r="M86" s="139"/>
      <c r="O86" s="129"/>
    </row>
    <row r="87" spans="1:15">
      <c r="A87" s="6" t="s">
        <v>486</v>
      </c>
      <c r="B87" s="617">
        <f>+'Old Tables 168-184'!B467</f>
        <v>0</v>
      </c>
      <c r="C87" s="27">
        <f>+'Old Tables 168-184'!O467</f>
        <v>0</v>
      </c>
      <c r="D87" s="617">
        <f>+'Old Tables 168-184'!B499</f>
        <v>0</v>
      </c>
      <c r="E87" s="27">
        <f>+'Old Tables 168-184'!O499</f>
        <v>0</v>
      </c>
      <c r="F87" s="617">
        <f>+'Old Tables 168-184'!B531</f>
        <v>0</v>
      </c>
      <c r="G87" s="27">
        <f>+'Old Tables 168-184'!O531</f>
        <v>0</v>
      </c>
      <c r="H87" s="617">
        <f>+'Old Tables 168-184'!B436</f>
        <v>0</v>
      </c>
      <c r="I87" s="86">
        <f>+'Old Tables 168-184'!O436</f>
        <v>0</v>
      </c>
      <c r="K87" s="53"/>
    </row>
    <row r="88" spans="1:15">
      <c r="A88" s="6" t="s">
        <v>487</v>
      </c>
      <c r="B88" s="617">
        <f>+'Old Tables 168-184'!B468</f>
        <v>0</v>
      </c>
      <c r="C88" s="27">
        <f>+'Old Tables 168-184'!O468</f>
        <v>0</v>
      </c>
      <c r="D88" s="617">
        <f>+'Old Tables 168-184'!B500</f>
        <v>0</v>
      </c>
      <c r="E88" s="27">
        <f>+'Old Tables 168-184'!O500</f>
        <v>0</v>
      </c>
      <c r="F88" s="617">
        <f>+'Old Tables 168-184'!B532</f>
        <v>0</v>
      </c>
      <c r="G88" s="27">
        <f>+'Old Tables 168-184'!O532</f>
        <v>0</v>
      </c>
      <c r="H88" s="617">
        <f>+'Old Tables 168-184'!B437</f>
        <v>0</v>
      </c>
      <c r="I88" s="86">
        <f>+'Old Tables 168-184'!O437</f>
        <v>0</v>
      </c>
      <c r="K88" s="53"/>
    </row>
    <row r="89" spans="1:15">
      <c r="A89" s="6" t="s">
        <v>488</v>
      </c>
      <c r="B89" s="617">
        <f>+'Old Tables 168-184'!B469</f>
        <v>50698.925209271525</v>
      </c>
      <c r="C89" s="27">
        <f>+'Old Tables 168-184'!O469</f>
        <v>16.170311061813734</v>
      </c>
      <c r="D89" s="617">
        <f>+'Old Tables 168-184'!B501</f>
        <v>48010.763139877301</v>
      </c>
      <c r="E89" s="27">
        <f>+'Old Tables 168-184'!O501</f>
        <v>22.34304169669344</v>
      </c>
      <c r="F89" s="617">
        <f>+'Old Tables 168-184'!B533</f>
        <v>46760.771066666668</v>
      </c>
      <c r="G89" s="27">
        <f>+'Old Tables 168-184'!O533</f>
        <v>0</v>
      </c>
      <c r="H89" s="617">
        <f>+'Old Tables 168-184'!B438</f>
        <v>0</v>
      </c>
      <c r="I89" s="86">
        <f>+'Old Tables 168-184'!O438</f>
        <v>0</v>
      </c>
      <c r="K89" s="53"/>
    </row>
    <row r="90" spans="1:15">
      <c r="A90" s="6" t="s">
        <v>489</v>
      </c>
      <c r="B90" s="617">
        <f>+'Old Tables 168-184'!B470</f>
        <v>0</v>
      </c>
      <c r="C90" s="27">
        <f>+'Old Tables 168-184'!O470</f>
        <v>0</v>
      </c>
      <c r="D90" s="617">
        <f>+'Old Tables 168-184'!B502</f>
        <v>0</v>
      </c>
      <c r="E90" s="27">
        <f>+'Old Tables 168-184'!O502</f>
        <v>0</v>
      </c>
      <c r="F90" s="617">
        <f>+'Old Tables 168-184'!B534</f>
        <v>0</v>
      </c>
      <c r="G90" s="27">
        <f>+'Old Tables 168-184'!O534</f>
        <v>0</v>
      </c>
      <c r="H90" s="617">
        <f>+'Old Tables 168-184'!B439</f>
        <v>0</v>
      </c>
      <c r="I90" s="86">
        <f>+'Old Tables 168-184'!O439</f>
        <v>0</v>
      </c>
      <c r="K90" s="53"/>
    </row>
    <row r="91" spans="1:15" s="83" customFormat="1" ht="12.75">
      <c r="A91" s="82"/>
      <c r="B91" s="617">
        <f>+'Old Tables 168-184'!B471</f>
        <v>0</v>
      </c>
      <c r="C91" s="27">
        <f>+'Old Tables 168-184'!O471</f>
        <v>0</v>
      </c>
      <c r="D91" s="617">
        <f>+'Old Tables 168-184'!B503</f>
        <v>0</v>
      </c>
      <c r="E91" s="27">
        <f>+'Old Tables 168-184'!O503</f>
        <v>0</v>
      </c>
      <c r="F91" s="617">
        <f>+'Old Tables 168-184'!B535</f>
        <v>0</v>
      </c>
      <c r="G91" s="27">
        <f>+'Old Tables 168-184'!O535</f>
        <v>0</v>
      </c>
      <c r="H91" s="617"/>
      <c r="I91" s="86"/>
      <c r="K91" s="84"/>
      <c r="M91" s="139"/>
      <c r="O91" s="129"/>
    </row>
    <row r="92" spans="1:15">
      <c r="A92" s="6" t="s">
        <v>490</v>
      </c>
      <c r="B92" s="617">
        <f>+'Old Tables 168-184'!B472</f>
        <v>0</v>
      </c>
      <c r="C92" s="27">
        <f>+'Old Tables 168-184'!O472</f>
        <v>0</v>
      </c>
      <c r="D92" s="617">
        <f>+'Old Tables 168-184'!B504</f>
        <v>37213.522648303377</v>
      </c>
      <c r="E92" s="27">
        <f>+'Old Tables 168-184'!O504</f>
        <v>33.662257710839242</v>
      </c>
      <c r="F92" s="617">
        <f>+'Old Tables 168-184'!B536</f>
        <v>0</v>
      </c>
      <c r="G92" s="27">
        <f>+'Old Tables 168-184'!O536</f>
        <v>0</v>
      </c>
      <c r="H92" s="617">
        <f>+'Old Tables 168-184'!B440</f>
        <v>48726.991984505796</v>
      </c>
      <c r="I92" s="86">
        <f>+'Old Tables 168-184'!O440</f>
        <v>25.708362833348541</v>
      </c>
      <c r="K92" s="53"/>
    </row>
    <row r="93" spans="1:15">
      <c r="A93" s="6" t="s">
        <v>491</v>
      </c>
      <c r="B93" s="617">
        <f>+'Old Tables 168-184'!B473</f>
        <v>0</v>
      </c>
      <c r="C93" s="27">
        <f>+'Old Tables 168-184'!O473</f>
        <v>0</v>
      </c>
      <c r="D93" s="617">
        <f>+'Old Tables 168-184'!B505</f>
        <v>0</v>
      </c>
      <c r="E93" s="27">
        <f>+'Old Tables 168-184'!O505</f>
        <v>0</v>
      </c>
      <c r="F93" s="617">
        <f>+'Old Tables 168-184'!B537</f>
        <v>0</v>
      </c>
      <c r="G93" s="27">
        <f>+'Old Tables 168-184'!O537</f>
        <v>0</v>
      </c>
      <c r="H93" s="617">
        <f>+'Old Tables 168-184'!B441</f>
        <v>0</v>
      </c>
      <c r="I93" s="86">
        <f>+'Old Tables 168-184'!O441</f>
        <v>0</v>
      </c>
      <c r="K93" s="53"/>
    </row>
    <row r="94" spans="1:15">
      <c r="A94" s="6" t="s">
        <v>492</v>
      </c>
      <c r="B94" s="617">
        <f>+'Old Tables 168-184'!B474</f>
        <v>0</v>
      </c>
      <c r="C94" s="27">
        <f>+'Old Tables 168-184'!O474</f>
        <v>0</v>
      </c>
      <c r="D94" s="617">
        <f>+'Old Tables 168-184'!B506</f>
        <v>0</v>
      </c>
      <c r="E94" s="27">
        <f>+'Old Tables 168-184'!O506</f>
        <v>0</v>
      </c>
      <c r="F94" s="617">
        <f>+'Old Tables 168-184'!B538</f>
        <v>0</v>
      </c>
      <c r="G94" s="27">
        <f>+'Old Tables 168-184'!O538</f>
        <v>0</v>
      </c>
      <c r="H94" s="617">
        <f>+'Old Tables 168-184'!B442</f>
        <v>0</v>
      </c>
      <c r="I94" s="86">
        <f>+'Old Tables 168-184'!O442</f>
        <v>0</v>
      </c>
      <c r="K94" s="53"/>
    </row>
    <row r="95" spans="1:15">
      <c r="A95" s="81" t="s">
        <v>493</v>
      </c>
      <c r="B95" s="618">
        <f>+'Old Tables 168-184'!B475</f>
        <v>0</v>
      </c>
      <c r="C95" s="29">
        <f>+'Old Tables 168-184'!O475</f>
        <v>0</v>
      </c>
      <c r="D95" s="618">
        <f>+'Old Tables 168-184'!B507</f>
        <v>0</v>
      </c>
      <c r="E95" s="29">
        <f>+'Old Tables 168-184'!O507</f>
        <v>0</v>
      </c>
      <c r="F95" s="618">
        <f>+'Old Tables 168-184'!B539</f>
        <v>0</v>
      </c>
      <c r="G95" s="29">
        <f>+'Old Tables 168-184'!O539</f>
        <v>0</v>
      </c>
      <c r="H95" s="618">
        <f>+'Old Tables 168-184'!B443</f>
        <v>37213.522648303377</v>
      </c>
      <c r="I95" s="115">
        <f>+'Old Tables 168-184'!O443</f>
        <v>0</v>
      </c>
      <c r="K95" s="53"/>
    </row>
    <row r="96" spans="1:15">
      <c r="I96" s="637" t="s">
        <v>1321</v>
      </c>
      <c r="K96" s="53"/>
    </row>
  </sheetData>
  <mergeCells count="20">
    <mergeCell ref="A65:I65"/>
    <mergeCell ref="A67:I67"/>
    <mergeCell ref="A68:I68"/>
    <mergeCell ref="A69:I69"/>
    <mergeCell ref="L7:M7"/>
    <mergeCell ref="N7:O7"/>
    <mergeCell ref="A33:M33"/>
    <mergeCell ref="A35:M35"/>
    <mergeCell ref="A36:M36"/>
    <mergeCell ref="A37:M37"/>
    <mergeCell ref="B7:C7"/>
    <mergeCell ref="D7:E7"/>
    <mergeCell ref="F7:G7"/>
    <mergeCell ref="H7:I7"/>
    <mergeCell ref="J7:K7"/>
    <mergeCell ref="A1:O1"/>
    <mergeCell ref="A3:O3"/>
    <mergeCell ref="A4:O4"/>
    <mergeCell ref="A5:O5"/>
    <mergeCell ref="F6:G6"/>
  </mergeCells>
  <conditionalFormatting sqref="I96">
    <cfRule type="cellIs" dxfId="862" priority="48" stopIfTrue="1" operator="lessThan">
      <formula>0.1</formula>
    </cfRule>
  </conditionalFormatting>
  <conditionalFormatting sqref="M64">
    <cfRule type="cellIs" dxfId="861" priority="47" stopIfTrue="1" operator="lessThan">
      <formula>0.1</formula>
    </cfRule>
  </conditionalFormatting>
  <conditionalFormatting sqref="O32">
    <cfRule type="cellIs" dxfId="860" priority="46" stopIfTrue="1" operator="lessThan">
      <formula>0.1</formula>
    </cfRule>
  </conditionalFormatting>
  <conditionalFormatting sqref="O32">
    <cfRule type="cellIs" dxfId="859" priority="45" stopIfTrue="1" operator="lessThan">
      <formula>0.1</formula>
    </cfRule>
  </conditionalFormatting>
  <conditionalFormatting sqref="M64">
    <cfRule type="cellIs" dxfId="858" priority="44" stopIfTrue="1" operator="lessThan">
      <formula>0.1</formula>
    </cfRule>
  </conditionalFormatting>
  <conditionalFormatting sqref="I96">
    <cfRule type="cellIs" dxfId="857" priority="43" stopIfTrue="1" operator="lessThan">
      <formula>0.1</formula>
    </cfRule>
  </conditionalFormatting>
  <conditionalFormatting sqref="O32">
    <cfRule type="cellIs" dxfId="856" priority="42" stopIfTrue="1" operator="lessThan">
      <formula>0.1</formula>
    </cfRule>
  </conditionalFormatting>
  <conditionalFormatting sqref="M64">
    <cfRule type="cellIs" dxfId="855" priority="41" stopIfTrue="1" operator="lessThan">
      <formula>0.1</formula>
    </cfRule>
  </conditionalFormatting>
  <conditionalFormatting sqref="I96">
    <cfRule type="cellIs" dxfId="854" priority="40" stopIfTrue="1" operator="lessThan">
      <formula>0.1</formula>
    </cfRule>
  </conditionalFormatting>
  <conditionalFormatting sqref="O32">
    <cfRule type="cellIs" dxfId="853" priority="39" stopIfTrue="1" operator="lessThan">
      <formula>0.1</formula>
    </cfRule>
  </conditionalFormatting>
  <conditionalFormatting sqref="O32">
    <cfRule type="cellIs" dxfId="852" priority="38" stopIfTrue="1" operator="lessThan">
      <formula>0.1</formula>
    </cfRule>
  </conditionalFormatting>
  <conditionalFormatting sqref="O32">
    <cfRule type="cellIs" dxfId="851" priority="37" stopIfTrue="1" operator="lessThan">
      <formula>0.1</formula>
    </cfRule>
  </conditionalFormatting>
  <conditionalFormatting sqref="O32">
    <cfRule type="cellIs" dxfId="850" priority="36" stopIfTrue="1" operator="lessThan">
      <formula>0.1</formula>
    </cfRule>
  </conditionalFormatting>
  <conditionalFormatting sqref="O32">
    <cfRule type="cellIs" dxfId="849" priority="35" stopIfTrue="1" operator="lessThan">
      <formula>0.1</formula>
    </cfRule>
  </conditionalFormatting>
  <conditionalFormatting sqref="O32">
    <cfRule type="cellIs" dxfId="848" priority="34" stopIfTrue="1" operator="lessThan">
      <formula>0.1</formula>
    </cfRule>
  </conditionalFormatting>
  <conditionalFormatting sqref="O32">
    <cfRule type="cellIs" dxfId="847" priority="33" stopIfTrue="1" operator="lessThan">
      <formula>0.1</formula>
    </cfRule>
  </conditionalFormatting>
  <conditionalFormatting sqref="O32">
    <cfRule type="cellIs" dxfId="846" priority="32" stopIfTrue="1" operator="lessThan">
      <formula>0.1</formula>
    </cfRule>
  </conditionalFormatting>
  <conditionalFormatting sqref="O32">
    <cfRule type="cellIs" dxfId="845" priority="31" stopIfTrue="1" operator="lessThan">
      <formula>0.1</formula>
    </cfRule>
  </conditionalFormatting>
  <conditionalFormatting sqref="O32">
    <cfRule type="cellIs" dxfId="844" priority="30" stopIfTrue="1" operator="lessThan">
      <formula>0.1</formula>
    </cfRule>
  </conditionalFormatting>
  <conditionalFormatting sqref="O32">
    <cfRule type="cellIs" dxfId="843" priority="29" stopIfTrue="1" operator="lessThan">
      <formula>0.1</formula>
    </cfRule>
  </conditionalFormatting>
  <conditionalFormatting sqref="O32">
    <cfRule type="cellIs" dxfId="842" priority="28" stopIfTrue="1" operator="lessThan">
      <formula>0.1</formula>
    </cfRule>
  </conditionalFormatting>
  <conditionalFormatting sqref="O32">
    <cfRule type="cellIs" dxfId="841" priority="27" stopIfTrue="1" operator="lessThan">
      <formula>0.1</formula>
    </cfRule>
  </conditionalFormatting>
  <conditionalFormatting sqref="M64">
    <cfRule type="cellIs" dxfId="840" priority="26" stopIfTrue="1" operator="lessThan">
      <formula>0.1</formula>
    </cfRule>
  </conditionalFormatting>
  <conditionalFormatting sqref="M64">
    <cfRule type="cellIs" dxfId="839" priority="25" stopIfTrue="1" operator="lessThan">
      <formula>0.1</formula>
    </cfRule>
  </conditionalFormatting>
  <conditionalFormatting sqref="M64">
    <cfRule type="cellIs" dxfId="838" priority="24" stopIfTrue="1" operator="lessThan">
      <formula>0.1</formula>
    </cfRule>
  </conditionalFormatting>
  <conditionalFormatting sqref="M64">
    <cfRule type="cellIs" dxfId="837" priority="23" stopIfTrue="1" operator="lessThan">
      <formula>0.1</formula>
    </cfRule>
  </conditionalFormatting>
  <conditionalFormatting sqref="M64">
    <cfRule type="cellIs" dxfId="836" priority="22" stopIfTrue="1" operator="lessThan">
      <formula>0.1</formula>
    </cfRule>
  </conditionalFormatting>
  <conditionalFormatting sqref="M64">
    <cfRule type="cellIs" dxfId="835" priority="21" stopIfTrue="1" operator="lessThan">
      <formula>0.1</formula>
    </cfRule>
  </conditionalFormatting>
  <conditionalFormatting sqref="M64">
    <cfRule type="cellIs" dxfId="834" priority="20" stopIfTrue="1" operator="lessThan">
      <formula>0.1</formula>
    </cfRule>
  </conditionalFormatting>
  <conditionalFormatting sqref="M64">
    <cfRule type="cellIs" dxfId="833" priority="19" stopIfTrue="1" operator="lessThan">
      <formula>0.1</formula>
    </cfRule>
  </conditionalFormatting>
  <conditionalFormatting sqref="M64">
    <cfRule type="cellIs" dxfId="832" priority="18" stopIfTrue="1" operator="lessThan">
      <formula>0.1</formula>
    </cfRule>
  </conditionalFormatting>
  <conditionalFormatting sqref="M64">
    <cfRule type="cellIs" dxfId="831" priority="17" stopIfTrue="1" operator="lessThan">
      <formula>0.1</formula>
    </cfRule>
  </conditionalFormatting>
  <conditionalFormatting sqref="M64">
    <cfRule type="cellIs" dxfId="830" priority="16" stopIfTrue="1" operator="lessThan">
      <formula>0.1</formula>
    </cfRule>
  </conditionalFormatting>
  <conditionalFormatting sqref="M64">
    <cfRule type="cellIs" dxfId="829" priority="15" stopIfTrue="1" operator="lessThan">
      <formula>0.1</formula>
    </cfRule>
  </conditionalFormatting>
  <conditionalFormatting sqref="M64">
    <cfRule type="cellIs" dxfId="828" priority="14" stopIfTrue="1" operator="lessThan">
      <formula>0.1</formula>
    </cfRule>
  </conditionalFormatting>
  <conditionalFormatting sqref="I96">
    <cfRule type="cellIs" dxfId="827" priority="13" stopIfTrue="1" operator="lessThan">
      <formula>0.1</formula>
    </cfRule>
  </conditionalFormatting>
  <conditionalFormatting sqref="I96">
    <cfRule type="cellIs" dxfId="826" priority="12" stopIfTrue="1" operator="lessThan">
      <formula>0.1</formula>
    </cfRule>
  </conditionalFormatting>
  <conditionalFormatting sqref="I96">
    <cfRule type="cellIs" dxfId="825" priority="11" stopIfTrue="1" operator="lessThan">
      <formula>0.1</formula>
    </cfRule>
  </conditionalFormatting>
  <conditionalFormatting sqref="I96">
    <cfRule type="cellIs" dxfId="824" priority="10" stopIfTrue="1" operator="lessThan">
      <formula>0.1</formula>
    </cfRule>
  </conditionalFormatting>
  <conditionalFormatting sqref="I96">
    <cfRule type="cellIs" dxfId="823" priority="9" stopIfTrue="1" operator="lessThan">
      <formula>0.1</formula>
    </cfRule>
  </conditionalFormatting>
  <conditionalFormatting sqref="I96">
    <cfRule type="cellIs" dxfId="822" priority="8" stopIfTrue="1" operator="lessThan">
      <formula>0.1</formula>
    </cfRule>
  </conditionalFormatting>
  <conditionalFormatting sqref="I96">
    <cfRule type="cellIs" dxfId="821" priority="7" stopIfTrue="1" operator="lessThan">
      <formula>0.1</formula>
    </cfRule>
  </conditionalFormatting>
  <conditionalFormatting sqref="I96">
    <cfRule type="cellIs" dxfId="820" priority="6" stopIfTrue="1" operator="lessThan">
      <formula>0.1</formula>
    </cfRule>
  </conditionalFormatting>
  <conditionalFormatting sqref="I96">
    <cfRule type="cellIs" dxfId="819" priority="5" stopIfTrue="1" operator="lessThan">
      <formula>0.1</formula>
    </cfRule>
  </conditionalFormatting>
  <conditionalFormatting sqref="I96">
    <cfRule type="cellIs" dxfId="818" priority="4" stopIfTrue="1" operator="lessThan">
      <formula>0.1</formula>
    </cfRule>
  </conditionalFormatting>
  <conditionalFormatting sqref="I96">
    <cfRule type="cellIs" dxfId="817" priority="3" stopIfTrue="1" operator="lessThan">
      <formula>0.1</formula>
    </cfRule>
  </conditionalFormatting>
  <conditionalFormatting sqref="I96">
    <cfRule type="cellIs" dxfId="816" priority="2" stopIfTrue="1" operator="lessThan">
      <formula>0.1</formula>
    </cfRule>
  </conditionalFormatting>
  <conditionalFormatting sqref="I96">
    <cfRule type="cellIs" dxfId="815" priority="1" stopIfTrue="1" operator="lessThan">
      <formula>0.1</formula>
    </cfRule>
  </conditionalFormatting>
  <printOptions horizontalCentered="1" verticalCentered="1"/>
  <pageMargins left="0.5" right="0.5" top="1" bottom="0.8" header="0.75" footer="0.5"/>
  <pageSetup firstPageNumber="170" orientation="landscape" useFirstPageNumber="1" r:id="rId1"/>
  <headerFooter alignWithMargins="0">
    <oddHeader>&amp;R&amp;"Arial,Regular"&amp;8SREB-State Data Exchange</oddHeader>
    <oddFooter>&amp;C&amp;"Arial,Regular"&amp;10C-&amp;P</oddFooter>
  </headerFooter>
  <rowBreaks count="2" manualBreakCount="2">
    <brk id="32" max="14" man="1"/>
    <brk id="64" max="14" man="1"/>
  </rowBreaks>
</worksheet>
</file>

<file path=xl/worksheets/sheet5.xml><?xml version="1.0" encoding="utf-8"?>
<worksheet xmlns="http://schemas.openxmlformats.org/spreadsheetml/2006/main" xmlns:r="http://schemas.openxmlformats.org/officeDocument/2006/relationships">
  <sheetPr enableFormatConditionsCalculation="0">
    <tabColor indexed="16"/>
  </sheetPr>
  <dimension ref="A1:AC545"/>
  <sheetViews>
    <sheetView showGridLines="0" showZeros="0" view="pageBreakPreview" zoomScaleNormal="90" zoomScaleSheetLayoutView="100" workbookViewId="0">
      <selection activeCell="O33" sqref="O33"/>
    </sheetView>
  </sheetViews>
  <sheetFormatPr defaultColWidth="9" defaultRowHeight="15"/>
  <cols>
    <col min="1" max="1" width="12.75" style="135" customWidth="1"/>
    <col min="2" max="2" width="9.625" style="36" bestFit="1" customWidth="1"/>
    <col min="3" max="3" width="7.25" style="36" bestFit="1" customWidth="1"/>
    <col min="4" max="4" width="8.5" style="36" bestFit="1" customWidth="1"/>
    <col min="5" max="5" width="8.75" style="36" bestFit="1" customWidth="1"/>
    <col min="6" max="6" width="1.375" style="36" customWidth="1"/>
    <col min="7" max="7" width="7.75" style="36" bestFit="1" customWidth="1"/>
    <col min="8" max="8" width="1.75" style="36" customWidth="1"/>
    <col min="9" max="9" width="9" style="36"/>
    <col min="10" max="10" width="9.625" style="36" bestFit="1" customWidth="1"/>
    <col min="11" max="11" width="1.625" style="36" customWidth="1"/>
    <col min="12" max="12" width="13" style="36" bestFit="1" customWidth="1"/>
    <col min="13" max="13" width="8.375" style="36" customWidth="1"/>
    <col min="14" max="14" width="8.125" style="36" customWidth="1"/>
    <col min="15" max="15" width="8.125" style="135" customWidth="1"/>
    <col min="16" max="16" width="11.625" style="1" bestFit="1" customWidth="1"/>
    <col min="17" max="17" width="12.625" style="99" customWidth="1"/>
    <col min="18" max="18" width="11.625" style="99" customWidth="1"/>
    <col min="19" max="19" width="19.5" style="99" bestFit="1" customWidth="1"/>
    <col min="20" max="20" width="13.375" style="99" customWidth="1"/>
    <col min="21" max="16384" width="9" style="36"/>
  </cols>
  <sheetData>
    <row r="1" spans="1:27" ht="18">
      <c r="A1" s="595" t="s">
        <v>1100</v>
      </c>
      <c r="B1" s="48"/>
      <c r="C1" s="48"/>
      <c r="D1" s="48"/>
      <c r="E1" s="48"/>
      <c r="F1" s="48"/>
      <c r="G1" s="48"/>
      <c r="H1" s="48"/>
      <c r="I1" s="48"/>
      <c r="J1" s="48"/>
      <c r="K1" s="48"/>
      <c r="L1" s="48"/>
      <c r="M1" s="48"/>
      <c r="N1" s="48"/>
      <c r="O1" s="48"/>
    </row>
    <row r="2" spans="1:27">
      <c r="A2" s="622"/>
      <c r="B2" s="45"/>
      <c r="C2" s="54"/>
      <c r="D2" s="54"/>
      <c r="E2" s="54"/>
      <c r="F2" s="54"/>
      <c r="G2" s="54"/>
      <c r="H2" s="54"/>
      <c r="I2" s="54"/>
      <c r="J2" s="54"/>
      <c r="K2" s="54"/>
      <c r="L2" s="54"/>
      <c r="M2" s="6"/>
      <c r="N2" s="54"/>
      <c r="O2" s="145"/>
    </row>
    <row r="3" spans="1:27" ht="15.75">
      <c r="A3" s="640" t="s">
        <v>466</v>
      </c>
      <c r="B3" s="641"/>
      <c r="C3" s="641"/>
      <c r="D3" s="641"/>
      <c r="E3" s="641"/>
      <c r="F3" s="641"/>
      <c r="G3" s="641"/>
      <c r="H3" s="641"/>
      <c r="I3" s="641"/>
      <c r="J3" s="641"/>
      <c r="K3" s="641"/>
      <c r="L3" s="641"/>
      <c r="M3" s="641"/>
      <c r="N3" s="641"/>
      <c r="O3" s="641"/>
    </row>
    <row r="4" spans="1:27" ht="15.75">
      <c r="A4" s="640" t="s">
        <v>1164</v>
      </c>
      <c r="B4" s="641"/>
      <c r="C4" s="641"/>
      <c r="D4" s="641"/>
      <c r="E4" s="641"/>
      <c r="F4" s="641"/>
      <c r="G4" s="641"/>
      <c r="H4" s="641"/>
      <c r="I4" s="641"/>
      <c r="J4" s="641"/>
      <c r="K4" s="641"/>
      <c r="L4" s="641"/>
      <c r="M4" s="641"/>
      <c r="N4" s="641"/>
      <c r="O4" s="641"/>
    </row>
    <row r="5" spans="1:27" ht="15.75" customHeight="1">
      <c r="A5" s="148"/>
      <c r="B5" s="45"/>
      <c r="C5" s="54"/>
      <c r="D5" s="54"/>
      <c r="E5" s="54"/>
      <c r="F5" s="54"/>
      <c r="G5" s="54"/>
      <c r="H5" s="54"/>
      <c r="I5" s="54"/>
      <c r="J5" s="54"/>
      <c r="K5" s="54"/>
      <c r="L5" s="54"/>
      <c r="M5" s="54"/>
      <c r="N5" s="54"/>
      <c r="O5" s="145"/>
    </row>
    <row r="6" spans="1:27" ht="15" customHeight="1">
      <c r="A6" s="623"/>
      <c r="B6" s="2" t="s">
        <v>473</v>
      </c>
      <c r="C6" s="654" t="s">
        <v>593</v>
      </c>
      <c r="D6" s="654"/>
      <c r="E6" s="654"/>
      <c r="F6" s="654"/>
      <c r="G6" s="654"/>
      <c r="H6" s="654"/>
      <c r="I6" s="654"/>
      <c r="J6" s="654"/>
      <c r="K6" s="654"/>
      <c r="L6" s="654"/>
      <c r="M6" s="654"/>
      <c r="N6" s="654"/>
      <c r="O6" s="654"/>
    </row>
    <row r="7" spans="1:27" ht="15.75" customHeight="1">
      <c r="A7" s="624"/>
      <c r="B7" s="4" t="s">
        <v>474</v>
      </c>
      <c r="C7" s="24" t="s">
        <v>660</v>
      </c>
      <c r="D7" s="24"/>
      <c r="E7" s="53"/>
      <c r="F7" s="53"/>
      <c r="G7" s="24" t="s">
        <v>661</v>
      </c>
      <c r="H7" s="24"/>
      <c r="I7" s="24" t="s">
        <v>662</v>
      </c>
      <c r="J7" s="24" t="s">
        <v>663</v>
      </c>
      <c r="K7" s="24"/>
      <c r="L7" s="24" t="s">
        <v>664</v>
      </c>
      <c r="M7" s="24" t="s">
        <v>665</v>
      </c>
      <c r="N7" s="24"/>
      <c r="O7" s="138" t="s">
        <v>475</v>
      </c>
      <c r="Q7" s="653" t="s">
        <v>687</v>
      </c>
      <c r="R7" s="653" t="s">
        <v>686</v>
      </c>
      <c r="S7" s="653" t="s">
        <v>690</v>
      </c>
      <c r="T7" s="653" t="s">
        <v>691</v>
      </c>
    </row>
    <row r="8" spans="1:27">
      <c r="A8" s="625"/>
      <c r="B8" s="15" t="s">
        <v>476</v>
      </c>
      <c r="C8" s="16" t="s">
        <v>667</v>
      </c>
      <c r="D8" s="16" t="s">
        <v>708</v>
      </c>
      <c r="E8" s="17" t="s">
        <v>709</v>
      </c>
      <c r="F8" s="17"/>
      <c r="G8" s="16" t="s">
        <v>668</v>
      </c>
      <c r="H8" s="16"/>
      <c r="I8" s="16" t="s">
        <v>667</v>
      </c>
      <c r="J8" s="16" t="s">
        <v>669</v>
      </c>
      <c r="K8" s="16"/>
      <c r="L8" s="16" t="s">
        <v>670</v>
      </c>
      <c r="M8" s="16" t="s">
        <v>671</v>
      </c>
      <c r="N8" s="16" t="s">
        <v>701</v>
      </c>
      <c r="O8" s="146" t="s">
        <v>15</v>
      </c>
      <c r="Q8" s="653"/>
      <c r="R8" s="653"/>
      <c r="S8" s="653"/>
      <c r="T8" s="653"/>
    </row>
    <row r="9" spans="1:27">
      <c r="A9" s="149" t="s">
        <v>600</v>
      </c>
      <c r="B9" s="33">
        <f>+'[2]NEW Tables 143-162'!N8</f>
        <v>73954.52597053448</v>
      </c>
      <c r="C9" s="32">
        <f>IF($B9&gt;0,(GETPIVOTDATA(" New Retirement",'$ Pivot Table'!$A$3,"Category2","Four-Year"))/$B9)*100</f>
        <v>10.691340350088126</v>
      </c>
      <c r="D9" s="32">
        <f>IF($B9&gt;0,(GETPIVOTDATA(" New Health",'$ Pivot Table'!$A$3,"Category2","Four-Year"))/$B9)*100</f>
        <v>9.0845501391737411</v>
      </c>
      <c r="E9" s="32">
        <f>IF($B9&gt;0,(GETPIVOTDATA(" New Disability",'$ Pivot Table'!$A$3,"Category2","Four-Year"))/$B9)*100</f>
        <v>0.38600394085165635</v>
      </c>
      <c r="F9" s="32"/>
      <c r="G9" s="32">
        <f>IF($B9&gt;0,(GETPIVOTDATA(" New Social Security",'$ Pivot Table'!$A$3,"Category2","Four-Year"))/$B9)*100</f>
        <v>6.8828772829090461</v>
      </c>
      <c r="H9" s="32"/>
      <c r="I9" s="32">
        <f>IF($B9&gt;0,(GETPIVOTDATA(" New Unemployment",'$ Pivot Table'!$A$3,"Category2","Four-Year"))/$B9)*100</f>
        <v>0.17856842672588752</v>
      </c>
      <c r="J9" s="32">
        <f>IF($B9&gt;0,(GETPIVOTDATA(" New Life Insurance",'$ Pivot Table'!$A$3,"Category2","Four-Year"))/$B9)*100</f>
        <v>0.28110790496342031</v>
      </c>
      <c r="K9" s="32"/>
      <c r="L9" s="32">
        <f>IF($B9&gt;0,(GETPIVOTDATA(" New Worker's Comp",'$ Pivot Table'!$A$3,"Category2","Four-Year"))/$B9)*100</f>
        <v>0.48452017830755673</v>
      </c>
      <c r="M9" s="32">
        <f>IF($B9&gt;0,(GETPIVOTDATA(" New Tuition Plans",'$ Pivot Table'!$A$3,"Category2","Four-Year"))/$B9)*100</f>
        <v>3.8884541185363379</v>
      </c>
      <c r="N9" s="32">
        <f>IF($B9&gt;0,(GETPIVOTDATA(" New Other",'$ Pivot Table'!$A$3,"Category2","Four-Year"))/$B9)*100</f>
        <v>0.92865921831726439</v>
      </c>
      <c r="O9" s="32">
        <f>IF($B9&gt;0,(GETPIVOTDATA(" New Total",'$ Pivot Table'!$A$3,"Category2","Four-Year"))/$B9)*100</f>
        <v>26.50497910852722</v>
      </c>
      <c r="P9" s="1" t="s">
        <v>600</v>
      </c>
      <c r="Q9" s="165">
        <f>+'[2]OLD Tables'!N8</f>
        <v>73458.825806119945</v>
      </c>
      <c r="R9" s="165">
        <f>+GETPIVOTDATA(" Old Total",'$ Pivot Table'!$A$3,"Category2","Four-Year")</f>
        <v>19433.075544171603</v>
      </c>
      <c r="S9" s="167">
        <f>+R9/Q9*100</f>
        <v>26.454378123959355</v>
      </c>
      <c r="T9" s="169">
        <f>+O9-S9</f>
        <v>5.0600984567864771E-2</v>
      </c>
      <c r="U9" s="1" t="s">
        <v>600</v>
      </c>
      <c r="V9" s="117"/>
      <c r="X9" s="117"/>
      <c r="Y9" s="117"/>
      <c r="AA9" s="117"/>
    </row>
    <row r="10" spans="1:27">
      <c r="A10" s="149"/>
      <c r="B10" s="31"/>
      <c r="C10" s="32"/>
      <c r="D10" s="32"/>
      <c r="E10" s="32"/>
      <c r="F10" s="32"/>
      <c r="G10" s="32"/>
      <c r="H10" s="32"/>
      <c r="I10" s="32"/>
      <c r="J10" s="32"/>
      <c r="K10" s="32"/>
      <c r="L10" s="32"/>
      <c r="M10" s="32"/>
      <c r="N10" s="32"/>
      <c r="O10" s="32"/>
      <c r="Q10" s="165"/>
      <c r="R10" s="165"/>
      <c r="S10" s="167"/>
      <c r="T10" s="168"/>
      <c r="U10" s="1"/>
      <c r="V10" s="117"/>
      <c r="X10" s="117"/>
      <c r="Y10" s="117"/>
      <c r="AA10" s="117"/>
    </row>
    <row r="11" spans="1:27">
      <c r="A11" s="149" t="s">
        <v>479</v>
      </c>
      <c r="B11" s="617">
        <f>+'[2]NEW Tables 143-162'!N10</f>
        <v>72751.781656992593</v>
      </c>
      <c r="C11" s="32">
        <f>IF($B11&gt;0,(GETPIVOTDATA(" New Retirement",'$ Pivot Table'!$A$3,"State","AL","Category2","Four-Year"))/$B11)*100</f>
        <v>14.754273509502806</v>
      </c>
      <c r="D11" s="32">
        <f>IF($B11&gt;0,(GETPIVOTDATA(" New Health",'$ Pivot Table'!$A$3,"State","AL","Category2","Four-Year"))/$B11)*100</f>
        <v>9.5213311135060987</v>
      </c>
      <c r="E11" s="32">
        <f>IF($B11&gt;0,(GETPIVOTDATA(" New Disability",'$ Pivot Table'!$A$3,"State","AL","Category2","Four-Year"))/$B11)*100</f>
        <v>0.39614371620212435</v>
      </c>
      <c r="F11" s="32"/>
      <c r="G11" s="32">
        <f>IF($B11&gt;0,(GETPIVOTDATA(" New Social Security",'$ Pivot Table'!$A$3,"State","AL","Category2","Four-Year"))/$B11)*100</f>
        <v>7.2057998752596708</v>
      </c>
      <c r="H11" s="32"/>
      <c r="I11" s="32">
        <f>IF($B11&gt;0,(GETPIVOTDATA(" New Unemployment",'$ Pivot Table'!$A$3,"State","AL","Category2","Four-Year"))/$B11)*100</f>
        <v>0.11400315884248856</v>
      </c>
      <c r="J11" s="32">
        <f>IF($B11&gt;0,(GETPIVOTDATA(" New Life Insurance",'$ Pivot Table'!$A$3,"State","AL","Category2","Four-Year"))/$B11)*100</f>
        <v>0.18892302000353189</v>
      </c>
      <c r="K11" s="32"/>
      <c r="L11" s="32">
        <f>IF($B11&gt;0,(GETPIVOTDATA(" New Worker's Comp",'$ Pivot Table'!$A$3,"State","AL","Category2","Four-Year"))/$B11)*100</f>
        <v>9.241633847719169E-2</v>
      </c>
      <c r="M11" s="32">
        <f>IF($B11&gt;0,(GETPIVOTDATA(" New Tuition Plans",'$ Pivot Table'!$A$3,"State","AL","Category2","Four-Year"))/$B11)*100</f>
        <v>5.0502621331628372</v>
      </c>
      <c r="N11" s="32">
        <f>IF($B11&gt;0,(GETPIVOTDATA(" New Other",'$ Pivot Table'!$A$3,"State","AL","Category2","Four-Year"))/$B11)*100</f>
        <v>3.0845971692772531</v>
      </c>
      <c r="O11" s="32">
        <f>IF($B11&gt;0,(GETPIVOTDATA(" New Total",'$ Pivot Table'!$A$3,"State","AL","Category2","Four-Year"))/$B11)*100</f>
        <v>31.135542282928931</v>
      </c>
      <c r="P11" s="1" t="s">
        <v>479</v>
      </c>
      <c r="Q11" s="165">
        <f>+'[2]OLD Tables'!N10</f>
        <v>71754.306204442197</v>
      </c>
      <c r="R11" s="165">
        <f>+GETPIVOTDATA(" Old Total",'$ Pivot Table'!$A$3,"State","AL","Category2","Four-Year")</f>
        <v>22232.316606672277</v>
      </c>
      <c r="S11" s="167">
        <f t="shared" ref="S11:S29" si="0">+R11/Q11*100</f>
        <v>30.983947560342951</v>
      </c>
      <c r="T11" s="168">
        <f t="shared" ref="T11:T29" si="1">+O11-S11</f>
        <v>0.15159472258597972</v>
      </c>
      <c r="U11" s="1" t="s">
        <v>479</v>
      </c>
      <c r="V11" s="117"/>
      <c r="X11" s="117"/>
      <c r="Y11" s="117"/>
      <c r="AA11" s="117"/>
    </row>
    <row r="12" spans="1:27">
      <c r="A12" s="149" t="s">
        <v>480</v>
      </c>
      <c r="B12" s="617">
        <f>+'[2]NEW Tables 143-162'!N11</f>
        <v>61129.79961629834</v>
      </c>
      <c r="C12" s="32">
        <f>IF($B12&gt;0,(GETPIVOTDATA(" New Retirement",'$ Pivot Table'!$A$3,"State","AR","Category2","Four-Year"))/$B12)*100</f>
        <v>9.7696494327921215</v>
      </c>
      <c r="D12" s="32">
        <f>IF($B12&gt;0,(GETPIVOTDATA(" New Health",'$ Pivot Table'!$A$3,"State","AR","Category2","Four-Year"))/$B12)*100</f>
        <v>9.3670123916418717</v>
      </c>
      <c r="E12" s="32">
        <f>IF($B12&gt;0,(GETPIVOTDATA(" New Disability",'$ Pivot Table'!$A$3,"State","AR","Category2","Four-Year"))/$B12)*100</f>
        <v>0.22445288630179688</v>
      </c>
      <c r="F12" s="32"/>
      <c r="G12" s="32">
        <f>IF($B12&gt;0,(GETPIVOTDATA(" New Social Security",'$ Pivot Table'!$A$3,"State","AR","Category2","Four-Year"))/$B12)*100</f>
        <v>7.392289578479776</v>
      </c>
      <c r="H12" s="32"/>
      <c r="I12" s="32">
        <f>IF($B12&gt;0,(GETPIVOTDATA(" New Unemployment",'$ Pivot Table'!$A$3,"State","AR","Category2","Four-Year"))/$B12)*100</f>
        <v>0.35652043668704625</v>
      </c>
      <c r="J12" s="32">
        <f>IF($B12&gt;0,(GETPIVOTDATA(" New Life Insurance",'$ Pivot Table'!$A$3,"State","AR","Category2","Four-Year"))/$B12)*100</f>
        <v>0.25428639282219478</v>
      </c>
      <c r="K12" s="32"/>
      <c r="L12" s="32">
        <f>IF($B12&gt;0,(GETPIVOTDATA(" New Worker's Comp",'$ Pivot Table'!$A$3,"State","AR","Category2","Four-Year"))/$B12)*100</f>
        <v>0.32137635810167281</v>
      </c>
      <c r="M12" s="32">
        <f>IF($B12&gt;0,(GETPIVOTDATA(" New Tuition Plans",'$ Pivot Table'!$A$3,"State","AR","Category2","Four-Year"))/$B12)*100</f>
        <v>2.3100033789489642</v>
      </c>
      <c r="N12" s="32">
        <f>IF($B12&gt;0,(GETPIVOTDATA(" New Other",'$ Pivot Table'!$A$3,"State","AR","Category2","Four-Year"))/$B12)*100</f>
        <v>1.0224146061708395</v>
      </c>
      <c r="O12" s="32">
        <f>IF($B12&gt;0,(GETPIVOTDATA(" New Total",'$ Pivot Table'!$A$3,"State","AR","Category2","Four-Year"))/$B12)*100</f>
        <v>26.772270392518216</v>
      </c>
      <c r="P12" s="1" t="s">
        <v>480</v>
      </c>
      <c r="Q12" s="165">
        <f>+'[2]OLD Tables'!N11</f>
        <v>59792.055882499313</v>
      </c>
      <c r="R12" s="165">
        <f>+GETPIVOTDATA(" Old Total",'$ Pivot Table'!$A$3,"State","AR","Category2","Four-Year")</f>
        <v>16115.652713663421</v>
      </c>
      <c r="S12" s="167">
        <f t="shared" si="0"/>
        <v>26.952832572496227</v>
      </c>
      <c r="T12" s="168">
        <f t="shared" si="1"/>
        <v>-0.18056217997801127</v>
      </c>
      <c r="U12" s="1" t="s">
        <v>480</v>
      </c>
      <c r="V12" s="117"/>
      <c r="X12" s="117"/>
      <c r="Y12" s="117"/>
      <c r="AA12" s="117"/>
    </row>
    <row r="13" spans="1:27" s="135" customFormat="1">
      <c r="A13" s="149" t="s">
        <v>494</v>
      </c>
      <c r="B13" s="617">
        <f>+'[2]NEW Tables 143-162'!N12</f>
        <v>94474.343564954674</v>
      </c>
      <c r="C13" s="90">
        <f>IF($B13&gt;0,(GETPIVOTDATA(" New Retirement",'$ Pivot Table'!$A$3,"State","DE","Category2","Four-Year"))/$B13)*100</f>
        <v>11.637753204615949</v>
      </c>
      <c r="D13" s="90">
        <f>IF($B13&gt;0,(GETPIVOTDATA(" New Health",'$ Pivot Table'!$A$3,"State","DE","Category2","Four-Year"))/$B13)*100</f>
        <v>12.238002638950455</v>
      </c>
      <c r="E13" s="90">
        <f>IF($B13&gt;0,(GETPIVOTDATA(" New Disability",'$ Pivot Table'!$A$3,"State","DE","Category2","Four-Year"))/$B13)*100</f>
        <v>0.29395615083705284</v>
      </c>
      <c r="F13" s="90"/>
      <c r="G13" s="90">
        <f>IF($B13&gt;0,(GETPIVOTDATA(" New Social Security",'$ Pivot Table'!$A$3,"State","DE","Category2","Four-Year"))/$B13)*100</f>
        <v>6.9781735617185285</v>
      </c>
      <c r="H13" s="90"/>
      <c r="I13" s="90">
        <f>IF($B13&gt;0,(GETPIVOTDATA(" New Unemployment",'$ Pivot Table'!$A$3,"State","DE","Category2","Four-Year"))/$B13)*100</f>
        <v>0.20208095167839382</v>
      </c>
      <c r="J13" s="90">
        <f>IF($B13&gt;0,(GETPIVOTDATA(" New Life Insurance",'$ Pivot Table'!$A$3,"State","DE","Category2","Four-Year"))/$B13)*100</f>
        <v>0.31839955428209654</v>
      </c>
      <c r="K13" s="90"/>
      <c r="L13" s="90">
        <f>IF($B13&gt;0,(GETPIVOTDATA(" New Worker's Comp",'$ Pivot Table'!$A$3,"State","DE","Category2","Four-Year"))/$B13)*100</f>
        <v>0.48867442590366267</v>
      </c>
      <c r="M13" s="90">
        <f>IF($B13&gt;0,(GETPIVOTDATA(" New Tuition Plans",'$ Pivot Table'!$A$3,"State","DE","Category2","Four-Year"))/$B13)*100</f>
        <v>8.9764487095464141</v>
      </c>
      <c r="N13" s="90">
        <f>IF($B13&gt;0,(GETPIVOTDATA(" New Other",'$ Pivot Table'!$A$3,"State","DE","Category2","Four-Year"))/$B13)*100</f>
        <v>0</v>
      </c>
      <c r="O13" s="90">
        <f>IF($B13&gt;0,(GETPIVOTDATA(" New Total",'$ Pivot Table'!$A$3,"State","DE","Category2","Four-Year"))/$B13)*100</f>
        <v>32.950865432007895</v>
      </c>
      <c r="P13" s="170" t="s">
        <v>494</v>
      </c>
      <c r="Q13" s="166">
        <f>+'[2]OLD Tables'!N12</f>
        <v>93548.481453917047</v>
      </c>
      <c r="R13" s="166">
        <f>+GETPIVOTDATA(" Old Total",'$ Pivot Table'!$A$3,"State","DE","Category2","Four-Year")</f>
        <v>29545.236066267284</v>
      </c>
      <c r="S13" s="167">
        <f t="shared" si="0"/>
        <v>31.582806697745891</v>
      </c>
      <c r="T13" s="168">
        <f t="shared" si="1"/>
        <v>1.3680587342620036</v>
      </c>
      <c r="U13" s="170" t="s">
        <v>494</v>
      </c>
      <c r="V13" s="150"/>
      <c r="X13" s="150"/>
      <c r="Y13" s="150"/>
      <c r="AA13" s="150"/>
    </row>
    <row r="14" spans="1:27">
      <c r="A14" s="149" t="s">
        <v>481</v>
      </c>
      <c r="B14" s="617">
        <f>+'[2]NEW Tables 143-162'!N13</f>
        <v>78037.041880881632</v>
      </c>
      <c r="C14" s="32">
        <f>IF($B14&gt;0,(GETPIVOTDATA(" New Retirement",'$ Pivot Table'!$A$3,"State","FL","Category2","Four-Year"))/$B14)*100</f>
        <v>10.537427122197775</v>
      </c>
      <c r="D14" s="32">
        <f>IF($B14&gt;0,(GETPIVOTDATA(" New Health",'$ Pivot Table'!$A$3,"State","FL","Category2","Four-Year"))/$B14)*100</f>
        <v>11.794471541317646</v>
      </c>
      <c r="E14" s="32">
        <f>IF($B14&gt;0,(GETPIVOTDATA(" New Disability",'$ Pivot Table'!$A$3,"State","FL","Category2","Four-Year"))/$B14)*100</f>
        <v>0</v>
      </c>
      <c r="F14" s="32"/>
      <c r="G14" s="32">
        <f>IF($B14&gt;0,(GETPIVOTDATA(" New Social Security",'$ Pivot Table'!$A$3,"State","FL","Category2","Four-Year"))/$B14)*100</f>
        <v>6.8112300719593248</v>
      </c>
      <c r="H14" s="32"/>
      <c r="I14" s="32">
        <f>IF($B14&gt;0,(GETPIVOTDATA(" New Unemployment",'$ Pivot Table'!$A$3,"State","FL","Category2","Four-Year"))/$B14)*100</f>
        <v>0.39045641932417063</v>
      </c>
      <c r="J14" s="32">
        <f>IF($B14&gt;0,(GETPIVOTDATA(" New Life Insurance",'$ Pivot Table'!$A$3,"State","FL","Category2","Four-Year"))/$B14)*100</f>
        <v>0.24508129896861608</v>
      </c>
      <c r="K14" s="32"/>
      <c r="L14" s="32">
        <f>IF($B14&gt;0,(GETPIVOTDATA(" New Worker's Comp",'$ Pivot Table'!$A$3,"State","FL","Category2","Four-Year"))/$B14)*100</f>
        <v>0.443980823635577</v>
      </c>
      <c r="M14" s="32">
        <f>IF($B14&gt;0,(GETPIVOTDATA(" New Tuition Plans",'$ Pivot Table'!$A$3,"State","FL","Category2","Four-Year"))/$B14)*100</f>
        <v>5.7664922856365458E-2</v>
      </c>
      <c r="N14" s="32">
        <f>IF($B14&gt;0,(GETPIVOTDATA(" New Other",'$ Pivot Table'!$A$3,"State","FL","Category2","Four-Year"))/$B14)*100</f>
        <v>0.25722796667743381</v>
      </c>
      <c r="O14" s="32">
        <f>IF($B14&gt;0,(GETPIVOTDATA(" New Total",'$ Pivot Table'!$A$3,"State","FL","Category2","Four-Year"))/$B14)*100</f>
        <v>29.00015194133908</v>
      </c>
      <c r="P14" s="1" t="s">
        <v>481</v>
      </c>
      <c r="Q14" s="165">
        <f>+'[2]OLD Tables'!N13</f>
        <v>76316.768813501709</v>
      </c>
      <c r="R14" s="165">
        <f>+GETPIVOTDATA(" Old Total",'$ Pivot Table'!$A$3,"State","FL","Category2","Four-Year")</f>
        <v>21975.18989856694</v>
      </c>
      <c r="S14" s="167">
        <f t="shared" si="0"/>
        <v>28.794706904151795</v>
      </c>
      <c r="T14" s="168">
        <f t="shared" si="1"/>
        <v>0.20544503718728535</v>
      </c>
      <c r="U14" s="1" t="s">
        <v>481</v>
      </c>
      <c r="V14" s="117"/>
      <c r="X14" s="117"/>
      <c r="Y14" s="117"/>
      <c r="AA14" s="117"/>
    </row>
    <row r="15" spans="1:27">
      <c r="A15" s="149"/>
      <c r="B15" s="617"/>
      <c r="C15" s="32"/>
      <c r="D15" s="32"/>
      <c r="E15" s="32"/>
      <c r="F15" s="32"/>
      <c r="G15" s="32"/>
      <c r="H15" s="32"/>
      <c r="I15" s="32"/>
      <c r="J15" s="32"/>
      <c r="K15" s="32"/>
      <c r="L15" s="32"/>
      <c r="M15" s="32"/>
      <c r="N15" s="32"/>
      <c r="O15" s="32"/>
      <c r="Q15" s="165"/>
      <c r="R15" s="165"/>
      <c r="S15" s="167"/>
      <c r="T15" s="168"/>
      <c r="U15" s="1"/>
      <c r="V15" s="117"/>
      <c r="X15" s="117"/>
      <c r="Y15" s="117"/>
      <c r="AA15" s="117"/>
    </row>
    <row r="16" spans="1:27">
      <c r="A16" s="149" t="s">
        <v>482</v>
      </c>
      <c r="B16" s="617">
        <f>+'[2]NEW Tables 143-162'!N15</f>
        <v>72774.068051609604</v>
      </c>
      <c r="C16" s="32">
        <f>IF($B16&gt;0,(GETPIVOTDATA(" New Retirement",'$ Pivot Table'!$A$3,"State","GA","Category2","Four-Year"))/$B16)*100</f>
        <v>9.6585882647481238</v>
      </c>
      <c r="D16" s="32">
        <f>IF($B16&gt;0,(GETPIVOTDATA(" New Health",'$ Pivot Table'!$A$3,"State","GA","Category2","Four-Year"))/$B16)*100</f>
        <v>9.4509780822848057</v>
      </c>
      <c r="E16" s="32">
        <f>IF($B16&gt;0,(GETPIVOTDATA(" New Disability",'$ Pivot Table'!$A$3,"State","GA","Category2","Four-Year"))/$B16)*100</f>
        <v>0</v>
      </c>
      <c r="F16" s="32"/>
      <c r="G16" s="32">
        <f>IF($B16&gt;0,(GETPIVOTDATA(" New Social Security",'$ Pivot Table'!$A$3,"State","GA","Category2","Four-Year"))/$B16)*100</f>
        <v>7.2290879034556683</v>
      </c>
      <c r="H16" s="32"/>
      <c r="I16" s="32">
        <f>IF($B16&gt;0,(GETPIVOTDATA(" New Unemployment",'$ Pivot Table'!$A$3,"State","GA","Category2","Four-Year"))/$B16)*100</f>
        <v>0.19375033411627643</v>
      </c>
      <c r="J16" s="32">
        <f>IF($B16&gt;0,(GETPIVOTDATA(" New Life Insurance",'$ Pivot Table'!$A$3,"State","GA","Category2","Four-Year"))/$B16)*100</f>
        <v>0.19656053263532042</v>
      </c>
      <c r="K16" s="32"/>
      <c r="L16" s="32">
        <f>IF($B16&gt;0,(GETPIVOTDATA(" New Worker's Comp",'$ Pivot Table'!$A$3,"State","GA","Category2","Four-Year"))/$B16)*100</f>
        <v>0.17372190862044817</v>
      </c>
      <c r="M16" s="32">
        <f>IF($B16&gt;0,(GETPIVOTDATA(" New Tuition Plans",'$ Pivot Table'!$A$3,"State","GA","Category2","Four-Year"))/$B16)*100</f>
        <v>0</v>
      </c>
      <c r="N16" s="32">
        <f>IF($B16&gt;0,(GETPIVOTDATA(" New Other",'$ Pivot Table'!$A$3,"State","GA","Category2","Four-Year"))/$B16)*100</f>
        <v>0</v>
      </c>
      <c r="O16" s="32">
        <f>IF($B16&gt;0,(GETPIVOTDATA(" New Total",'$ Pivot Table'!$A$3,"State","GA","Category2","Four-Year"))/$B16)*100</f>
        <v>25.263080319854485</v>
      </c>
      <c r="P16" s="1" t="s">
        <v>482</v>
      </c>
      <c r="Q16" s="165">
        <f>+'[2]OLD Tables'!N15</f>
        <v>72787.952532273717</v>
      </c>
      <c r="R16" s="165">
        <f>+GETPIVOTDATA(" Old Total",'$ Pivot Table'!$A$3,"State","GA","Category2","Four-Year")</f>
        <v>18237.976648329903</v>
      </c>
      <c r="S16" s="167">
        <f t="shared" si="0"/>
        <v>25.056312224530974</v>
      </c>
      <c r="T16" s="168">
        <f t="shared" si="1"/>
        <v>0.20676809532351115</v>
      </c>
      <c r="U16" s="1" t="s">
        <v>482</v>
      </c>
      <c r="V16" s="117"/>
      <c r="X16" s="117"/>
      <c r="Y16" s="117"/>
      <c r="AA16" s="117"/>
    </row>
    <row r="17" spans="1:27">
      <c r="A17" s="149" t="s">
        <v>483</v>
      </c>
      <c r="B17" s="617">
        <f>+'[2]NEW Tables 143-162'!N16</f>
        <v>69042.577551673312</v>
      </c>
      <c r="C17" s="32">
        <f>IF($B17&gt;0,(GETPIVOTDATA(" New Retirement",'$ Pivot Table'!$A$3,"State","KY","Category2","Four-Year"))/$B17)*100</f>
        <v>11.365567359511473</v>
      </c>
      <c r="D17" s="32">
        <f>IF($B17&gt;0,(GETPIVOTDATA(" New Health",'$ Pivot Table'!$A$3,"State","KY","Category2","Four-Year"))/$B17)*100</f>
        <v>8.7022020434309422</v>
      </c>
      <c r="E17" s="32">
        <f>IF($B17&gt;0,(GETPIVOTDATA(" New Disability",'$ Pivot Table'!$A$3,"State","KY","Category2","Four-Year"))/$B17)*100</f>
        <v>0.21857787845375501</v>
      </c>
      <c r="F17" s="32"/>
      <c r="G17" s="32">
        <f>IF($B17&gt;0,(GETPIVOTDATA(" New Social Security",'$ Pivot Table'!$A$3,"State","KY","Category2","Four-Year"))/$B17)*100</f>
        <v>7.7883938217913364</v>
      </c>
      <c r="H17" s="32"/>
      <c r="I17" s="32">
        <f>IF($B17&gt;0,(GETPIVOTDATA(" New Unemployment",'$ Pivot Table'!$A$3,"State","KY","Category2","Four-Year"))/$B17)*100</f>
        <v>0.21606819928239857</v>
      </c>
      <c r="J17" s="32">
        <f>IF($B17&gt;0,(GETPIVOTDATA(" New Life Insurance",'$ Pivot Table'!$A$3,"State","KY","Category2","Four-Year"))/$B17)*100</f>
        <v>0.18441853385151122</v>
      </c>
      <c r="K17" s="32"/>
      <c r="L17" s="32">
        <f>IF($B17&gt;0,(GETPIVOTDATA(" New Worker's Comp",'$ Pivot Table'!$A$3,"State","KY","Category2","Four-Year"))/$B17)*100</f>
        <v>0.44748117868697262</v>
      </c>
      <c r="M17" s="32">
        <f>IF($B17&gt;0,(GETPIVOTDATA(" New Tuition Plans",'$ Pivot Table'!$A$3,"State","KY","Category2","Four-Year"))/$B17)*100</f>
        <v>5.6861816329179273</v>
      </c>
      <c r="N17" s="32">
        <f>IF($B17&gt;0,(GETPIVOTDATA(" New Other",'$ Pivot Table'!$A$3,"State","KY","Category2","Four-Year"))/$B17)*100</f>
        <v>0.46304463254944878</v>
      </c>
      <c r="O17" s="32">
        <f>IF($B17&gt;0,(GETPIVOTDATA(" New Total",'$ Pivot Table'!$A$3,"State","KY","Category2","Four-Year"))/$B17)*100</f>
        <v>28.566893060530695</v>
      </c>
      <c r="P17" s="1" t="s">
        <v>483</v>
      </c>
      <c r="Q17" s="165">
        <f>+'[2]OLD Tables'!N16</f>
        <v>68260.838038756556</v>
      </c>
      <c r="R17" s="165">
        <f>+GETPIVOTDATA(" Old Total",'$ Pivot Table'!$A$3,"State","KY","Category2","Four-Year")</f>
        <v>19062.443353792409</v>
      </c>
      <c r="S17" s="167">
        <f t="shared" si="0"/>
        <v>27.925885326765687</v>
      </c>
      <c r="T17" s="168">
        <f t="shared" si="1"/>
        <v>0.64100773376500797</v>
      </c>
      <c r="U17" s="1" t="s">
        <v>483</v>
      </c>
      <c r="V17" s="117"/>
      <c r="X17" s="117"/>
      <c r="Y17" s="117"/>
      <c r="AA17" s="117"/>
    </row>
    <row r="18" spans="1:27">
      <c r="A18" s="149" t="s">
        <v>484</v>
      </c>
      <c r="B18" s="617">
        <f>+'[2]NEW Tables 143-162'!N17</f>
        <v>65908.823999419736</v>
      </c>
      <c r="C18" s="32">
        <f>IF($B18&gt;0,(GETPIVOTDATA(" New Retirement",'$ Pivot Table'!$A$3,"State","LA","Category2","Four-Year"))/$B18)*100</f>
        <v>14.347792446565705</v>
      </c>
      <c r="D18" s="32">
        <f>IF($B18&gt;0,(GETPIVOTDATA(" New Health",'$ Pivot Table'!$A$3,"State","LA","Category2","Four-Year"))/$B18)*100</f>
        <v>8.5532315352848585</v>
      </c>
      <c r="E18" s="32">
        <f>IF($B18&gt;0,(GETPIVOTDATA(" New Disability",'$ Pivot Table'!$A$3,"State","LA","Category2","Four-Year"))/$B18)*100</f>
        <v>0.38003653644693119</v>
      </c>
      <c r="F18" s="32"/>
      <c r="G18" s="32">
        <f>IF($B18&gt;0,(GETPIVOTDATA(" New Social Security",'$ Pivot Table'!$A$3,"State","LA","Category2","Four-Year"))/$B18)*100</f>
        <v>1.2672276426357545</v>
      </c>
      <c r="H18" s="98" t="s">
        <v>468</v>
      </c>
      <c r="I18" s="32">
        <f>IF($B18&gt;0,(GETPIVOTDATA(" New Unemployment",'$ Pivot Table'!$A$3,"State","LA","Category2","Four-Year"))/$B18)*100</f>
        <v>0.21769748894316926</v>
      </c>
      <c r="J18" s="32">
        <f>IF($B18&gt;0,(GETPIVOTDATA(" New Life Insurance",'$ Pivot Table'!$A$3,"State","LA","Category2","Four-Year"))/$B18)*100</f>
        <v>0.28072897174258832</v>
      </c>
      <c r="K18" s="32"/>
      <c r="L18" s="32">
        <f>IF($B18&gt;0,(GETPIVOTDATA(" New Worker's Comp",'$ Pivot Table'!$A$3,"State","LA","Category2","Four-Year"))/$B18)*100</f>
        <v>0.53495996431937254</v>
      </c>
      <c r="M18" s="32">
        <f>IF($B18&gt;0,(GETPIVOTDATA(" New Tuition Plans",'$ Pivot Table'!$A$3,"State","LA","Category2","Four-Year"))/$B18)*100</f>
        <v>0.7516042431449278</v>
      </c>
      <c r="N18" s="32">
        <f>IF($B18&gt;0,(GETPIVOTDATA(" New Other",'$ Pivot Table'!$A$3,"State","LA","Category2","Four-Year"))/$B18)*100</f>
        <v>0.85648622710210986</v>
      </c>
      <c r="O18" s="32">
        <f>IF($B18&gt;0,(GETPIVOTDATA(" New Total",'$ Pivot Table'!$A$3,"State","LA","Category2","Four-Year"))/$B18)*100</f>
        <v>22.719955775027294</v>
      </c>
      <c r="P18" s="1" t="s">
        <v>484</v>
      </c>
      <c r="Q18" s="165">
        <f>+'[2]OLD Tables'!N17</f>
        <v>65474.383098579077</v>
      </c>
      <c r="R18" s="165">
        <f>+GETPIVOTDATA(" Old Total",'$ Pivot Table'!$A$3,"State","LA","Category2","Four-Year")</f>
        <v>16954.449885583068</v>
      </c>
      <c r="S18" s="167">
        <f t="shared" si="0"/>
        <v>25.894783705035035</v>
      </c>
      <c r="T18" s="168">
        <f t="shared" si="1"/>
        <v>-3.1748279300077407</v>
      </c>
      <c r="U18" s="1" t="s">
        <v>484</v>
      </c>
      <c r="V18" s="117"/>
      <c r="X18" s="117"/>
      <c r="Y18" s="117"/>
      <c r="AA18" s="117"/>
    </row>
    <row r="19" spans="1:27">
      <c r="A19" s="149" t="s">
        <v>485</v>
      </c>
      <c r="B19" s="617">
        <f>+'[2]NEW Tables 143-162'!N18</f>
        <v>87322.115685592813</v>
      </c>
      <c r="C19" s="32">
        <f>IF($B19&gt;0,(GETPIVOTDATA(" New Retirement",'$ Pivot Table'!$A$3,"State","MD","Category2","Four-Year"))/$B19)*100</f>
        <v>8.2354895155473073</v>
      </c>
      <c r="D19" s="32">
        <f>IF($B19&gt;0,(GETPIVOTDATA(" New Health",'$ Pivot Table'!$A$3,"State","MD","Category2","Four-Year"))/$B19)*100</f>
        <v>10.190091012707022</v>
      </c>
      <c r="E19" s="32">
        <f>IF($B19&gt;0,(GETPIVOTDATA(" New Disability",'$ Pivot Table'!$A$3,"State","MD","Category2","Four-Year"))/$B19)*100</f>
        <v>0</v>
      </c>
      <c r="F19" s="32"/>
      <c r="G19" s="32">
        <f>IF($B19&gt;0,(GETPIVOTDATA(" New Social Security",'$ Pivot Table'!$A$3,"State","MD","Category2","Four-Year"))/$B19)*100</f>
        <v>6.4657983924783942</v>
      </c>
      <c r="H19" s="32"/>
      <c r="I19" s="32">
        <f>IF($B19&gt;0,(GETPIVOTDATA(" New Unemployment",'$ Pivot Table'!$A$3,"State","MD","Category2","Four-Year"))/$B19)*100</f>
        <v>0.22456608315393053</v>
      </c>
      <c r="J19" s="32">
        <f>IF($B19&gt;0,(GETPIVOTDATA(" New Life Insurance",'$ Pivot Table'!$A$3,"State","MD","Category2","Four-Year"))/$B19)*100</f>
        <v>0</v>
      </c>
      <c r="K19" s="32"/>
      <c r="L19" s="32">
        <f>IF($B19&gt;0,(GETPIVOTDATA(" New Worker's Comp",'$ Pivot Table'!$A$3,"State","MD","Category2","Four-Year"))/$B19)*100</f>
        <v>0.38460812198735761</v>
      </c>
      <c r="M19" s="32">
        <f>IF($B19&gt;0,(GETPIVOTDATA(" New Tuition Plans",'$ Pivot Table'!$A$3,"State","MD","Category2","Four-Year"))/$B19)*100</f>
        <v>5.0095546871888965</v>
      </c>
      <c r="N19" s="32">
        <f>IF($B19&gt;0,(GETPIVOTDATA(" New Other",'$ Pivot Table'!$A$3,"State","MD","Category2","Four-Year"))/$B19)*100</f>
        <v>0</v>
      </c>
      <c r="O19" s="32">
        <f>IF($B19&gt;0,(GETPIVOTDATA(" New Total",'$ Pivot Table'!$A$3,"State","MD","Category2","Four-Year"))/$B19)*100</f>
        <v>25.263464667663328</v>
      </c>
      <c r="P19" s="1" t="s">
        <v>485</v>
      </c>
      <c r="Q19" s="165">
        <f>+'[2]OLD Tables'!N18</f>
        <v>81158.682618265375</v>
      </c>
      <c r="R19" s="165">
        <f>+GETPIVOTDATA(" Old Total",'$ Pivot Table'!$A$3,"State","MD","Category2","Four-Year")</f>
        <v>21487.444166198609</v>
      </c>
      <c r="S19" s="167">
        <f t="shared" si="0"/>
        <v>26.475841491003571</v>
      </c>
      <c r="T19" s="168">
        <f t="shared" si="1"/>
        <v>-1.212376823340243</v>
      </c>
      <c r="U19" s="1" t="s">
        <v>485</v>
      </c>
      <c r="V19" s="117"/>
      <c r="X19" s="117"/>
      <c r="Y19" s="117"/>
      <c r="AA19" s="117"/>
    </row>
    <row r="20" spans="1:27">
      <c r="A20" s="149"/>
      <c r="B20" s="617"/>
      <c r="C20" s="32"/>
      <c r="D20" s="32"/>
      <c r="E20" s="32"/>
      <c r="F20" s="32"/>
      <c r="G20" s="32"/>
      <c r="H20" s="32"/>
      <c r="I20" s="32"/>
      <c r="J20" s="32"/>
      <c r="K20" s="32"/>
      <c r="L20" s="32"/>
      <c r="M20" s="32"/>
      <c r="N20" s="32"/>
      <c r="O20" s="32"/>
      <c r="Q20" s="165"/>
      <c r="R20" s="165"/>
      <c r="S20" s="167"/>
      <c r="T20" s="168"/>
      <c r="U20" s="1"/>
      <c r="V20" s="117"/>
      <c r="X20" s="117"/>
      <c r="Y20" s="117"/>
      <c r="AA20" s="117"/>
    </row>
    <row r="21" spans="1:27">
      <c r="A21" s="149" t="s">
        <v>486</v>
      </c>
      <c r="B21" s="617">
        <f>+'[2]NEW Tables 143-162'!N20</f>
        <v>62816.482272798901</v>
      </c>
      <c r="C21" s="32">
        <f>IF($B21&gt;0,(GETPIVOTDATA(" New Retirement",'$ Pivot Table'!$A$3,"State","MS","Category2","Four-Year"))/$B21)*100</f>
        <v>11.172240356398397</v>
      </c>
      <c r="D21" s="32">
        <f>IF($B21&gt;0,(GETPIVOTDATA(" New Health",'$ Pivot Table'!$A$3,"State","MS","Category2","Four-Year"))/$B21)*100</f>
        <v>4.3719047607596195</v>
      </c>
      <c r="E21" s="32">
        <f>IF($B21&gt;0,(GETPIVOTDATA(" New Disability",'$ Pivot Table'!$A$3,"State","MS","Category2","Four-Year"))/$B21)*100</f>
        <v>0</v>
      </c>
      <c r="F21" s="32"/>
      <c r="G21" s="32">
        <f>IF($B21&gt;0,(GETPIVOTDATA(" New Social Security",'$ Pivot Table'!$A$3,"State","MS","Category2","Four-Year"))/$B21)*100</f>
        <v>6.480525860846587</v>
      </c>
      <c r="H21" s="32"/>
      <c r="I21" s="32">
        <f>IF($B21&gt;0,(GETPIVOTDATA(" New Unemployment",'$ Pivot Table'!$A$3,"State","MS","Category2","Four-Year"))/$B21)*100</f>
        <v>0.17273454988103168</v>
      </c>
      <c r="J21" s="32">
        <f>IF($B21&gt;0,(GETPIVOTDATA(" New Life Insurance",'$ Pivot Table'!$A$3,"State","MS","Category2","Four-Year"))/$B21)*100</f>
        <v>0.23797405836763516</v>
      </c>
      <c r="K21" s="32"/>
      <c r="L21" s="32">
        <f>IF($B21&gt;0,(GETPIVOTDATA(" New Worker's Comp",'$ Pivot Table'!$A$3,"State","MS","Category2","Four-Year"))/$B21)*100</f>
        <v>0.640679880898678</v>
      </c>
      <c r="M21" s="32">
        <f>IF($B21&gt;0,(GETPIVOTDATA(" New Tuition Plans",'$ Pivot Table'!$A$3,"State","MS","Category2","Four-Year"))/$B21)*100</f>
        <v>2.971085137696952</v>
      </c>
      <c r="N21" s="32">
        <f>IF($B21&gt;0,(GETPIVOTDATA(" New Other",'$ Pivot Table'!$A$3,"State","MS","Category2","Four-Year"))/$B21)*100</f>
        <v>0</v>
      </c>
      <c r="O21" s="32">
        <f>IF($B21&gt;0,(GETPIVOTDATA(" New Total",'$ Pivot Table'!$A$3,"State","MS","Category2","Four-Year"))/$B21)*100</f>
        <v>20.393992803304727</v>
      </c>
      <c r="P21" s="1" t="s">
        <v>486</v>
      </c>
      <c r="Q21" s="165">
        <f>+'[2]OLD Tables'!N20</f>
        <v>62528.093971512135</v>
      </c>
      <c r="R21" s="165">
        <f>+GETPIVOTDATA(" Old Total",'$ Pivot Table'!$A$3,"State","MS","Category2","Four-Year")</f>
        <v>13863.710521220697</v>
      </c>
      <c r="S21" s="167">
        <f t="shared" si="0"/>
        <v>22.171970454651984</v>
      </c>
      <c r="T21" s="168">
        <f t="shared" si="1"/>
        <v>-1.7779776513472569</v>
      </c>
      <c r="U21" s="1" t="s">
        <v>486</v>
      </c>
      <c r="V21" s="117"/>
      <c r="X21" s="117"/>
      <c r="Y21" s="117"/>
      <c r="AA21" s="117"/>
    </row>
    <row r="22" spans="1:27">
      <c r="A22" s="149" t="s">
        <v>487</v>
      </c>
      <c r="B22" s="617">
        <f>+'[2]NEW Tables 143-162'!N21</f>
        <v>79332.810015933195</v>
      </c>
      <c r="C22" s="32">
        <f>IF($B22&gt;0,(GETPIVOTDATA(" New Retirement",'$ Pivot Table'!$A$3,"State","NC","Category2","Four-Year"))/$B22)*100</f>
        <v>11.44189755507132</v>
      </c>
      <c r="D22" s="32">
        <f>IF($B22&gt;0,(GETPIVOTDATA(" New Health",'$ Pivot Table'!$A$3,"State","NC","Category2","Four-Year"))/$B22)*100</f>
        <v>6.2143267067054087</v>
      </c>
      <c r="E22" s="32">
        <f>IF($B22&gt;0,(GETPIVOTDATA(" New Disability",'$ Pivot Table'!$A$3,"State","NC","Category2","Four-Year"))/$B22)*100</f>
        <v>0.51944269509434149</v>
      </c>
      <c r="F22" s="32"/>
      <c r="G22" s="32">
        <f>IF($B22&gt;0,(GETPIVOTDATA(" New Social Security",'$ Pivot Table'!$A$3,"State","NC","Category2","Four-Year"))/$B22)*100</f>
        <v>7.2628130222467</v>
      </c>
      <c r="H22" s="32"/>
      <c r="I22" s="32">
        <f>IF($B22&gt;0,(GETPIVOTDATA(" New Unemployment",'$ Pivot Table'!$A$3,"State","NC","Category2","Four-Year"))/$B22)*100</f>
        <v>9.0025811030465572E-2</v>
      </c>
      <c r="J22" s="32">
        <f>IF($B22&gt;0,(GETPIVOTDATA(" New Life Insurance",'$ Pivot Table'!$A$3,"State","NC","Category2","Four-Year"))/$B22)*100</f>
        <v>0.14359345252230643</v>
      </c>
      <c r="K22" s="32"/>
      <c r="L22" s="32">
        <f>IF($B22&gt;0,(GETPIVOTDATA(" New Worker's Comp",'$ Pivot Table'!$A$3,"State","NC","Category2","Four-Year"))/$B22)*100</f>
        <v>0.87001704652969125</v>
      </c>
      <c r="M22" s="32">
        <f>IF($B22&gt;0,(GETPIVOTDATA(" New Tuition Plans",'$ Pivot Table'!$A$3,"State","NC","Category2","Four-Year"))/$B22)*100</f>
        <v>0</v>
      </c>
      <c r="N22" s="32">
        <f>IF($B22&gt;0,(GETPIVOTDATA(" New Other",'$ Pivot Table'!$A$3,"State","NC","Category2","Four-Year"))/$B22)*100</f>
        <v>0</v>
      </c>
      <c r="O22" s="32">
        <f>IF($B22&gt;0,(GETPIVOTDATA(" New Total",'$ Pivot Table'!$A$3,"State","NC","Category2","Four-Year"))/$B22)*100</f>
        <v>26.439942211084755</v>
      </c>
      <c r="P22" s="1" t="s">
        <v>487</v>
      </c>
      <c r="Q22" s="165">
        <f>+'[2]OLD Tables'!N21</f>
        <v>79533.217853819646</v>
      </c>
      <c r="R22" s="165">
        <f>+GETPIVOTDATA(" Old Total",'$ Pivot Table'!$A$3,"State","NC","Category2","Four-Year")</f>
        <v>19905.215967834578</v>
      </c>
      <c r="S22" s="167">
        <f t="shared" si="0"/>
        <v>25.027550129330788</v>
      </c>
      <c r="T22" s="168">
        <f t="shared" si="1"/>
        <v>1.4123920817539677</v>
      </c>
      <c r="U22" s="1" t="s">
        <v>487</v>
      </c>
      <c r="V22" s="117"/>
      <c r="X22" s="117"/>
      <c r="Y22" s="117"/>
      <c r="AA22" s="117"/>
    </row>
    <row r="23" spans="1:27">
      <c r="A23" s="149" t="s">
        <v>488</v>
      </c>
      <c r="B23" s="617">
        <f>+'[2]NEW Tables 143-162'!N22</f>
        <v>66816.984268899527</v>
      </c>
      <c r="C23" s="28">
        <f>IF($B23&gt;0,(GETPIVOTDATA(" New Retirement",'$ Pivot Table'!$A$3,"State","OK","Category2","Four-Year"))/$B23)*100</f>
        <v>18.791969866771836</v>
      </c>
      <c r="D23" s="28">
        <f>IF($B23&gt;0,(GETPIVOTDATA(" New Health",'$ Pivot Table'!$A$3,"State","OK","Category2","Four-Year"))/$B23)*100</f>
        <v>7.848571990174384</v>
      </c>
      <c r="E23" s="28">
        <f>IF($B23&gt;0,(GETPIVOTDATA(" New Disability",'$ Pivot Table'!$A$3,"State","OK","Category2","Four-Year"))/$B23)*100</f>
        <v>0</v>
      </c>
      <c r="F23" s="28"/>
      <c r="G23" s="28">
        <f>IF($B23&gt;0,(GETPIVOTDATA(" New Social Security",'$ Pivot Table'!$A$3,"State","OK","Category2","Four-Year"))/$B23)*100</f>
        <v>7.2005712862468014</v>
      </c>
      <c r="H23" s="28"/>
      <c r="I23" s="28">
        <f>IF($B23&gt;0,(GETPIVOTDATA(" New Unemployment",'$ Pivot Table'!$A$3,"State","OK","Category2","Four-Year"))/$B23)*100</f>
        <v>0.13125412859273183</v>
      </c>
      <c r="J23" s="28">
        <f>IF($B23&gt;0,(GETPIVOTDATA(" New Life Insurance",'$ Pivot Table'!$A$3,"State","OK","Category2","Four-Year"))/$B23)*100</f>
        <v>0.4949712932860893</v>
      </c>
      <c r="K23" s="28"/>
      <c r="L23" s="28">
        <f>IF($B23&gt;0,(GETPIVOTDATA(" New Worker's Comp",'$ Pivot Table'!$A$3,"State","OK","Category2","Four-Year"))/$B23)*100</f>
        <v>0.78831008710639527</v>
      </c>
      <c r="M23" s="28">
        <f>IF($B23&gt;0,(GETPIVOTDATA(" New Tuition Plans",'$ Pivot Table'!$A$3,"State","OK","Category2","Four-Year"))/$B23)*100</f>
        <v>0</v>
      </c>
      <c r="N23" s="28">
        <f>IF($B23&gt;0,(GETPIVOTDATA(" New Other",'$ Pivot Table'!$A$3,"State","OK","Category2","Four-Year"))/$B23)*100</f>
        <v>0.21338843561588103</v>
      </c>
      <c r="O23" s="28">
        <f>IF($B23&gt;0,(GETPIVOTDATA(" New Total",'$ Pivot Table'!$A$3,"State","OK","Category2","Four-Year"))/$B23)*100</f>
        <v>35.288261553490216</v>
      </c>
      <c r="P23" s="1" t="s">
        <v>488</v>
      </c>
      <c r="Q23" s="165">
        <f>+'[2]OLD Tables'!N22</f>
        <v>66620.046984630986</v>
      </c>
      <c r="R23" s="165">
        <f>+GETPIVOTDATA(" Old Total",'$ Pivot Table'!$A$3,"State","OK","Category2","Four-Year")</f>
        <v>22612.882566050164</v>
      </c>
      <c r="S23" s="167">
        <f t="shared" si="0"/>
        <v>33.943060069091331</v>
      </c>
      <c r="T23" s="168">
        <f t="shared" si="1"/>
        <v>1.3452014843988849</v>
      </c>
      <c r="U23" s="1" t="s">
        <v>488</v>
      </c>
      <c r="V23" s="117"/>
      <c r="X23" s="117"/>
      <c r="Y23" s="117"/>
      <c r="AA23" s="117"/>
    </row>
    <row r="24" spans="1:27">
      <c r="A24" s="149" t="s">
        <v>489</v>
      </c>
      <c r="B24" s="617">
        <f>+'[2]NEW Tables 143-162'!N23</f>
        <v>70294.330321588102</v>
      </c>
      <c r="C24" s="28">
        <f>IF($B24&gt;0,(GETPIVOTDATA(" New Retirement",'$ Pivot Table'!$A$3,"State","SC","Category2","Four-Year"))/$B24)*100</f>
        <v>13.0424299270229</v>
      </c>
      <c r="D24" s="28">
        <f>IF($B24&gt;0,(GETPIVOTDATA(" New Health",'$ Pivot Table'!$A$3,"State","SC","Category2","Four-Year"))/$B24)*100</f>
        <v>7.9269772971124004</v>
      </c>
      <c r="E24" s="28">
        <f>IF($B24&gt;0,(GETPIVOTDATA(" New Disability",'$ Pivot Table'!$A$3,"State","SC","Category2","Four-Year"))/$B24)*100</f>
        <v>5.4517625852153084E-2</v>
      </c>
      <c r="F24" s="28"/>
      <c r="G24" s="28">
        <f>IF($B24&gt;0,(GETPIVOTDATA(" New Social Security",'$ Pivot Table'!$A$3,"State","SC","Category2","Four-Year"))/$B24)*100</f>
        <v>6.786627661157457</v>
      </c>
      <c r="H24" s="28"/>
      <c r="I24" s="28">
        <f>IF($B24&gt;0,(GETPIVOTDATA(" New Unemployment",'$ Pivot Table'!$A$3,"State","SC","Category2","Four-Year"))/$B24)*100</f>
        <v>0.19403132436003168</v>
      </c>
      <c r="J24" s="28">
        <f>IF($B24&gt;0,(GETPIVOTDATA(" New Life Insurance",'$ Pivot Table'!$A$3,"State","SC","Category2","Four-Year"))/$B24)*100</f>
        <v>0.18584559684101543</v>
      </c>
      <c r="K24" s="28"/>
      <c r="L24" s="28">
        <f>IF($B24&gt;0,(GETPIVOTDATA(" New Worker's Comp",'$ Pivot Table'!$A$3,"State","SC","Category2","Four-Year"))/$B24)*100</f>
        <v>1.1096016820357213</v>
      </c>
      <c r="M24" s="28">
        <f>IF($B24&gt;0,(GETPIVOTDATA(" New Tuition Plans",'$ Pivot Table'!$A$3,"State","SC","Category2","Four-Year"))/$B24)*100</f>
        <v>0.14225898382204089</v>
      </c>
      <c r="N24" s="28">
        <f>IF($B24&gt;0,(GETPIVOTDATA(" New Other",'$ Pivot Table'!$A$3,"State","SC","Category2","Four-Year"))/$B24)*100</f>
        <v>0</v>
      </c>
      <c r="O24" s="28">
        <f>IF($B24&gt;0,(GETPIVOTDATA(" New Total",'$ Pivot Table'!$A$3,"State","SC","Category2","Four-Year"))/$B24)*100</f>
        <v>29.135687870170134</v>
      </c>
      <c r="P24" s="1" t="s">
        <v>489</v>
      </c>
      <c r="Q24" s="165">
        <f>+'[2]OLD Tables'!N23</f>
        <v>70066.963346718505</v>
      </c>
      <c r="R24" s="165">
        <f>+GETPIVOTDATA(" Old Total",'$ Pivot Table'!$A$3,"State","SC","Category2","Four-Year")</f>
        <v>19913.88940979405</v>
      </c>
      <c r="S24" s="167">
        <f t="shared" si="0"/>
        <v>28.42122515179144</v>
      </c>
      <c r="T24" s="168">
        <f t="shared" si="1"/>
        <v>0.71446271837869446</v>
      </c>
      <c r="U24" s="1" t="s">
        <v>489</v>
      </c>
      <c r="V24" s="117"/>
      <c r="X24" s="117"/>
      <c r="Y24" s="117"/>
      <c r="AA24" s="117"/>
    </row>
    <row r="25" spans="1:27">
      <c r="A25" s="149"/>
      <c r="B25" s="617"/>
      <c r="C25" s="28"/>
      <c r="D25" s="28"/>
      <c r="E25" s="28"/>
      <c r="F25" s="28"/>
      <c r="G25" s="28"/>
      <c r="H25" s="28"/>
      <c r="I25" s="28"/>
      <c r="J25" s="28"/>
      <c r="K25" s="28"/>
      <c r="L25" s="28"/>
      <c r="M25" s="28"/>
      <c r="N25" s="28"/>
      <c r="O25" s="28"/>
      <c r="Q25" s="165"/>
      <c r="R25" s="165"/>
      <c r="S25" s="167"/>
      <c r="T25" s="168"/>
      <c r="U25" s="1"/>
      <c r="V25" s="117"/>
      <c r="X25" s="117"/>
      <c r="Y25" s="117"/>
      <c r="AA25" s="117"/>
    </row>
    <row r="26" spans="1:27">
      <c r="A26" s="149" t="s">
        <v>490</v>
      </c>
      <c r="B26" s="617">
        <f>+'[2]NEW Tables 143-162'!N25</f>
        <v>67160.426279245279</v>
      </c>
      <c r="C26" s="28">
        <f>IF($B26&gt;0,(GETPIVOTDATA(" New Retirement",'$ Pivot Table'!$A$3,"State","TN","Category2","Four-Year"))/$B26)*100</f>
        <v>12.023449813777885</v>
      </c>
      <c r="D26" s="28">
        <f>IF($B26&gt;0,(GETPIVOTDATA(" New Health",'$ Pivot Table'!$A$3,"State","TN","Category2","Four-Year"))/$B26)*100</f>
        <v>13.882932899752618</v>
      </c>
      <c r="E26" s="28">
        <f>IF($B26&gt;0,(GETPIVOTDATA(" New Disability",'$ Pivot Table'!$A$3,"State","TN","Category2","Four-Year"))/$B26)*100</f>
        <v>0</v>
      </c>
      <c r="F26" s="28"/>
      <c r="G26" s="28">
        <f>IF($B26&gt;0,(GETPIVOTDATA(" New Social Security",'$ Pivot Table'!$A$3,"State","TN","Category2","Four-Year"))/$B26)*100</f>
        <v>6.6011369256046475</v>
      </c>
      <c r="H26" s="28"/>
      <c r="I26" s="58">
        <f>IF($B26&gt;0,(GETPIVOTDATA(" New Unemployment",'$ Pivot Table'!$A$3,"State","TN","Category2","Four-Year"))/$B26)*100</f>
        <v>5.4858366282446461E-2</v>
      </c>
      <c r="J26" s="28">
        <f>IF($B26&gt;0,(GETPIVOTDATA(" New Life Insurance",'$ Pivot Table'!$A$3,"State","TN","Category2","Four-Year"))/$B26)*100</f>
        <v>8.2515977362890361E-2</v>
      </c>
      <c r="K26" s="28"/>
      <c r="L26" s="28">
        <f>IF($B26&gt;0,(GETPIVOTDATA(" New Worker's Comp",'$ Pivot Table'!$A$3,"State","TN","Category2","Four-Year"))/$B26)*100</f>
        <v>0.22371035340965148</v>
      </c>
      <c r="M26" s="28">
        <f>IF($B26&gt;0,(GETPIVOTDATA(" New Tuition Plans",'$ Pivot Table'!$A$3,"State","TN","Category2","Four-Year"))/$B26)*100</f>
        <v>3.7294415767184148</v>
      </c>
      <c r="N26" s="28">
        <f>IF($B26&gt;0,(GETPIVOTDATA(" New Other",'$ Pivot Table'!$A$3,"State","TN","Category2","Four-Year"))/$B26)*100</f>
        <v>2.1700866523790623</v>
      </c>
      <c r="O26" s="28">
        <f>IF($B26&gt;0,(GETPIVOTDATA(" New Total",'$ Pivot Table'!$A$3,"State","TN","Category2","Four-Year"))/$B26)*100</f>
        <v>31.976446890218458</v>
      </c>
      <c r="P26" s="1" t="s">
        <v>490</v>
      </c>
      <c r="Q26" s="165">
        <f>+'[2]OLD Tables'!N25</f>
        <v>67217.103449595699</v>
      </c>
      <c r="R26" s="165">
        <f>+GETPIVOTDATA(" Old Total",'$ Pivot Table'!$A$3,"State","TN","Category2","Four-Year")</f>
        <v>21380.042059985401</v>
      </c>
      <c r="S26" s="167">
        <f t="shared" si="0"/>
        <v>31.80744328862329</v>
      </c>
      <c r="T26" s="168">
        <f t="shared" si="1"/>
        <v>0.16900360159516836</v>
      </c>
      <c r="U26" s="1" t="s">
        <v>490</v>
      </c>
      <c r="V26" s="117"/>
      <c r="X26" s="117"/>
      <c r="Y26" s="117"/>
      <c r="AA26" s="117"/>
    </row>
    <row r="27" spans="1:27">
      <c r="A27" s="149" t="s">
        <v>491</v>
      </c>
      <c r="B27" s="617">
        <f>+'[2]NEW Tables 143-162'!N26</f>
        <v>75977.00008845485</v>
      </c>
      <c r="C27" s="28">
        <f>IF($B27&gt;0,(GETPIVOTDATA(" New Retirement",'$ Pivot Table'!$A$3,"State","TX","Category2","Four-Year"))/$B27)*100</f>
        <v>7.5379961772185835</v>
      </c>
      <c r="D27" s="28">
        <f>IF($B27&gt;0,(GETPIVOTDATA(" New Health",'$ Pivot Table'!$A$3,"State","TX","Category2","Four-Year"))/$B27)*100</f>
        <v>7.7498796243715447</v>
      </c>
      <c r="E27" s="58">
        <f>IF($B27&gt;0,(GETPIVOTDATA(" New Disability",'$ Pivot Table'!$A$3,"State","TX","Category2","Four-Year"))/$B27)*100</f>
        <v>1.3395616874061147E-2</v>
      </c>
      <c r="G27" s="28">
        <f>IF($B27&gt;0,(GETPIVOTDATA(" New Social Security",'$ Pivot Table'!$A$3,"State","TX","Category2","Four-Year"))/$B27)*100</f>
        <v>6.9919188442627371</v>
      </c>
      <c r="I27" s="28">
        <f>IF($B27&gt;0,(GETPIVOTDATA(" New Unemployment",'$ Pivot Table'!$A$3,"State","TX","Category2","Four-Year"))/$B27)*100</f>
        <v>0.13565590576196429</v>
      </c>
      <c r="J27" s="28">
        <f>IF($B27&gt;0,(GETPIVOTDATA(" New Life Insurance",'$ Pivot Table'!$A$3,"State","TX","Category2","Four-Year"))/$B27)*100</f>
        <v>0.31287194324229378</v>
      </c>
      <c r="L27" s="28">
        <f>IF($B27&gt;0,(GETPIVOTDATA(" New Worker's Comp",'$ Pivot Table'!$A$3,"State","TX","Category2","Four-Year"))/$B27)*100</f>
        <v>0.26082426653257068</v>
      </c>
      <c r="M27" s="28">
        <f>IF($B27&gt;0,(GETPIVOTDATA(" New Tuition Plans",'$ Pivot Table'!$A$3,"State","TX","Category2","Four-Year"))/$B27)*100</f>
        <v>7.0048611120960214</v>
      </c>
      <c r="N27" s="28">
        <f>IF($B27&gt;0,(GETPIVOTDATA(" New Other",'$ Pivot Table'!$A$3,"State","TX","Category2","Four-Year"))/$B27)*100</f>
        <v>0.1024267273337717</v>
      </c>
      <c r="O27" s="28">
        <f>IF($B27&gt;0,(GETPIVOTDATA(" New Total",'$ Pivot Table'!$A$3,"State","TX","Category2","Four-Year"))/$B27)*100</f>
        <v>21.512171074948402</v>
      </c>
      <c r="P27" s="1" t="s">
        <v>491</v>
      </c>
      <c r="Q27" s="165">
        <f>+'[2]OLD Tables'!N26</f>
        <v>76261.234018070681</v>
      </c>
      <c r="R27" s="165">
        <f>+GETPIVOTDATA(" Old Total",'$ Pivot Table'!$A$3,"State","TX","Category2","Four-Year")</f>
        <v>16167.034952155835</v>
      </c>
      <c r="S27" s="167">
        <f t="shared" si="0"/>
        <v>21.199545431332687</v>
      </c>
      <c r="T27" s="168">
        <f t="shared" si="1"/>
        <v>0.31262564361571421</v>
      </c>
      <c r="U27" s="1" t="s">
        <v>491</v>
      </c>
      <c r="V27" s="117"/>
    </row>
    <row r="28" spans="1:27">
      <c r="A28" s="149" t="s">
        <v>492</v>
      </c>
      <c r="B28" s="617">
        <f>+'[2]NEW Tables 143-162'!N27</f>
        <v>80471.193759384754</v>
      </c>
      <c r="C28" s="28">
        <f>IF($B28&gt;0,(GETPIVOTDATA(" New Retirement",'$ Pivot Table'!$A$3,"State","VA","Category2","Four-Year"))/$B28)*100</f>
        <v>10.172365474390366</v>
      </c>
      <c r="D28" s="28">
        <f>IF($B28&gt;0,(GETPIVOTDATA(" New Health",'$ Pivot Table'!$A$3,"State","VA","Category2","Four-Year"))/$B28)*100</f>
        <v>10.617941610175828</v>
      </c>
      <c r="E28" s="28">
        <f>IF($B28&gt;0,(GETPIVOTDATA(" New Disability",'$ Pivot Table'!$A$3,"State","VA","Category2","Four-Year"))/$B28)*100</f>
        <v>0.45475665242203989</v>
      </c>
      <c r="F28" s="28"/>
      <c r="G28" s="28">
        <f>IF($B28&gt;0,(GETPIVOTDATA(" New Social Security",'$ Pivot Table'!$A$3,"State","VA","Category2","Four-Year"))/$B28)*100</f>
        <v>6.9105468769113445</v>
      </c>
      <c r="H28" s="28"/>
      <c r="I28" s="58">
        <f>IF($B28&gt;0,(GETPIVOTDATA(" New Unemployment",'$ Pivot Table'!$A$3,"State","VA","Category2","Four-Year"))/$B28)*100</f>
        <v>0.16441699455786232</v>
      </c>
      <c r="J28" s="28">
        <f>IF($B28&gt;0,(GETPIVOTDATA(" New Life Insurance",'$ Pivot Table'!$A$3,"State","VA","Category2","Four-Year"))/$B28)*100</f>
        <v>0.67805328198783532</v>
      </c>
      <c r="K28" s="28"/>
      <c r="L28" s="28">
        <f>IF($B28&gt;0,(GETPIVOTDATA(" New Worker's Comp",'$ Pivot Table'!$A$3,"State","VA","Category2","Four-Year"))/$B28)*100</f>
        <v>0.54847188672663572</v>
      </c>
      <c r="M28" s="28">
        <f>IF($B28&gt;0,(GETPIVOTDATA(" New Tuition Plans",'$ Pivot Table'!$A$3,"State","VA","Category2","Four-Year"))/$B28)*100</f>
        <v>2.3486665373093008</v>
      </c>
      <c r="N28" s="28">
        <f>IF($B28&gt;0,(GETPIVOTDATA(" New Other",'$ Pivot Table'!$A$3,"State","VA","Category2","Four-Year"))/$B28)*100</f>
        <v>0.29824336981705407</v>
      </c>
      <c r="O28" s="28">
        <f>IF($B28&gt;0,(GETPIVOTDATA(" New Total",'$ Pivot Table'!$A$3,"State","VA","Category2","Four-Year"))/$B28)*100</f>
        <v>28.138387244579494</v>
      </c>
      <c r="P28" s="1" t="s">
        <v>492</v>
      </c>
      <c r="Q28" s="165">
        <f>+'[2]OLD Tables'!N27</f>
        <v>80650.084406453097</v>
      </c>
      <c r="R28" s="165">
        <f>+GETPIVOTDATA(" Old Total",'$ Pivot Table'!$A$3,"State","VA","Category2","Four-Year")</f>
        <v>23221.723265560806</v>
      </c>
      <c r="S28" s="167">
        <f t="shared" si="0"/>
        <v>28.793179122454525</v>
      </c>
      <c r="T28" s="168">
        <f t="shared" si="1"/>
        <v>-0.65479187787503079</v>
      </c>
      <c r="U28" s="1" t="s">
        <v>492</v>
      </c>
      <c r="V28" s="117"/>
    </row>
    <row r="29" spans="1:27">
      <c r="A29" s="626" t="s">
        <v>493</v>
      </c>
      <c r="B29" s="618">
        <f>+'[2]NEW Tables 143-162'!N28</f>
        <v>65285.464099351499</v>
      </c>
      <c r="C29" s="30">
        <f>IF($B29&gt;0,(GETPIVOTDATA(" New Retirement",'$ Pivot Table'!$A$3,"State","WV","Category2","Four-Year"))/$B29)*100</f>
        <v>6.6412846751738686</v>
      </c>
      <c r="D29" s="30">
        <f>IF($B29&gt;0,(GETPIVOTDATA(" New Health",'$ Pivot Table'!$A$3,"State","WV","Category2","Four-Year"))/$B29)*100</f>
        <v>9.0570807453328879</v>
      </c>
      <c r="E29" s="30">
        <f>IF($B29&gt;0,(GETPIVOTDATA(" New Disability",'$ Pivot Table'!$A$3,"State","WV","Category2","Four-Year"))/$B29)*100</f>
        <v>0</v>
      </c>
      <c r="F29" s="158"/>
      <c r="G29" s="30">
        <f>IF($B29&gt;0,(GETPIVOTDATA(" New Social Security",'$ Pivot Table'!$A$3,"State","WV","Category2","Four-Year"))/$B29)*100</f>
        <v>6.9187990381540736</v>
      </c>
      <c r="H29" s="158"/>
      <c r="I29" s="158">
        <f>IF($B29&gt;0,(GETPIVOTDATA(" New Unemployment",'$ Pivot Table'!$A$3,"State","WV","Category2","Four-Year"))/$B29)*100</f>
        <v>0</v>
      </c>
      <c r="J29" s="30">
        <f>IF($B29&gt;0,(GETPIVOTDATA(" New Life Insurance",'$ Pivot Table'!$A$3,"State","WV","Category2","Four-Year"))/$B29)*100</f>
        <v>9.6811988720634137E-2</v>
      </c>
      <c r="K29" s="158"/>
      <c r="L29" s="30">
        <f>IF($B29&gt;0,(GETPIVOTDATA(" New Worker's Comp",'$ Pivot Table'!$A$3,"State","WV","Category2","Four-Year"))/$B29)*100</f>
        <v>0.51551802209890818</v>
      </c>
      <c r="M29" s="30">
        <f>IF($B29&gt;0,(GETPIVOTDATA(" New Tuition Plans",'$ Pivot Table'!$A$3,"State","WV","Category2","Four-Year"))/$B29)*100</f>
        <v>0</v>
      </c>
      <c r="N29" s="30">
        <f>IF($B29&gt;0,(GETPIVOTDATA(" New Other",'$ Pivot Table'!$A$3,"State","WV","Category2","Four-Year"))/$B29)*100</f>
        <v>0</v>
      </c>
      <c r="O29" s="30">
        <f>IF($B29&gt;0,(GETPIVOTDATA(" New Total",'$ Pivot Table'!$A$3,"State","WV","Category2","Four-Year"))/$B29)*100</f>
        <v>22.56499865549257</v>
      </c>
      <c r="P29" s="1" t="s">
        <v>493</v>
      </c>
      <c r="Q29" s="165">
        <f>+'[2]OLD Tables'!N28</f>
        <v>64924.3900046532</v>
      </c>
      <c r="R29" s="165">
        <f>+GETPIVOTDATA(" Old Total",'$ Pivot Table'!$A$3,"State","WV","Category2","Four-Year")</f>
        <v>15511.862567743632</v>
      </c>
      <c r="S29" s="167">
        <f t="shared" si="0"/>
        <v>23.892196086296508</v>
      </c>
      <c r="T29" s="168">
        <f t="shared" si="1"/>
        <v>-1.3271974308039383</v>
      </c>
      <c r="U29" s="1" t="s">
        <v>493</v>
      </c>
      <c r="V29" s="117"/>
    </row>
    <row r="30" spans="1:27">
      <c r="A30" s="627" t="s">
        <v>692</v>
      </c>
      <c r="B30" s="31"/>
      <c r="C30" s="28"/>
      <c r="D30" s="28"/>
      <c r="E30" s="28"/>
      <c r="F30" s="28"/>
      <c r="G30" s="28"/>
      <c r="H30" s="28"/>
      <c r="I30" s="28"/>
      <c r="J30" s="28"/>
      <c r="K30" s="28"/>
      <c r="L30" s="28"/>
      <c r="M30" s="28"/>
      <c r="N30" s="28"/>
      <c r="O30" s="86"/>
      <c r="Q30" s="116"/>
      <c r="R30" s="101"/>
      <c r="S30" s="103"/>
      <c r="T30" s="102"/>
      <c r="V30" s="117"/>
    </row>
    <row r="31" spans="1:27" ht="15" customHeight="1">
      <c r="A31" s="628" t="s">
        <v>14</v>
      </c>
      <c r="B31" s="45"/>
      <c r="C31" s="54"/>
      <c r="D31" s="54"/>
      <c r="E31" s="54"/>
      <c r="F31" s="54"/>
      <c r="G31" s="54"/>
      <c r="H31" s="54"/>
      <c r="I31" s="54"/>
      <c r="J31" s="54"/>
      <c r="K31" s="54"/>
      <c r="L31" s="54"/>
      <c r="M31" s="54"/>
      <c r="N31" s="54"/>
      <c r="O31" s="145"/>
    </row>
    <row r="32" spans="1:27" ht="15" customHeight="1">
      <c r="A32" s="628" t="s">
        <v>678</v>
      </c>
      <c r="B32" s="45"/>
      <c r="C32" s="54"/>
      <c r="D32" s="54"/>
      <c r="E32" s="54"/>
      <c r="F32" s="54"/>
      <c r="G32" s="54"/>
      <c r="H32" s="54"/>
      <c r="I32" s="54"/>
      <c r="J32" s="54"/>
      <c r="K32" s="54"/>
      <c r="L32" s="54"/>
      <c r="M32" s="54"/>
      <c r="N32" s="54"/>
      <c r="O32" s="145"/>
      <c r="Q32" s="151"/>
    </row>
    <row r="33" spans="1:29">
      <c r="A33" s="629"/>
      <c r="O33" s="637" t="s">
        <v>1321</v>
      </c>
      <c r="Q33" s="119"/>
      <c r="R33" s="119"/>
      <c r="S33" s="119"/>
      <c r="T33" s="119"/>
      <c r="U33" s="119"/>
      <c r="V33" s="119"/>
      <c r="W33" s="119"/>
      <c r="X33" s="119"/>
      <c r="Y33" s="119"/>
      <c r="Z33" s="119"/>
      <c r="AA33" s="119"/>
      <c r="AB33" s="119"/>
      <c r="AC33" s="119"/>
    </row>
    <row r="34" spans="1:29" ht="18">
      <c r="A34" s="595" t="s">
        <v>1101</v>
      </c>
      <c r="B34" s="48"/>
      <c r="C34" s="48"/>
      <c r="D34" s="48"/>
      <c r="E34" s="48"/>
      <c r="F34" s="48"/>
      <c r="G34" s="48"/>
      <c r="H34" s="48"/>
      <c r="I34" s="48"/>
      <c r="J34" s="48"/>
      <c r="K34" s="48"/>
      <c r="L34" s="48"/>
      <c r="M34" s="48"/>
      <c r="N34" s="48"/>
      <c r="O34" s="48"/>
    </row>
    <row r="35" spans="1:29">
      <c r="A35" s="622"/>
      <c r="B35" s="45"/>
      <c r="C35" s="54"/>
      <c r="D35" s="54"/>
      <c r="E35" s="54"/>
      <c r="F35" s="54"/>
      <c r="G35" s="54"/>
      <c r="H35" s="54"/>
      <c r="I35" s="54"/>
      <c r="J35" s="54"/>
      <c r="K35" s="54"/>
      <c r="L35" s="54"/>
      <c r="M35" s="54"/>
      <c r="N35" s="54"/>
      <c r="O35" s="145"/>
    </row>
    <row r="36" spans="1:29" ht="15.75">
      <c r="A36" s="640" t="s">
        <v>466</v>
      </c>
      <c r="B36" s="641"/>
      <c r="C36" s="641"/>
      <c r="D36" s="641"/>
      <c r="E36" s="641"/>
      <c r="F36" s="641"/>
      <c r="G36" s="641"/>
      <c r="H36" s="641"/>
      <c r="I36" s="641"/>
      <c r="J36" s="641"/>
      <c r="K36" s="641"/>
      <c r="L36" s="641"/>
      <c r="M36" s="641"/>
      <c r="N36" s="641"/>
      <c r="O36" s="641"/>
    </row>
    <row r="37" spans="1:29" ht="15.75">
      <c r="A37" s="640" t="s">
        <v>1163</v>
      </c>
      <c r="B37" s="641"/>
      <c r="C37" s="641"/>
      <c r="D37" s="641"/>
      <c r="E37" s="641"/>
      <c r="F37" s="641"/>
      <c r="G37" s="641"/>
      <c r="H37" s="641"/>
      <c r="I37" s="641"/>
      <c r="J37" s="641"/>
      <c r="K37" s="641"/>
      <c r="L37" s="641"/>
      <c r="M37" s="641"/>
      <c r="N37" s="641"/>
      <c r="O37" s="641"/>
    </row>
    <row r="38" spans="1:29">
      <c r="A38" s="148"/>
      <c r="B38" s="45"/>
      <c r="C38" s="54"/>
      <c r="D38" s="54"/>
      <c r="E38" s="54"/>
      <c r="F38" s="54"/>
      <c r="G38" s="54"/>
      <c r="H38" s="54"/>
      <c r="I38" s="54"/>
      <c r="J38" s="54"/>
      <c r="K38" s="54"/>
      <c r="L38" s="54"/>
      <c r="M38" s="54"/>
      <c r="N38" s="54"/>
      <c r="O38" s="145"/>
    </row>
    <row r="39" spans="1:29">
      <c r="A39" s="623"/>
      <c r="B39" s="2" t="s">
        <v>473</v>
      </c>
      <c r="C39" s="643" t="s">
        <v>593</v>
      </c>
      <c r="D39" s="643"/>
      <c r="E39" s="643"/>
      <c r="F39" s="643"/>
      <c r="G39" s="643"/>
      <c r="H39" s="643"/>
      <c r="I39" s="643"/>
      <c r="J39" s="643"/>
      <c r="K39" s="643"/>
      <c r="L39" s="643"/>
      <c r="M39" s="643"/>
      <c r="N39" s="643"/>
      <c r="O39" s="643"/>
    </row>
    <row r="40" spans="1:29">
      <c r="A40" s="624"/>
      <c r="B40" s="4" t="s">
        <v>474</v>
      </c>
      <c r="C40" s="3" t="s">
        <v>660</v>
      </c>
      <c r="D40" s="3"/>
      <c r="E40" s="53"/>
      <c r="F40" s="53"/>
      <c r="G40" s="3" t="s">
        <v>661</v>
      </c>
      <c r="H40" s="3"/>
      <c r="I40" s="3" t="s">
        <v>662</v>
      </c>
      <c r="J40" s="3" t="s">
        <v>663</v>
      </c>
      <c r="K40" s="3"/>
      <c r="L40" s="3" t="s">
        <v>664</v>
      </c>
      <c r="M40" s="3" t="s">
        <v>665</v>
      </c>
      <c r="N40" s="3"/>
      <c r="O40" s="124" t="s">
        <v>475</v>
      </c>
    </row>
    <row r="41" spans="1:29" ht="14.1" customHeight="1">
      <c r="A41" s="625"/>
      <c r="B41" s="18" t="s">
        <v>476</v>
      </c>
      <c r="C41" s="16" t="s">
        <v>667</v>
      </c>
      <c r="D41" s="16" t="s">
        <v>708</v>
      </c>
      <c r="E41" s="17" t="s">
        <v>709</v>
      </c>
      <c r="F41" s="17"/>
      <c r="G41" s="16" t="s">
        <v>668</v>
      </c>
      <c r="H41" s="16"/>
      <c r="I41" s="16" t="s">
        <v>667</v>
      </c>
      <c r="J41" s="16" t="s">
        <v>669</v>
      </c>
      <c r="K41" s="16"/>
      <c r="L41" s="16" t="s">
        <v>670</v>
      </c>
      <c r="M41" s="16" t="s">
        <v>671</v>
      </c>
      <c r="N41" s="16" t="s">
        <v>701</v>
      </c>
      <c r="O41" s="146" t="s">
        <v>15</v>
      </c>
    </row>
    <row r="42" spans="1:29">
      <c r="A42" s="149" t="s">
        <v>600</v>
      </c>
      <c r="B42" s="31">
        <f>+'[2]NEW Tables 143-162'!B8</f>
        <v>84691.302308609505</v>
      </c>
      <c r="C42" s="32">
        <f>IF($B42&gt;0,(GETPIVOTDATA(" New Retirement",'$ Pivot Table'!$A$3,"Category",1,"Category2","Four-Year"))/$B42)*100</f>
        <v>10.774692576579714</v>
      </c>
      <c r="D42" s="32">
        <f>IF($B42&gt;0,(GETPIVOTDATA(" New Health",'$ Pivot Table'!$A$3,"Category",1,"Category2","Four-Year"))/$B42)*100</f>
        <v>8.54357116360279</v>
      </c>
      <c r="E42" s="32">
        <f>IF($B42&gt;0,(GETPIVOTDATA(" New Disability",'$ Pivot Table'!$A$3,"Category",1,"Category2","Four-Year"))/$B42)*100</f>
        <v>0.3671035318028828</v>
      </c>
      <c r="F42" s="32"/>
      <c r="G42" s="32">
        <f>IF($B42&gt;0,(GETPIVOTDATA(" New Social Security",'$ Pivot Table'!$A$3,"Category",1,"Category2","Four-Year"))/$B42)*100</f>
        <v>6.6713390356975673</v>
      </c>
      <c r="H42" s="32"/>
      <c r="I42" s="32">
        <f>IF($B42&gt;0,(GETPIVOTDATA(" New Unemployment",'$ Pivot Table'!$A$3,"Category",1,"Category2","Four-Year"))/$B42)*100</f>
        <v>0.15619212206936095</v>
      </c>
      <c r="J42" s="32">
        <f>IF($B42&gt;0,(GETPIVOTDATA(" New Life Insurance",'$ Pivot Table'!$A$3,"Category",1,"Category2","Four-Year"))/$B42)*100</f>
        <v>0.23327335761683266</v>
      </c>
      <c r="K42" s="32"/>
      <c r="L42" s="32">
        <f>IF($B42&gt;0,(GETPIVOTDATA(" New Worker's Comp",'$ Pivot Table'!$A$3,"Category",1,"Category2","Four-Year"))/$B42)*100</f>
        <v>0.42807390908809245</v>
      </c>
      <c r="M42" s="32">
        <f>IF($B42&gt;0,(GETPIVOTDATA(" New Tuition Plans",'$ Pivot Table'!$A$3,"Category",1,"Category2","Four-Year"))/$B42)*100</f>
        <v>6.1291214595679051</v>
      </c>
      <c r="N42" s="32">
        <f>IF($B42&gt;0,(GETPIVOTDATA(" New Other",'$ Pivot Table'!$A$3,"Category",1,"Category2","Four-Year"))/$B42)*100</f>
        <v>0.90143721957940781</v>
      </c>
      <c r="O42" s="90">
        <f>IF($B42&gt;0,(GETPIVOTDATA(" New Total",'$ Pivot Table'!$A$3,"Category",1,"Category2","Four-Year"))/$B42)*100</f>
        <v>25.877722447347494</v>
      </c>
    </row>
    <row r="43" spans="1:29">
      <c r="A43" s="149"/>
      <c r="B43" s="31">
        <f>+'[3]NEW Tables 144-163'!B9</f>
        <v>0</v>
      </c>
      <c r="C43" s="32"/>
      <c r="D43" s="34"/>
      <c r="E43" s="32"/>
      <c r="F43" s="32"/>
      <c r="G43" s="32"/>
      <c r="H43" s="32"/>
      <c r="I43" s="32"/>
      <c r="J43" s="32"/>
      <c r="K43" s="32"/>
      <c r="L43" s="32"/>
      <c r="M43" s="32"/>
      <c r="N43" s="32"/>
      <c r="O43" s="90"/>
    </row>
    <row r="44" spans="1:29">
      <c r="A44" s="149" t="s">
        <v>479</v>
      </c>
      <c r="B44" s="617">
        <f>+'[2]NEW Tables 143-162'!B10</f>
        <v>81186.655495792089</v>
      </c>
      <c r="C44" s="32">
        <f>IF($B44&gt;0,(GETPIVOTDATA(" New Retirement",'$ Pivot Table'!$A$3,"State","AL","Category",1,"Category2","Four-Year"))/$B44)*100</f>
        <v>16.025249307066506</v>
      </c>
      <c r="D44" s="32">
        <f>IF($B44&gt;0,(GETPIVOTDATA(" New Health",'$ Pivot Table'!$A$3,"State","AL","Category",1,"Category2","Four-Year"))/$B44)*100</f>
        <v>8.7628099426548989</v>
      </c>
      <c r="E44" s="32">
        <f>IF($B44&gt;0,(GETPIVOTDATA(" New Disability",'$ Pivot Table'!$A$3,"State","AL","Category",1,"Category2","Four-Year"))/$B44)*100</f>
        <v>0.3704354359905786</v>
      </c>
      <c r="F44" s="32"/>
      <c r="G44" s="32">
        <f>IF($B44&gt;0,(GETPIVOTDATA(" New Social Security",'$ Pivot Table'!$A$3,"State","AL","Category",1,"Category2","Four-Year"))/$B44)*100</f>
        <v>7.301492572460015</v>
      </c>
      <c r="H44" s="32"/>
      <c r="I44" s="32">
        <f>IF($B44&gt;0,(GETPIVOTDATA(" New Unemployment",'$ Pivot Table'!$A$3,"State","AL","Category",1,"Category2","Four-Year"))/$B44)*100</f>
        <v>0.10231079595012418</v>
      </c>
      <c r="J44" s="32">
        <f>IF($B44&gt;0,(GETPIVOTDATA(" New Life Insurance",'$ Pivot Table'!$A$3,"State","AL","Category",1,"Category2","Four-Year"))/$B44)*100</f>
        <v>0.14137891684771728</v>
      </c>
      <c r="K44" s="32"/>
      <c r="L44" s="32">
        <f>IF($B44&gt;0,(GETPIVOTDATA(" New Worker's Comp",'$ Pivot Table'!$A$3,"State","AL","Category",1,"Category2","Four-Year"))/$B44)*100</f>
        <v>7.9789340202322534E-2</v>
      </c>
      <c r="M44" s="32">
        <f>IF($B44&gt;0,(GETPIVOTDATA(" New Tuition Plans",'$ Pivot Table'!$A$3,"State","AL","Category",1,"Category2","Four-Year"))/$B44)*100</f>
        <v>6.5800851248805925</v>
      </c>
      <c r="N44" s="32">
        <f>IF($B44&gt;0,(GETPIVOTDATA(" New Other",'$ Pivot Table'!$A$3,"State","AL","Category",1,"Category2","Four-Year"))/$B44)*100</f>
        <v>3.063397268979688</v>
      </c>
      <c r="O44" s="90">
        <f>IF($B44&gt;0,(GETPIVOTDATA(" New Total",'$ Pivot Table'!$A$3,"State","AL","Category",1,"Category2","Four-Year"))/$B44)*100</f>
        <v>31.742895928809311</v>
      </c>
    </row>
    <row r="45" spans="1:29">
      <c r="A45" s="149" t="s">
        <v>480</v>
      </c>
      <c r="B45" s="617">
        <f>+'[2]NEW Tables 143-162'!B11</f>
        <v>77922.003020168064</v>
      </c>
      <c r="C45" s="32">
        <f>IF($B45&gt;0,(GETPIVOTDATA(" New Retirement",'$ Pivot Table'!$A$3,"State","AR","Category",1,"Category2","Four-Year"))/$B45)*100</f>
        <v>8.9314753371775186</v>
      </c>
      <c r="D45" s="32">
        <f>IF($B45&gt;0,(GETPIVOTDATA(" New Health",'$ Pivot Table'!$A$3,"State","AR","Category",1,"Category2","Four-Year"))/$B45)*100</f>
        <v>8.7491816611024795</v>
      </c>
      <c r="E45" s="32">
        <f>IF($B45&gt;0,(GETPIVOTDATA(" New Disability",'$ Pivot Table'!$A$3,"State","AR","Category",1,"Category2","Four-Year"))/$B45)*100</f>
        <v>7.0866032292161749E-2</v>
      </c>
      <c r="F45" s="32"/>
      <c r="G45" s="32">
        <f>IF($B45&gt;0,(GETPIVOTDATA(" New Social Security",'$ Pivot Table'!$A$3,"State","AR","Category",1,"Category2","Four-Year"))/$B45)*100</f>
        <v>7.1586913244634403</v>
      </c>
      <c r="H45" s="32"/>
      <c r="I45" s="32">
        <f>IF($B45&gt;0,(GETPIVOTDATA(" New Unemployment",'$ Pivot Table'!$A$3,"State","AR","Category",1,"Category2","Four-Year"))/$B45)*100</f>
        <v>0.4384650048039504</v>
      </c>
      <c r="J45" s="32">
        <f>IF($B45&gt;0,(GETPIVOTDATA(" New Life Insurance",'$ Pivot Table'!$A$3,"State","AR","Category",1,"Category2","Four-Year"))/$B45)*100</f>
        <v>0.17920121746106857</v>
      </c>
      <c r="K45" s="32"/>
      <c r="L45" s="32">
        <f>IF($B45&gt;0,(GETPIVOTDATA(" New Worker's Comp",'$ Pivot Table'!$A$3,"State","AR","Category",1,"Category2","Four-Year"))/$B45)*100</f>
        <v>0.32827429072233405</v>
      </c>
      <c r="M45" s="32">
        <f>IF($B45&gt;0,(GETPIVOTDATA(" New Tuition Plans",'$ Pivot Table'!$A$3,"State","AR","Category",1,"Category2","Four-Year"))/$B45)*100</f>
        <v>2.6757025719954881</v>
      </c>
      <c r="N45" s="32">
        <f>IF($B45&gt;0,(GETPIVOTDATA(" New Other",'$ Pivot Table'!$A$3,"State","AR","Category",1,"Category2","Four-Year"))/$B45)*100</f>
        <v>0</v>
      </c>
      <c r="O45" s="90">
        <f>IF($B45&gt;0,(GETPIVOTDATA(" New Total",'$ Pivot Table'!$A$3,"State","AR","Category",1,"Category2","Four-Year"))/$B45)*100</f>
        <v>24.952262960698977</v>
      </c>
    </row>
    <row r="46" spans="1:29">
      <c r="A46" s="149" t="s">
        <v>494</v>
      </c>
      <c r="B46" s="617">
        <f>+'[2]NEW Tables 143-162'!B12</f>
        <v>99645.742565186505</v>
      </c>
      <c r="C46" s="32">
        <f>IF($B46&gt;0,(GETPIVOTDATA(" New Retirement",'$ Pivot Table'!$A$3,"State","DE","Category",1,"Category2","Four-Year"))/$B46)*100</f>
        <v>11.000018682414748</v>
      </c>
      <c r="D46" s="32">
        <f>IF($B46&gt;0,(GETPIVOTDATA(" New Health",'$ Pivot Table'!$A$3,"State","DE","Category",1,"Category2","Four-Year"))/$B46)*100</f>
        <v>11.97576161559684</v>
      </c>
      <c r="E46" s="32">
        <f>IF($B46&gt;0,(GETPIVOTDATA(" New Disability",'$ Pivot Table'!$A$3,"State","DE","Category",1,"Category2","Four-Year"))/$B46)*100</f>
        <v>0.27870046097598056</v>
      </c>
      <c r="F46" s="32"/>
      <c r="G46" s="32">
        <f>IF($B46&gt;0,(GETPIVOTDATA(" New Social Security",'$ Pivot Table'!$A$3,"State","DE","Category",1,"Category2","Four-Year"))/$B46)*100</f>
        <v>6.9025727360807796</v>
      </c>
      <c r="H46" s="32"/>
      <c r="I46" s="32">
        <f>IF($B46&gt;0,(GETPIVOTDATA(" New Unemployment",'$ Pivot Table'!$A$3,"State","DE","Category",1,"Category2","Four-Year"))/$B46)*100</f>
        <v>0.20472525443477602</v>
      </c>
      <c r="J46" s="32">
        <f>IF($B46&gt;0,(GETPIVOTDATA(" New Life Insurance",'$ Pivot Table'!$A$3,"State","DE","Category",1,"Category2","Four-Year"))/$B46)*100</f>
        <v>0.32979911087198904</v>
      </c>
      <c r="K46" s="32"/>
      <c r="L46" s="32">
        <f>IF($B46&gt;0,(GETPIVOTDATA(" New Worker's Comp",'$ Pivot Table'!$A$3,"State","DE","Category",1,"Category2","Four-Year"))/$B46)*100</f>
        <v>0.32098934264324425</v>
      </c>
      <c r="M46" s="32">
        <f>IF($B46&gt;0,(GETPIVOTDATA(" New Tuition Plans",'$ Pivot Table'!$A$3,"State","DE","Category",1,"Category2","Four-Year"))/$B46)*100</f>
        <v>8.6519814979061049</v>
      </c>
      <c r="N46" s="32">
        <f>IF($B46&gt;0,(GETPIVOTDATA(" New Other",'$ Pivot Table'!$A$3,"State","DE","Category",1,"Category2","Four-Year"))/$B46)*100</f>
        <v>0</v>
      </c>
      <c r="O46" s="90">
        <f>IF($B46&gt;0,(GETPIVOTDATA(" New Total",'$ Pivot Table'!$A$3,"State","DE","Category",1,"Category2","Four-Year"))/$B46)*100</f>
        <v>32.018442186005117</v>
      </c>
    </row>
    <row r="47" spans="1:29">
      <c r="A47" s="149" t="s">
        <v>481</v>
      </c>
      <c r="B47" s="617">
        <f>+'[2]NEW Tables 143-162'!B13</f>
        <v>82114.445515932341</v>
      </c>
      <c r="C47" s="32">
        <f>IF($B47&gt;0,(GETPIVOTDATA(" New Retirement",'$ Pivot Table'!$A$3,"State","FL","Category",1,"Category2","Four-Year"))/$B47)*100</f>
        <v>10.403393390281824</v>
      </c>
      <c r="D47" s="32">
        <f>IF($B47&gt;0,(GETPIVOTDATA(" New Health",'$ Pivot Table'!$A$3,"State","FL","Category",1,"Category2","Four-Year"))/$B47)*100</f>
        <v>11.418072144639474</v>
      </c>
      <c r="E47" s="32">
        <f>IF($B47&gt;0,(GETPIVOTDATA(" New Disability",'$ Pivot Table'!$A$3,"State","FL","Category",1,"Category2","Four-Year"))/$B47)*100</f>
        <v>0</v>
      </c>
      <c r="F47" s="32"/>
      <c r="G47" s="32">
        <f>IF($B47&gt;0,(GETPIVOTDATA(" New Social Security",'$ Pivot Table'!$A$3,"State","FL","Category",1,"Category2","Four-Year"))/$B47)*100</f>
        <v>6.6395976059444903</v>
      </c>
      <c r="H47" s="32"/>
      <c r="I47" s="32">
        <f>IF($B47&gt;0,(GETPIVOTDATA(" New Unemployment",'$ Pivot Table'!$A$3,"State","FL","Category",1,"Category2","Four-Year"))/$B47)*100</f>
        <v>0.26928250334129061</v>
      </c>
      <c r="J47" s="32">
        <f>IF($B47&gt;0,(GETPIVOTDATA(" New Life Insurance",'$ Pivot Table'!$A$3,"State","FL","Category",1,"Category2","Four-Year"))/$B47)*100</f>
        <v>0.25818421175329231</v>
      </c>
      <c r="K47" s="32"/>
      <c r="L47" s="32">
        <f>IF($B47&gt;0,(GETPIVOTDATA(" New Worker's Comp",'$ Pivot Table'!$A$3,"State","FL","Category",1,"Category2","Four-Year"))/$B47)*100</f>
        <v>0.39469808415507318</v>
      </c>
      <c r="M47" s="32">
        <f>IF($B47&gt;0,(GETPIVOTDATA(" New Tuition Plans",'$ Pivot Table'!$A$3,"State","FL","Category",1,"Category2","Four-Year"))/$B47)*100</f>
        <v>0</v>
      </c>
      <c r="N47" s="32">
        <f>IF($B47&gt;0,(GETPIVOTDATA(" New Other",'$ Pivot Table'!$A$3,"State","FL","Category",1,"Category2","Four-Year"))/$B47)*100</f>
        <v>0</v>
      </c>
      <c r="O47" s="90">
        <f>IF($B47&gt;0,(GETPIVOTDATA(" New Total",'$ Pivot Table'!$A$3,"State","FL","Category",1,"Category2","Four-Year"))/$B47)*100</f>
        <v>28.382539283256499</v>
      </c>
    </row>
    <row r="48" spans="1:29">
      <c r="A48" s="149"/>
      <c r="B48" s="617">
        <f>+'[2]NEW Tables 143-162'!B14</f>
        <v>0</v>
      </c>
      <c r="C48" s="32"/>
      <c r="D48" s="34"/>
      <c r="E48" s="32"/>
      <c r="F48" s="32"/>
      <c r="G48" s="32"/>
      <c r="H48" s="32"/>
      <c r="I48" s="32"/>
      <c r="J48" s="32"/>
      <c r="K48" s="32"/>
      <c r="L48" s="32"/>
      <c r="M48" s="32"/>
      <c r="N48" s="32"/>
      <c r="O48" s="90"/>
    </row>
    <row r="49" spans="1:15">
      <c r="A49" s="149" t="s">
        <v>482</v>
      </c>
      <c r="B49" s="617">
        <f>+'[2]NEW Tables 143-162'!B15</f>
        <v>82834.245913112536</v>
      </c>
      <c r="C49" s="32">
        <f>IF($B49&gt;0,(GETPIVOTDATA(" New Retirement",'$ Pivot Table'!$A$3,"State","GA","Category",1,"Category2","Four-Year"))/$B49)*100</f>
        <v>9.646646363367303</v>
      </c>
      <c r="D49" s="32">
        <f>IF($B49&gt;0,(GETPIVOTDATA(" New Health",'$ Pivot Table'!$A$3,"State","GA","Category",1,"Category2","Four-Year"))/$B49)*100</f>
        <v>8.9237387423848222</v>
      </c>
      <c r="E49" s="32">
        <f>IF($B49&gt;0,(GETPIVOTDATA(" New Disability",'$ Pivot Table'!$A$3,"State","GA","Category",1,"Category2","Four-Year"))/$B49)*100</f>
        <v>0</v>
      </c>
      <c r="F49" s="32"/>
      <c r="G49" s="32">
        <f>IF($B49&gt;0,(GETPIVOTDATA(" New Social Security",'$ Pivot Table'!$A$3,"State","GA","Category",1,"Category2","Four-Year"))/$B49)*100</f>
        <v>7.1047322417912087</v>
      </c>
      <c r="H49" s="32"/>
      <c r="I49" s="32">
        <f>IF($B49&gt;0,(GETPIVOTDATA(" New Unemployment",'$ Pivot Table'!$A$3,"State","GA","Category",1,"Category2","Four-Year"))/$B49)*100</f>
        <v>0.17021945264993341</v>
      </c>
      <c r="J49" s="32">
        <f>IF($B49&gt;0,(GETPIVOTDATA(" New Life Insurance",'$ Pivot Table'!$A$3,"State","GA","Category",1,"Category2","Four-Year"))/$B49)*100</f>
        <v>0.12977537483441151</v>
      </c>
      <c r="K49" s="32"/>
      <c r="L49" s="32">
        <f>IF($B49&gt;0,(GETPIVOTDATA(" New Worker's Comp",'$ Pivot Table'!$A$3,"State","GA","Category",1,"Category2","Four-Year"))/$B49)*100</f>
        <v>0.15091680104897851</v>
      </c>
      <c r="M49" s="32">
        <f>IF($B49&gt;0,(GETPIVOTDATA(" New Tuition Plans",'$ Pivot Table'!$A$3,"State","GA","Category",1,"Category2","Four-Year"))/$B49)*100</f>
        <v>0</v>
      </c>
      <c r="N49" s="32">
        <f>IF($B49&gt;0,(GETPIVOTDATA(" New Other",'$ Pivot Table'!$A$3,"State","GA","Category",1,"Category2","Four-Year"))/$B49)*100</f>
        <v>0</v>
      </c>
      <c r="O49" s="90">
        <f>IF($B49&gt;0,(GETPIVOTDATA(" New Total",'$ Pivot Table'!$A$3,"State","GA","Category",1,"Category2","Four-Year"))/$B49)*100</f>
        <v>24.826707714710128</v>
      </c>
    </row>
    <row r="50" spans="1:15">
      <c r="A50" s="149" t="s">
        <v>483</v>
      </c>
      <c r="B50" s="617">
        <f>+'[2]NEW Tables 143-162'!B16</f>
        <v>80062.521640869963</v>
      </c>
      <c r="C50" s="32">
        <f>IF($B50&gt;0,(GETPIVOTDATA(" New Retirement",'$ Pivot Table'!$A$3,"State","KY","Category",1,"Category2","Four-Year"))/$B50)*100</f>
        <v>10.000256337487084</v>
      </c>
      <c r="D50" s="32">
        <f>IF($B50&gt;0,(GETPIVOTDATA(" New Health",'$ Pivot Table'!$A$3,"State","KY","Category",1,"Category2","Four-Year"))/$B50)*100</f>
        <v>8.645225848182049</v>
      </c>
      <c r="E50" s="32">
        <f>IF($B50&gt;0,(GETPIVOTDATA(" New Disability",'$ Pivot Table'!$A$3,"State","KY","Category",1,"Category2","Four-Year"))/$B50)*100</f>
        <v>0.17985943616156541</v>
      </c>
      <c r="F50" s="32"/>
      <c r="G50" s="32">
        <f>IF($B50&gt;0,(GETPIVOTDATA(" New Social Security",'$ Pivot Table'!$A$3,"State","KY","Category",1,"Category2","Four-Year"))/$B50)*100</f>
        <v>7.9544291644339458</v>
      </c>
      <c r="H50" s="32"/>
      <c r="I50" s="32">
        <f>IF($B50&gt;0,(GETPIVOTDATA(" New Unemployment",'$ Pivot Table'!$A$3,"State","KY","Category",1,"Category2","Four-Year"))/$B50)*100</f>
        <v>0.19996832418733174</v>
      </c>
      <c r="J50" s="32">
        <f>IF($B50&gt;0,(GETPIVOTDATA(" New Life Insurance",'$ Pivot Table'!$A$3,"State","KY","Category",1,"Category2","Four-Year"))/$B50)*100</f>
        <v>0.26448715374283488</v>
      </c>
      <c r="K50" s="56"/>
      <c r="L50" s="32">
        <f>IF($B50&gt;0,(GETPIVOTDATA(" New Worker's Comp",'$ Pivot Table'!$A$3,"State","KY","Category",1,"Category2","Four-Year"))/$B50)*100</f>
        <v>0.52420032069394584</v>
      </c>
      <c r="M50" s="32">
        <f>IF($B50&gt;0,(GETPIVOTDATA(" New Tuition Plans",'$ Pivot Table'!$A$3,"State","KY","Category",1,"Category2","Four-Year"))/$B50)*100</f>
        <v>9.7854060758730412</v>
      </c>
      <c r="N50" s="32">
        <f>IF($B50&gt;0,(GETPIVOTDATA(" New Other",'$ Pivot Table'!$A$3,"State","KY","Category",1,"Category2","Four-Year"))/$B50)*100</f>
        <v>0.45714273357731205</v>
      </c>
      <c r="O50" s="90">
        <f>IF($B50&gt;0,(GETPIVOTDATA(" New Total",'$ Pivot Table'!$A$3,"State","KY","Category",1,"Category2","Four-Year"))/$B50)*100</f>
        <v>27.199152092878375</v>
      </c>
    </row>
    <row r="51" spans="1:15">
      <c r="A51" s="149" t="s">
        <v>484</v>
      </c>
      <c r="B51" s="617">
        <f>+'[2]NEW Tables 143-162'!B17</f>
        <v>81172.056250565409</v>
      </c>
      <c r="C51" s="32">
        <f>IF($B51&gt;0,(GETPIVOTDATA(" New Retirement",'$ Pivot Table'!$A$3,"State","LA","Category",1,"Category2","Four-Year"))/$B51)*100</f>
        <v>14.15871923900445</v>
      </c>
      <c r="D51" s="32">
        <f>IF($B51&gt;0,(GETPIVOTDATA(" New Health",'$ Pivot Table'!$A$3,"State","LA","Category",1,"Category2","Four-Year"))/$B51)*100</f>
        <v>7.3914271221300645</v>
      </c>
      <c r="E51" s="32">
        <f>IF($B51&gt;0,(GETPIVOTDATA(" New Disability",'$ Pivot Table'!$A$3,"State","LA","Category",1,"Category2","Four-Year"))/$B51)*100</f>
        <v>0</v>
      </c>
      <c r="F51" s="32"/>
      <c r="G51" s="90">
        <f>IF($B51&gt;0,(GETPIVOTDATA(" New Social Security",'$ Pivot Table'!$A$3,"State","LA","Category",1,"Category2","Four-Year"))/$B51)*100</f>
        <v>1.2076931557124786</v>
      </c>
      <c r="H51" s="91" t="s">
        <v>468</v>
      </c>
      <c r="I51" s="32">
        <f>IF($B51&gt;0,(GETPIVOTDATA(" New Unemployment",'$ Pivot Table'!$A$3,"State","LA","Category",1,"Category2","Four-Year"))/$B51)*100</f>
        <v>0</v>
      </c>
      <c r="J51" s="32">
        <f>IF($B51&gt;0,(GETPIVOTDATA(" New Life Insurance",'$ Pivot Table'!$A$3,"State","LA","Category",1,"Category2","Four-Year"))/$B51)*100</f>
        <v>0.23449836032834892</v>
      </c>
      <c r="K51" s="32"/>
      <c r="L51" s="32">
        <f>IF($B51&gt;0,(GETPIVOTDATA(" New Worker's Comp",'$ Pivot Table'!$A$3,"State","LA","Category",1,"Category2","Four-Year"))/$B51)*100</f>
        <v>0.53767240156057683</v>
      </c>
      <c r="M51" s="32">
        <f>IF($B51&gt;0,(GETPIVOTDATA(" New Tuition Plans",'$ Pivot Table'!$A$3,"State","LA","Category",1,"Category2","Four-Year"))/$B51)*100</f>
        <v>0</v>
      </c>
      <c r="N51" s="32">
        <f>IF($B51&gt;0,(GETPIVOTDATA(" New Other",'$ Pivot Table'!$A$3,"State","LA","Category",1,"Category2","Four-Year"))/$B51)*100</f>
        <v>0</v>
      </c>
      <c r="O51" s="90">
        <f>IF($B51&gt;0,(GETPIVOTDATA(" New Total",'$ Pivot Table'!$A$3,"State","LA","Category",1,"Category2","Four-Year"))/$B51)*100</f>
        <v>22.16206975428295</v>
      </c>
    </row>
    <row r="52" spans="1:15">
      <c r="A52" s="149" t="s">
        <v>485</v>
      </c>
      <c r="B52" s="617">
        <f>+'[2]NEW Tables 143-162'!B18</f>
        <v>110063.9662877091</v>
      </c>
      <c r="C52" s="32">
        <f>IF($B52&gt;0,(GETPIVOTDATA(" New Retirement",'$ Pivot Table'!$A$3,"State","MD","Category",1,"Category2","Four-Year"))/$B52)*100</f>
        <v>7.3732102593184301</v>
      </c>
      <c r="D52" s="32">
        <f>IF($B52&gt;0,(GETPIVOTDATA(" New Health",'$ Pivot Table'!$A$3,"State","MD","Category",1,"Category2","Four-Year"))/$B52)*100</f>
        <v>8.3705869511526227</v>
      </c>
      <c r="E52" s="32">
        <f>IF($B52&gt;0,(GETPIVOTDATA(" New Disability",'$ Pivot Table'!$A$3,"State","MD","Category",1,"Category2","Four-Year"))/$B52)*100</f>
        <v>0</v>
      </c>
      <c r="F52" s="32"/>
      <c r="G52" s="32">
        <f>IF($B52&gt;0,(GETPIVOTDATA(" New Social Security",'$ Pivot Table'!$A$3,"State","MD","Category",1,"Category2","Four-Year"))/$B52)*100</f>
        <v>5.9342714221153123</v>
      </c>
      <c r="H52" s="32"/>
      <c r="I52" s="32">
        <f>IF($B52&gt;0,(GETPIVOTDATA(" New Unemployment",'$ Pivot Table'!$A$3,"State","MD","Category",1,"Category2","Four-Year"))/$B52)*100</f>
        <v>0.10018352759877865</v>
      </c>
      <c r="J52" s="32">
        <f>IF($B52&gt;0,(GETPIVOTDATA(" New Life Insurance",'$ Pivot Table'!$A$3,"State","MD","Category",1,"Category2","Four-Year"))/$B52)*100</f>
        <v>0</v>
      </c>
      <c r="K52" s="32"/>
      <c r="L52" s="32">
        <f>IF($B52&gt;0,(GETPIVOTDATA(" New Worker's Comp",'$ Pivot Table'!$A$3,"State","MD","Category",1,"Category2","Four-Year"))/$B52)*100</f>
        <v>0.28950676402250797</v>
      </c>
      <c r="M52" s="32">
        <f>IF($B52&gt;0,(GETPIVOTDATA(" New Tuition Plans",'$ Pivot Table'!$A$3,"State","MD","Category",1,"Category2","Four-Year"))/$B52)*100</f>
        <v>4.1034658133536501</v>
      </c>
      <c r="N52" s="32">
        <f>IF($B52&gt;0,(GETPIVOTDATA(" New Other",'$ Pivot Table'!$A$3,"State","MD","Category",1,"Category2","Four-Year"))/$B52)*100</f>
        <v>0</v>
      </c>
      <c r="O52" s="90">
        <f>IF($B52&gt;0,(GETPIVOTDATA(" New Total",'$ Pivot Table'!$A$3,"State","MD","Category",1,"Category2","Four-Year"))/$B52)*100</f>
        <v>22.704947412560664</v>
      </c>
    </row>
    <row r="53" spans="1:15">
      <c r="A53" s="149"/>
      <c r="B53" s="617">
        <f>+'[2]NEW Tables 143-162'!B19</f>
        <v>0</v>
      </c>
      <c r="C53" s="32"/>
      <c r="D53" s="34"/>
      <c r="E53" s="32"/>
      <c r="F53" s="32"/>
      <c r="G53" s="32"/>
      <c r="H53" s="32"/>
      <c r="I53" s="32"/>
      <c r="J53" s="32"/>
      <c r="K53" s="32"/>
      <c r="L53" s="32"/>
      <c r="M53" s="32"/>
      <c r="N53" s="32"/>
      <c r="O53" s="90"/>
    </row>
    <row r="54" spans="1:15">
      <c r="A54" s="149" t="s">
        <v>486</v>
      </c>
      <c r="B54" s="617">
        <f>+'[2]NEW Tables 143-162'!B20</f>
        <v>64032.535242832259</v>
      </c>
      <c r="C54" s="32">
        <f>IF($B54&gt;0,(GETPIVOTDATA(" New Retirement",'$ Pivot Table'!$A$3,"State","MS","Category",1,"Category2","Four-Year"))/$B54)*100</f>
        <v>11.955834729780701</v>
      </c>
      <c r="D54" s="32">
        <f>IF($B54&gt;0,(GETPIVOTDATA(" New Health",'$ Pivot Table'!$A$3,"State","MS","Category",1,"Category2","Four-Year"))/$B54)*100</f>
        <v>3.3241454490801479</v>
      </c>
      <c r="E54" s="32">
        <f>IF($B54&gt;0,(GETPIVOTDATA(" New Disability",'$ Pivot Table'!$A$3,"State","MS","Category",1,"Category2","Four-Year"))/$B54)*100</f>
        <v>0</v>
      </c>
      <c r="F54" s="32"/>
      <c r="G54" s="32">
        <f>IF($B54&gt;0,(GETPIVOTDATA(" New Social Security",'$ Pivot Table'!$A$3,"State","MS","Category",1,"Category2","Four-Year"))/$B54)*100</f>
        <v>5.5711413454997434</v>
      </c>
      <c r="H54" s="32"/>
      <c r="I54" s="32">
        <f>IF($B54&gt;0,(GETPIVOTDATA(" New Unemployment",'$ Pivot Table'!$A$3,"State","MS","Category",1,"Category2","Four-Year"))/$B54)*100</f>
        <v>0.12081072115042449</v>
      </c>
      <c r="J54" s="32">
        <f>IF($B54&gt;0,(GETPIVOTDATA(" New Life Insurance",'$ Pivot Table'!$A$3,"State","MS","Category",1,"Category2","Four-Year"))/$B54)*100</f>
        <v>0.19473111653219674</v>
      </c>
      <c r="K54" s="32"/>
      <c r="L54" s="32">
        <f>IF($B54&gt;0,(GETPIVOTDATA(" New Worker's Comp",'$ Pivot Table'!$A$3,"State","MS","Category",1,"Category2","Four-Year"))/$B54)*100</f>
        <v>0.64637105232368819</v>
      </c>
      <c r="M54" s="32">
        <f>IF($B54&gt;0,(GETPIVOTDATA(" New Tuition Plans",'$ Pivot Table'!$A$3,"State","MS","Category",1,"Category2","Four-Year"))/$B54)*100</f>
        <v>2.0694390448371598</v>
      </c>
      <c r="N54" s="32">
        <f>IF($B54&gt;0,(GETPIVOTDATA(" New Other",'$ Pivot Table'!$A$3,"State","MS","Category",1,"Category2","Four-Year"))/$B54)*100</f>
        <v>0</v>
      </c>
      <c r="O54" s="90">
        <f>IF($B54&gt;0,(GETPIVOTDATA(" New Total",'$ Pivot Table'!$A$3,"State","MS","Category",1,"Category2","Four-Year"))/$B54)*100</f>
        <v>17.050628886031252</v>
      </c>
    </row>
    <row r="55" spans="1:15">
      <c r="A55" s="149" t="s">
        <v>487</v>
      </c>
      <c r="B55" s="617">
        <f>+'[2]NEW Tables 143-162'!B21</f>
        <v>96744.394035960315</v>
      </c>
      <c r="C55" s="32">
        <f>IF($B55&gt;0,(GETPIVOTDATA(" New Retirement",'$ Pivot Table'!$A$3,"State","NC","Category",1,"Category2","Four-Year"))/$B55)*100</f>
        <v>11.657341386301216</v>
      </c>
      <c r="D55" s="32">
        <f>IF($B55&gt;0,(GETPIVOTDATA(" New Health",'$ Pivot Table'!$A$3,"State","NC","Category",1,"Category2","Four-Year"))/$B55)*100</f>
        <v>5.0959025059038536</v>
      </c>
      <c r="E55" s="32">
        <f>IF($B55&gt;0,(GETPIVOTDATA(" New Disability",'$ Pivot Table'!$A$3,"State","NC","Category",1,"Category2","Four-Year"))/$B55)*100</f>
        <v>0.51863666340167691</v>
      </c>
      <c r="F55" s="32"/>
      <c r="G55" s="32">
        <f>IF($B55&gt;0,(GETPIVOTDATA(" New Social Security",'$ Pivot Table'!$A$3,"State","NC","Category",1,"Category2","Four-Year"))/$B55)*100</f>
        <v>6.8752562375173465</v>
      </c>
      <c r="H55" s="32"/>
      <c r="I55" s="32">
        <f>IF($B55&gt;0,(GETPIVOTDATA(" New Unemployment",'$ Pivot Table'!$A$3,"State","NC","Category",1,"Category2","Four-Year"))/$B55)*100</f>
        <v>9.0022729302119589E-2</v>
      </c>
      <c r="J55" s="32">
        <f>IF($B55&gt;0,(GETPIVOTDATA(" New Life Insurance",'$ Pivot Table'!$A$3,"State","NC","Category",1,"Category2","Four-Year"))/$B55)*100</f>
        <v>0.14269084162086945</v>
      </c>
      <c r="K55" s="32"/>
      <c r="L55" s="32">
        <f>IF($B55&gt;0,(GETPIVOTDATA(" New Worker's Comp",'$ Pivot Table'!$A$3,"State","NC","Category",1,"Category2","Four-Year"))/$B55)*100</f>
        <v>0.87001938247207133</v>
      </c>
      <c r="M55" s="32">
        <f>IF($B55&gt;0,(GETPIVOTDATA(" New Tuition Plans",'$ Pivot Table'!$A$3,"State","NC","Category",1,"Category2","Four-Year"))/$B55)*100</f>
        <v>0</v>
      </c>
      <c r="N55" s="32">
        <f>IF($B55&gt;0,(GETPIVOTDATA(" New Other",'$ Pivot Table'!$A$3,"State","NC","Category",1,"Category2","Four-Year"))/$B55)*100</f>
        <v>0</v>
      </c>
      <c r="O55" s="90">
        <f>IF($B55&gt;0,(GETPIVOTDATA(" New Total",'$ Pivot Table'!$A$3,"State","NC","Category",1,"Category2","Four-Year"))/$B55)*100</f>
        <v>25.136541731326396</v>
      </c>
    </row>
    <row r="56" spans="1:15">
      <c r="A56" s="149" t="s">
        <v>488</v>
      </c>
      <c r="B56" s="617">
        <f>+'[2]NEW Tables 143-162'!B22</f>
        <v>77906.17307420772</v>
      </c>
      <c r="C56" s="32">
        <f>IF($B56&gt;0,(GETPIVOTDATA(" New Retirement",'$ Pivot Table'!$A$3,"State","OK","Category",1,"Category2","Four-Year"))/$B56)*100</f>
        <v>21.692236740637753</v>
      </c>
      <c r="D56" s="32">
        <f>IF($B56&gt;0,(GETPIVOTDATA(" New Health",'$ Pivot Table'!$A$3,"State","OK","Category",1,"Category2","Four-Year"))/$B56)*100</f>
        <v>6.5616033251941843</v>
      </c>
      <c r="E56" s="32">
        <f>IF($B56&gt;0,(GETPIVOTDATA(" New Disability",'$ Pivot Table'!$A$3,"State","OK","Category",1,"Category2","Four-Year"))/$B56)*100</f>
        <v>0</v>
      </c>
      <c r="F56" s="32"/>
      <c r="G56" s="32">
        <f>IF($B56&gt;0,(GETPIVOTDATA(" New Social Security",'$ Pivot Table'!$A$3,"State","OK","Category",1,"Category2","Four-Year"))/$B56)*100</f>
        <v>7.0229885866041952</v>
      </c>
      <c r="H56" s="32"/>
      <c r="I56" s="56">
        <f>IF($B56&gt;0,(GETPIVOTDATA(" New Unemployment",'$ Pivot Table'!$A$3,"State","OK","Category",1,"Category2","Four-Year"))/$B56)*100</f>
        <v>2.6930431725885884E-2</v>
      </c>
      <c r="J56" s="32">
        <f>IF($B56&gt;0,(GETPIVOTDATA(" New Life Insurance",'$ Pivot Table'!$A$3,"State","OK","Category",1,"Category2","Four-Year"))/$B56)*100</f>
        <v>0.3749244038752178</v>
      </c>
      <c r="K56" s="32"/>
      <c r="L56" s="32">
        <f>IF($B56&gt;0,(GETPIVOTDATA(" New Worker's Comp",'$ Pivot Table'!$A$3,"State","OK","Category",1,"Category2","Four-Year"))/$B56)*100</f>
        <v>0.76571270728953611</v>
      </c>
      <c r="M56" s="32">
        <f>IF($B56&gt;0,(GETPIVOTDATA(" New Tuition Plans",'$ Pivot Table'!$A$3,"State","OK","Category",1,"Category2","Four-Year"))/$B56)*100</f>
        <v>0</v>
      </c>
      <c r="N56" s="35">
        <f>IF($B56&gt;0,(GETPIVOTDATA(" New Other",'$ Pivot Table'!$A$3,"State","OK","Category",1,"Category2","Four-Year"))/$B56)*100</f>
        <v>1.4014253709523558E-3</v>
      </c>
      <c r="O56" s="90">
        <f>IF($B56&gt;0,(GETPIVOTDATA(" New Total",'$ Pivot Table'!$A$3,"State","OK","Category",1,"Category2","Four-Year"))/$B56)*100</f>
        <v>36.263969928096785</v>
      </c>
    </row>
    <row r="57" spans="1:15">
      <c r="A57" s="149" t="s">
        <v>489</v>
      </c>
      <c r="B57" s="617">
        <f>+'[2]NEW Tables 143-162'!B23</f>
        <v>79769.244417559661</v>
      </c>
      <c r="C57" s="32">
        <f>IF($B57&gt;0,(GETPIVOTDATA(" New Retirement",'$ Pivot Table'!$A$3,"State","SC","Category",1,"Category2","Four-Year"))/$B57)*100</f>
        <v>13.209105919853926</v>
      </c>
      <c r="D57" s="32">
        <f>IF($B57&gt;0,(GETPIVOTDATA(" New Health",'$ Pivot Table'!$A$3,"State","SC","Category",1,"Category2","Four-Year"))/$B57)*100</f>
        <v>6.7757865026778274</v>
      </c>
      <c r="E57" s="56">
        <f>IF($B57&gt;0,(GETPIVOTDATA(" New Disability",'$ Pivot Table'!$A$3,"State","SC","Category",1,"Category2","Four-Year"))/$B57)*100</f>
        <v>4.8590540239283421E-2</v>
      </c>
      <c r="F57" s="32"/>
      <c r="G57" s="32">
        <f>IF($B57&gt;0,(GETPIVOTDATA(" New Social Security",'$ Pivot Table'!$A$3,"State","SC","Category",1,"Category2","Four-Year"))/$B57)*100</f>
        <v>6.4924269196336235</v>
      </c>
      <c r="H57" s="32"/>
      <c r="I57" s="32">
        <f>IF($B57&gt;0,(GETPIVOTDATA(" New Unemployment",'$ Pivot Table'!$A$3,"State","SC","Category",1,"Category2","Four-Year"))/$B57)*100</f>
        <v>0.1724848033951468</v>
      </c>
      <c r="J57" s="32">
        <f>IF($B57&gt;0,(GETPIVOTDATA(" New Life Insurance",'$ Pivot Table'!$A$3,"State","SC","Category",1,"Category2","Four-Year"))/$B57)*100</f>
        <v>8.3189635220224142E-2</v>
      </c>
      <c r="K57" s="32"/>
      <c r="L57" s="32">
        <f>IF($B57&gt;0,(GETPIVOTDATA(" New Worker's Comp",'$ Pivot Table'!$A$3,"State","SC","Category",1,"Category2","Four-Year"))/$B57)*100</f>
        <v>1.0078583507281784</v>
      </c>
      <c r="M57" s="32">
        <f>IF($B57&gt;0,(GETPIVOTDATA(" New Tuition Plans",'$ Pivot Table'!$A$3,"State","SC","Category",1,"Category2","Four-Year"))/$B57)*100</f>
        <v>0</v>
      </c>
      <c r="N57" s="32">
        <f>IF($B57&gt;0,(GETPIVOTDATA(" New Other",'$ Pivot Table'!$A$3,"State","SC","Category",1,"Category2","Four-Year"))/$B57)*100</f>
        <v>0</v>
      </c>
      <c r="O57" s="90">
        <f>IF($B57&gt;0,(GETPIVOTDATA(" New Total",'$ Pivot Table'!$A$3,"State","SC","Category",1,"Category2","Four-Year"))/$B57)*100</f>
        <v>27.623746560790558</v>
      </c>
    </row>
    <row r="58" spans="1:15">
      <c r="A58" s="149"/>
      <c r="B58" s="617">
        <f>+'[2]NEW Tables 143-162'!B24</f>
        <v>0</v>
      </c>
      <c r="C58" s="32"/>
      <c r="D58" s="34"/>
      <c r="E58" s="32"/>
      <c r="F58" s="32"/>
      <c r="G58" s="32"/>
      <c r="H58" s="32"/>
      <c r="I58" s="32"/>
      <c r="J58" s="32"/>
      <c r="K58" s="32"/>
      <c r="L58" s="32"/>
      <c r="M58" s="32"/>
      <c r="N58" s="32"/>
      <c r="O58" s="90"/>
    </row>
    <row r="59" spans="1:15" ht="15.75" customHeight="1">
      <c r="A59" s="149" t="s">
        <v>490</v>
      </c>
      <c r="B59" s="617">
        <f>+'[2]NEW Tables 143-162'!B25</f>
        <v>77389.687229785515</v>
      </c>
      <c r="C59" s="28">
        <f>IF($B59&gt;0,(GETPIVOTDATA(" New Retirement",'$ Pivot Table'!$A$3,"State","TN","Category",1,"Category2","Four-Year"))/$B59)*100</f>
        <v>12.128612117416168</v>
      </c>
      <c r="D59" s="28">
        <f>IF($B59&gt;0,(GETPIVOTDATA(" New Health",'$ Pivot Table'!$A$3,"State","TN","Category",1,"Category2","Four-Year"))/$B59)*100</f>
        <v>12.2489664461245</v>
      </c>
      <c r="E59" s="28">
        <f>IF($B59&gt;0,(GETPIVOTDATA(" New Disability",'$ Pivot Table'!$A$3,"State","TN","Category",1,"Category2","Four-Year"))/$B59)*100</f>
        <v>0</v>
      </c>
      <c r="F59" s="28"/>
      <c r="G59" s="28">
        <f>IF($B59&gt;0,(GETPIVOTDATA(" New Social Security",'$ Pivot Table'!$A$3,"State","TN","Category",1,"Category2","Four-Year"))/$B59)*100</f>
        <v>5.9163050040470777</v>
      </c>
      <c r="H59" s="28"/>
      <c r="I59" s="58">
        <f>IF($B59&gt;0,(GETPIVOTDATA(" New Unemployment",'$ Pivot Table'!$A$3,"State","TN","Category",1,"Category2","Four-Year"))/$B59)*100</f>
        <v>5.1305008460901004E-2</v>
      </c>
      <c r="J59" s="28">
        <f>IF($B59&gt;0,(GETPIVOTDATA(" New Life Insurance",'$ Pivot Table'!$A$3,"State","TN","Category",1,"Category2","Four-Year"))/$B59)*100</f>
        <v>7.0926193922382391E-2</v>
      </c>
      <c r="K59" s="28"/>
      <c r="L59" s="28">
        <f>IF($B59&gt;0,(GETPIVOTDATA(" New Worker's Comp",'$ Pivot Table'!$A$3,"State","TN","Category",1,"Category2","Four-Year"))/$B59)*100</f>
        <v>0.20987172841948248</v>
      </c>
      <c r="M59" s="28">
        <f>IF($B59&gt;0,(GETPIVOTDATA(" New Tuition Plans",'$ Pivot Table'!$A$3,"State","TN","Category",1,"Category2","Four-Year"))/$B59)*100</f>
        <v>0</v>
      </c>
      <c r="N59" s="28">
        <f>IF($B59&gt;0,(GETPIVOTDATA(" New Other",'$ Pivot Table'!$A$3,"State","TN","Category",1,"Category2","Four-Year"))/$B59)*100</f>
        <v>0.74849021623283418</v>
      </c>
      <c r="O59" s="86">
        <f>IF($B59&gt;0,(GETPIVOTDATA(" New Total",'$ Pivot Table'!$A$3,"State","TN","Category",1,"Category2","Four-Year"))/$B59)*100</f>
        <v>29.227310744938066</v>
      </c>
    </row>
    <row r="60" spans="1:15" ht="15.75" customHeight="1">
      <c r="A60" s="149" t="s">
        <v>491</v>
      </c>
      <c r="B60" s="617">
        <f>+'[2]NEW Tables 143-162'!B26</f>
        <v>86738.150747194028</v>
      </c>
      <c r="C60" s="28">
        <f>IF($B60&gt;0,(GETPIVOTDATA(" New Retirement",'$ Pivot Table'!$A$3,"State","TX","Category",1,"Category2","Four-Year"))/$B60)*100</f>
        <v>7.5437951609237626</v>
      </c>
      <c r="D60" s="28">
        <f>IF($B60&gt;0,(GETPIVOTDATA(" New Health",'$ Pivot Table'!$A$3,"State","TX","Category",1,"Category2","Four-Year"))/$B60)*100</f>
        <v>7.4825451490657748</v>
      </c>
      <c r="E60" s="28">
        <f>IF($B60&gt;0,(GETPIVOTDATA(" New Disability",'$ Pivot Table'!$A$3,"State","TX","Category",1,"Category2","Four-Year"))/$B60)*100</f>
        <v>0</v>
      </c>
      <c r="F60" s="28"/>
      <c r="G60" s="28">
        <f>IF($B60&gt;0,(GETPIVOTDATA(" New Social Security",'$ Pivot Table'!$A$3,"State","TX","Category",1,"Category2","Four-Year"))/$B60)*100</f>
        <v>6.9065031955393081</v>
      </c>
      <c r="H60" s="28"/>
      <c r="I60" s="28">
        <f>IF($B60&gt;0,(GETPIVOTDATA(" New Unemployment",'$ Pivot Table'!$A$3,"State","TX","Category",1,"Category2","Four-Year"))/$B60)*100</f>
        <v>0.1401806338483714</v>
      </c>
      <c r="J60" s="58">
        <f>IF($B60&gt;0,(GETPIVOTDATA(" New Life Insurance",'$ Pivot Table'!$A$3,"State","TX","Category",1,"Category2","Four-Year"))/$B60)*100</f>
        <v>2.6811649171415739E-2</v>
      </c>
      <c r="K60" s="58"/>
      <c r="L60" s="28">
        <f>IF($B60&gt;0,(GETPIVOTDATA(" New Worker's Comp",'$ Pivot Table'!$A$3,"State","TX","Category",1,"Category2","Four-Year"))/$B60)*100</f>
        <v>0.20778612847942218</v>
      </c>
      <c r="M60" s="28">
        <f>IF($B60&gt;0,(GETPIVOTDATA(" New Tuition Plans",'$ Pivot Table'!$A$3,"State","TX","Category",1,"Category2","Four-Year"))/$B60)*100</f>
        <v>0</v>
      </c>
      <c r="N60" s="28">
        <f>IF($B60&gt;0,(GETPIVOTDATA(" New Other",'$ Pivot Table'!$A$3,"State","TX","Category",1,"Category2","Four-Year"))/$B60)*100</f>
        <v>0</v>
      </c>
      <c r="O60" s="86">
        <f>IF($B60&gt;0,(GETPIVOTDATA(" New Total",'$ Pivot Table'!$A$3,"State","TX","Category",1,"Category2","Four-Year"))/$B60)*100</f>
        <v>21.235885273137018</v>
      </c>
    </row>
    <row r="61" spans="1:15" ht="15.75" customHeight="1">
      <c r="A61" s="149" t="s">
        <v>492</v>
      </c>
      <c r="B61" s="617">
        <f>+'[2]NEW Tables 143-162'!B27</f>
        <v>90662.896214982655</v>
      </c>
      <c r="C61" s="28">
        <f>IF($B61&gt;0,(GETPIVOTDATA(" New Retirement",'$ Pivot Table'!$A$3,"State","VA","Category",1,"Category2","Four-Year"))/$B61)*100</f>
        <v>10.027096562938462</v>
      </c>
      <c r="D61" s="28">
        <f>IF($B61&gt;0,(GETPIVOTDATA(" New Health",'$ Pivot Table'!$A$3,"State","VA","Category",1,"Category2","Four-Year"))/$B61)*100</f>
        <v>9.506820715687363</v>
      </c>
      <c r="E61" s="28">
        <f>IF($B61&gt;0,(GETPIVOTDATA(" New Disability",'$ Pivot Table'!$A$3,"State","VA","Category",1,"Category2","Four-Year"))/$B61)*100</f>
        <v>0.42185780501660436</v>
      </c>
      <c r="F61" s="28"/>
      <c r="G61" s="28">
        <f>IF($B61&gt;0,(GETPIVOTDATA(" New Social Security",'$ Pivot Table'!$A$3,"State","VA","Category",1,"Category2","Four-Year"))/$B61)*100</f>
        <v>6.594516687434103</v>
      </c>
      <c r="H61" s="28"/>
      <c r="I61" s="58">
        <f>IF($B61&gt;0,(GETPIVOTDATA(" New Unemployment",'$ Pivot Table'!$A$3,"State","VA","Category",1,"Category2","Four-Year"))/$B61)*100</f>
        <v>0.26981799477896901</v>
      </c>
      <c r="J61" s="28">
        <f>IF($B61&gt;0,(GETPIVOTDATA(" New Life Insurance",'$ Pivot Table'!$A$3,"State","VA","Category",1,"Category2","Four-Year"))/$B61)*100</f>
        <v>0.57019851059971116</v>
      </c>
      <c r="K61" s="28"/>
      <c r="L61" s="28">
        <f>IF($B61&gt;0,(GETPIVOTDATA(" New Worker's Comp",'$ Pivot Table'!$A$3,"State","VA","Category",1,"Category2","Four-Year"))/$B61)*100</f>
        <v>0.71649744159136608</v>
      </c>
      <c r="M61" s="28">
        <f>IF($B61&gt;0,(GETPIVOTDATA(" New Tuition Plans",'$ Pivot Table'!$A$3,"State","VA","Category",1,"Category2","Four-Year"))/$B61)*100</f>
        <v>2.0846455153146373</v>
      </c>
      <c r="N61" s="28">
        <f>IF($B61&gt;0,(GETPIVOTDATA(" New Other",'$ Pivot Table'!$A$3,"State","VA","Category",1,"Category2","Four-Year"))/$B61)*100</f>
        <v>0</v>
      </c>
      <c r="O61" s="86">
        <f>IF($B61&gt;0,(GETPIVOTDATA(" New Total",'$ Pivot Table'!$A$3,"State","VA","Category",1,"Category2","Four-Year"))/$B61)*100</f>
        <v>26.486164869709324</v>
      </c>
    </row>
    <row r="62" spans="1:15" ht="15.75" customHeight="1">
      <c r="A62" s="630" t="s">
        <v>493</v>
      </c>
      <c r="B62" s="618">
        <f>+'[2]NEW Tables 143-162'!B28</f>
        <v>75753.584786514504</v>
      </c>
      <c r="C62" s="30">
        <f>IF($B62&gt;0,(GETPIVOTDATA(" New Retirement",'$ Pivot Table'!$A$3,"State","WV","Category",1,"Category2","Four-Year"))/$B62)*100</f>
        <v>7.3360148224958133</v>
      </c>
      <c r="D62" s="30">
        <f>IF($B62&gt;0,(GETPIVOTDATA(" New Health",'$ Pivot Table'!$A$3,"State","WV","Category",1,"Category2","Four-Year"))/$B62)*100</f>
        <v>8.4403069244306987</v>
      </c>
      <c r="E62" s="30">
        <f>IF($B62&gt;0,(GETPIVOTDATA(" New Disability",'$ Pivot Table'!$A$3,"State","WV","Category",1,"Category2","Four-Year"))/$B62)*100</f>
        <v>0</v>
      </c>
      <c r="F62" s="30"/>
      <c r="G62" s="30">
        <f>IF($B62&gt;0,(GETPIVOTDATA(" New Social Security",'$ Pivot Table'!$A$3,"State","WV","Category",1,"Category2","Four-Year"))/$B62)*100</f>
        <v>6.138008417545044</v>
      </c>
      <c r="H62" s="30"/>
      <c r="I62" s="30">
        <f>IF($B62&gt;0,(GETPIVOTDATA(" New Unemployment",'$ Pivot Table'!$A$3,"State","WV","Category",1,"Category2","Four-Year"))/$B62)*100</f>
        <v>0</v>
      </c>
      <c r="J62" s="30">
        <f>IF($B62&gt;0,(GETPIVOTDATA(" New Life Insurance",'$ Pivot Table'!$A$3,"State","WV","Category",1,"Category2","Four-Year"))/$B62)*100</f>
        <v>8.2418286242821118E-2</v>
      </c>
      <c r="K62" s="30"/>
      <c r="L62" s="30">
        <f>IF($B62&gt;0,(GETPIVOTDATA(" New Worker's Comp",'$ Pivot Table'!$A$3,"State","WV","Category",1,"Category2","Four-Year"))/$B62)*100</f>
        <v>0.45734110555168217</v>
      </c>
      <c r="M62" s="30">
        <f>IF($B62&gt;0,(GETPIVOTDATA(" New Tuition Plans",'$ Pivot Table'!$A$3,"State","WV","Category",1,"Category2","Four-Year"))/$B62)*100</f>
        <v>0</v>
      </c>
      <c r="N62" s="30">
        <f>IF($B62&gt;0,(GETPIVOTDATA(" New Other",'$ Pivot Table'!$A$3,"State","WV","Category",1,"Category2","Four-Year"))/$B62)*100</f>
        <v>0</v>
      </c>
      <c r="O62" s="115">
        <f>IF($B62&gt;0,(GETPIVOTDATA(" New Total",'$ Pivot Table'!$A$3,"State","WV","Category",1,"Category2","Four-Year"))/$B62)*100</f>
        <v>20.9166338223019</v>
      </c>
    </row>
    <row r="63" spans="1:15" ht="18" customHeight="1">
      <c r="A63" s="628" t="s">
        <v>14</v>
      </c>
      <c r="B63" s="45"/>
      <c r="C63" s="54"/>
      <c r="D63" s="54"/>
      <c r="E63" s="54"/>
      <c r="F63" s="54"/>
      <c r="G63" s="54"/>
      <c r="H63" s="54"/>
      <c r="I63" s="54"/>
      <c r="J63" s="54"/>
      <c r="K63" s="54"/>
      <c r="L63" s="54"/>
      <c r="M63" s="54"/>
      <c r="N63" s="54"/>
      <c r="O63" s="145"/>
    </row>
    <row r="64" spans="1:15" ht="18" customHeight="1">
      <c r="A64" s="628" t="s">
        <v>678</v>
      </c>
      <c r="B64" s="45"/>
      <c r="C64" s="54"/>
      <c r="D64" s="54"/>
      <c r="E64" s="54"/>
      <c r="F64" s="54"/>
      <c r="G64" s="54"/>
      <c r="H64" s="54"/>
      <c r="I64" s="54"/>
      <c r="J64" s="54"/>
      <c r="K64" s="54"/>
      <c r="L64" s="54"/>
      <c r="M64" s="54"/>
      <c r="N64" s="54"/>
      <c r="O64" s="145"/>
    </row>
    <row r="65" spans="1:15">
      <c r="A65" s="629"/>
      <c r="B65" s="45"/>
      <c r="C65" s="54"/>
      <c r="D65" s="54"/>
      <c r="E65" s="54"/>
      <c r="F65" s="54"/>
      <c r="G65" s="54"/>
      <c r="H65" s="54"/>
      <c r="I65" s="54"/>
      <c r="J65" s="54"/>
      <c r="K65" s="54"/>
      <c r="L65" s="54"/>
      <c r="M65" s="54"/>
      <c r="N65" s="54"/>
      <c r="O65" s="637" t="s">
        <v>1321</v>
      </c>
    </row>
    <row r="66" spans="1:15" ht="18">
      <c r="A66" s="595" t="s">
        <v>1102</v>
      </c>
      <c r="B66" s="48"/>
      <c r="C66" s="48"/>
      <c r="D66" s="48"/>
      <c r="E66" s="48"/>
      <c r="F66" s="48"/>
      <c r="G66" s="48"/>
      <c r="H66" s="48"/>
      <c r="I66" s="48"/>
      <c r="J66" s="48"/>
      <c r="K66" s="48"/>
      <c r="L66" s="48"/>
      <c r="M66" s="48"/>
      <c r="N66" s="48"/>
      <c r="O66" s="48"/>
    </row>
    <row r="67" spans="1:15">
      <c r="A67" s="622"/>
      <c r="B67" s="45"/>
      <c r="C67" s="54"/>
      <c r="D67" s="54"/>
      <c r="E67" s="54"/>
      <c r="F67" s="54"/>
      <c r="G67" s="54"/>
      <c r="H67" s="54"/>
      <c r="I67" s="54"/>
      <c r="J67" s="54"/>
      <c r="K67" s="54"/>
      <c r="L67" s="54"/>
      <c r="M67" s="54"/>
      <c r="N67" s="54"/>
      <c r="O67" s="145"/>
    </row>
    <row r="68" spans="1:15" ht="15.75">
      <c r="A68" s="640" t="s">
        <v>466</v>
      </c>
      <c r="B68" s="641"/>
      <c r="C68" s="641"/>
      <c r="D68" s="641"/>
      <c r="E68" s="641"/>
      <c r="F68" s="641"/>
      <c r="G68" s="641"/>
      <c r="H68" s="641"/>
      <c r="I68" s="641"/>
      <c r="J68" s="641"/>
      <c r="K68" s="641"/>
      <c r="L68" s="641"/>
      <c r="M68" s="641"/>
      <c r="N68" s="641"/>
      <c r="O68" s="641"/>
    </row>
    <row r="69" spans="1:15" ht="15.75">
      <c r="A69" s="640" t="s">
        <v>1162</v>
      </c>
      <c r="B69" s="641"/>
      <c r="C69" s="641"/>
      <c r="D69" s="641"/>
      <c r="E69" s="641"/>
      <c r="F69" s="641"/>
      <c r="G69" s="641"/>
      <c r="H69" s="641"/>
      <c r="I69" s="641"/>
      <c r="J69" s="641"/>
      <c r="K69" s="641"/>
      <c r="L69" s="641"/>
      <c r="M69" s="641"/>
      <c r="N69" s="641"/>
      <c r="O69" s="641"/>
    </row>
    <row r="70" spans="1:15">
      <c r="A70" s="148"/>
      <c r="B70" s="45"/>
      <c r="C70" s="54"/>
      <c r="D70" s="54"/>
      <c r="E70" s="54"/>
      <c r="F70" s="54"/>
      <c r="G70" s="54"/>
      <c r="H70" s="54"/>
      <c r="I70" s="54"/>
      <c r="J70" s="54"/>
      <c r="K70" s="54"/>
      <c r="L70" s="54"/>
      <c r="M70" s="54"/>
      <c r="N70" s="54"/>
      <c r="O70" s="145"/>
    </row>
    <row r="71" spans="1:15">
      <c r="A71" s="631"/>
      <c r="B71" s="2" t="s">
        <v>473</v>
      </c>
      <c r="C71" s="643" t="s">
        <v>593</v>
      </c>
      <c r="D71" s="643"/>
      <c r="E71" s="643"/>
      <c r="F71" s="643"/>
      <c r="G71" s="643"/>
      <c r="H71" s="643"/>
      <c r="I71" s="643"/>
      <c r="J71" s="643"/>
      <c r="K71" s="643"/>
      <c r="L71" s="643"/>
      <c r="M71" s="643"/>
      <c r="N71" s="643"/>
      <c r="O71" s="643"/>
    </row>
    <row r="72" spans="1:15">
      <c r="A72" s="624"/>
      <c r="B72" s="4" t="s">
        <v>474</v>
      </c>
      <c r="C72" s="3" t="s">
        <v>660</v>
      </c>
      <c r="D72" s="3"/>
      <c r="E72" s="53"/>
      <c r="F72" s="53"/>
      <c r="G72" s="3" t="s">
        <v>661</v>
      </c>
      <c r="H72" s="3"/>
      <c r="I72" s="3" t="s">
        <v>662</v>
      </c>
      <c r="J72" s="3" t="s">
        <v>663</v>
      </c>
      <c r="K72" s="3"/>
      <c r="L72" s="3" t="s">
        <v>664</v>
      </c>
      <c r="M72" s="3" t="s">
        <v>665</v>
      </c>
      <c r="N72" s="3"/>
      <c r="O72" s="124" t="s">
        <v>475</v>
      </c>
    </row>
    <row r="73" spans="1:15">
      <c r="A73" s="625"/>
      <c r="B73" s="15" t="s">
        <v>476</v>
      </c>
      <c r="C73" s="16" t="s">
        <v>667</v>
      </c>
      <c r="D73" s="16" t="s">
        <v>708</v>
      </c>
      <c r="E73" s="17" t="s">
        <v>709</v>
      </c>
      <c r="F73" s="17"/>
      <c r="G73" s="16" t="s">
        <v>668</v>
      </c>
      <c r="H73" s="16"/>
      <c r="I73" s="16" t="s">
        <v>667</v>
      </c>
      <c r="J73" s="16" t="s">
        <v>669</v>
      </c>
      <c r="K73" s="16"/>
      <c r="L73" s="16" t="s">
        <v>670</v>
      </c>
      <c r="M73" s="16" t="s">
        <v>671</v>
      </c>
      <c r="N73" s="16" t="s">
        <v>701</v>
      </c>
      <c r="O73" s="146" t="s">
        <v>15</v>
      </c>
    </row>
    <row r="74" spans="1:15">
      <c r="A74" s="149" t="s">
        <v>600</v>
      </c>
      <c r="B74" s="33">
        <f>+'[2]NEW Tables 143-162'!D8</f>
        <v>75916.652892789236</v>
      </c>
      <c r="C74" s="32">
        <f>IF($B74&gt;0,(GETPIVOTDATA(" New Retirement",'$ Pivot Table'!$A$3,"Category",2,"Category2","Four-Year"))/$B74)*100</f>
        <v>10.505125433425192</v>
      </c>
      <c r="D74" s="32">
        <f>IF($B74&gt;0,(GETPIVOTDATA(" New Health",'$ Pivot Table'!$A$3,"Category",2,"Category2","Four-Year"))/$B74)*100</f>
        <v>8.6600196147106026</v>
      </c>
      <c r="E74" s="32">
        <f>IF($B74&gt;0,(GETPIVOTDATA(" New Disability",'$ Pivot Table'!$A$3,"Category",2,"Category2","Four-Year"))/$B74)*100</f>
        <v>0.35150960185399699</v>
      </c>
      <c r="F74" s="32"/>
      <c r="G74" s="32">
        <f>IF($B74&gt;0,(GETPIVOTDATA(" New Social Security",'$ Pivot Table'!$A$3,"Category",2,"Category2","Four-Year"))/$B74)*100</f>
        <v>6.648907663231439</v>
      </c>
      <c r="H74" s="32"/>
      <c r="I74" s="32">
        <f>IF($B74&gt;0,(GETPIVOTDATA(" New Unemployment",'$ Pivot Table'!$A$3,"Category",2,"Category2","Four-Year"))/$B74)*100</f>
        <v>0.19532228845065588</v>
      </c>
      <c r="J74" s="32">
        <f>IF($B74&gt;0,(GETPIVOTDATA(" New Life Insurance",'$ Pivot Table'!$A$3,"Category",2,"Category2","Four-Year"))/$B74)*100</f>
        <v>0.26558651812879652</v>
      </c>
      <c r="K74" s="32"/>
      <c r="L74" s="32">
        <f>IF($B74&gt;0,(GETPIVOTDATA(" New Worker's Comp",'$ Pivot Table'!$A$3,"Category",2,"Category2","Four-Year"))/$B74)*100</f>
        <v>0.43339871283138465</v>
      </c>
      <c r="M74" s="32">
        <f>IF($B74&gt;0,(GETPIVOTDATA(" New Tuition Plans",'$ Pivot Table'!$A$3,"Category",2,"Category2","Four-Year"))/$B74)*100</f>
        <v>0.49679900060813109</v>
      </c>
      <c r="N74" s="32">
        <f>IF($B74&gt;0,(GETPIVOTDATA(" New Other",'$ Pivot Table'!$A$3,"Category",2,"Category2","Four-Year"))/$B74)*100</f>
        <v>0.50677951712607638</v>
      </c>
      <c r="O74" s="90">
        <f>IF($B74&gt;0,(GETPIVOTDATA(" New Total",'$ Pivot Table'!$A$3,"Category",2,"Category2","Four-Year"))/$B74)*100</f>
        <v>25.480321251189288</v>
      </c>
    </row>
    <row r="75" spans="1:15">
      <c r="A75" s="149"/>
      <c r="B75" s="31">
        <f>+'[3]NEW Tables 144-163'!D9</f>
        <v>0</v>
      </c>
      <c r="C75" s="32"/>
      <c r="D75" s="34"/>
      <c r="E75" s="32"/>
      <c r="F75" s="32"/>
      <c r="G75" s="32"/>
      <c r="H75" s="32"/>
      <c r="I75" s="32"/>
      <c r="J75" s="32"/>
      <c r="K75" s="32"/>
      <c r="L75" s="32"/>
      <c r="M75" s="32"/>
      <c r="N75" s="32"/>
      <c r="O75" s="90"/>
    </row>
    <row r="76" spans="1:15">
      <c r="A76" s="149" t="s">
        <v>479</v>
      </c>
      <c r="B76" s="617">
        <f>+'[2]NEW Tables 143-162'!D10</f>
        <v>77123.619475907588</v>
      </c>
      <c r="C76" s="32">
        <f>IF($B76&gt;0,(GETPIVOTDATA(" New Retirement",'$ Pivot Table'!$A$3,"State","AL","Category",2,"Category2","Four-Year"))/$B76)*100</f>
        <v>16.61796469426492</v>
      </c>
      <c r="D76" s="32">
        <f>IF($B76&gt;0,(GETPIVOTDATA(" New Health",'$ Pivot Table'!$A$3,"State","AL","Category",2,"Category2","Four-Year"))/$B76)*100</f>
        <v>7.0998805062737702</v>
      </c>
      <c r="E76" s="32">
        <f>IF($B76&gt;0,(GETPIVOTDATA(" New Disability",'$ Pivot Table'!$A$3,"State","AL","Category",2,"Category2","Four-Year"))/$B76)*100</f>
        <v>0.47302225137667625</v>
      </c>
      <c r="F76" s="32"/>
      <c r="G76" s="32">
        <f>IF($B76&gt;0,(GETPIVOTDATA(" New Social Security",'$ Pivot Table'!$A$3,"State","AL","Category",2,"Category2","Four-Year"))/$B76)*100</f>
        <v>7.3321839961815449</v>
      </c>
      <c r="H76" s="32"/>
      <c r="I76" s="56">
        <f>IF($B76&gt;0,(GETPIVOTDATA(" New Unemployment",'$ Pivot Table'!$A$3,"State","AL","Category",2,"Category2","Four-Year"))/$B76)*100</f>
        <v>0.12057706831171727</v>
      </c>
      <c r="J76" s="32">
        <f>IF($B76&gt;0,(GETPIVOTDATA(" New Life Insurance",'$ Pivot Table'!$A$3,"State","AL","Category",2,"Category2","Four-Year"))/$B76)*100</f>
        <v>0.27131974614628346</v>
      </c>
      <c r="K76" s="32"/>
      <c r="L76" s="32">
        <f>IF($B76&gt;0,(GETPIVOTDATA(" New Worker's Comp",'$ Pivot Table'!$A$3,"State","AL","Category",2,"Category2","Four-Year"))/$B76)*100</f>
        <v>0</v>
      </c>
      <c r="M76" s="32">
        <f>IF($B76&gt;0,(GETPIVOTDATA(" New Tuition Plans",'$ Pivot Table'!$A$3,"State","AL","Category",2,"Category2","Four-Year"))/$B76)*100</f>
        <v>1.9026869623124758</v>
      </c>
      <c r="N76" s="32">
        <f>IF($B76&gt;0,(GETPIVOTDATA(" New Other",'$ Pivot Table'!$A$3,"State","AL","Category",2,"Category2","Four-Year"))/$B76)*100</f>
        <v>0</v>
      </c>
      <c r="O76" s="90">
        <f>IF($B76&gt;0,(GETPIVOTDATA(" New Total",'$ Pivot Table'!$A$3,"State","AL","Category",2,"Category2","Four-Year"))/$B76)*100</f>
        <v>30.801944240119106</v>
      </c>
    </row>
    <row r="77" spans="1:15">
      <c r="A77" s="149" t="s">
        <v>480</v>
      </c>
      <c r="B77" s="617">
        <f>+'[2]NEW Tables 143-162'!D11</f>
        <v>0</v>
      </c>
      <c r="C77" s="32">
        <f>IF($B77&gt;0,(GETPIVOTDATA(" New Retirement",'$ Pivot Table'!$A$3,"State","AR","Category",2,"Category2","Four-Year"))/$B77)*100</f>
        <v>0</v>
      </c>
      <c r="D77" s="32">
        <f>IF($B77&gt;0,(GETPIVOTDATA(" New Health",'$ Pivot Table'!$A$3,"State","AR","Category",2,"Category2","Four-Year"))/$B77)*100</f>
        <v>0</v>
      </c>
      <c r="E77" s="32">
        <f>IF($B77&gt;0,(GETPIVOTDATA(" New Disability",'$ Pivot Table'!$A$3,"State","AR","Category",2,"Category2","Four-Year"))/$B77)*100</f>
        <v>0</v>
      </c>
      <c r="F77" s="32"/>
      <c r="G77" s="32">
        <f>IF($B77&gt;0,(GETPIVOTDATA(" New Social Security",'$ Pivot Table'!$A$3,"State","AR","Category",2,"Category2","Four-Year"))/$B77)*100</f>
        <v>0</v>
      </c>
      <c r="H77" s="32"/>
      <c r="I77" s="32">
        <f>IF($B77&gt;0,(GETPIVOTDATA(" New Unemployment",'$ Pivot Table'!$A$3,"State","AR","Category",2,"Category2","Four-Year"))/$B77)*100</f>
        <v>0</v>
      </c>
      <c r="J77" s="32">
        <f>IF($B77&gt;0,(GETPIVOTDATA(" New Life Insurance",'$ Pivot Table'!$A$3,"State","AR","Category",2,"Category2","Four-Year"))/$B77)*100</f>
        <v>0</v>
      </c>
      <c r="K77" s="32"/>
      <c r="L77" s="32">
        <f>IF($B77&gt;0,(GETPIVOTDATA(" New Worker's Comp",'$ Pivot Table'!$A$3,"State","AR","Category",2,"Category2","Four-Year"))/$B77)*100</f>
        <v>0</v>
      </c>
      <c r="M77" s="32">
        <f>IF($B77&gt;0,(GETPIVOTDATA(" New Tuition Plans",'$ Pivot Table'!$A$3,"State","AR","Category",2,"Category2","Four-Year"))/$B77)*100</f>
        <v>0</v>
      </c>
      <c r="N77" s="32">
        <f>IF($B77&gt;0,(GETPIVOTDATA(" New Other",'$ Pivot Table'!$A$3,"State","AR","Category",2,"Category2","Four-Year"))/$B77)*100</f>
        <v>0</v>
      </c>
      <c r="O77" s="90">
        <f>IF($B77&gt;0,(GETPIVOTDATA(" New Total",'$ Pivot Table'!$A$3,"State","AR","Category",2,"Category2","Four-Year"))/$B77)*100</f>
        <v>0</v>
      </c>
    </row>
    <row r="78" spans="1:15">
      <c r="A78" s="149" t="s">
        <v>494</v>
      </c>
      <c r="B78" s="617">
        <f>+'[2]NEW Tables 143-162'!D12</f>
        <v>0</v>
      </c>
      <c r="C78" s="32">
        <f>IF($B78&gt;0,(GETPIVOTDATA(" New Retirement",'$ Pivot Table'!$A$3,"State","DE","Category",2,"Category2","Four-Year"))/$B78)*100</f>
        <v>0</v>
      </c>
      <c r="D78" s="32">
        <f>IF($B78&gt;0,(GETPIVOTDATA(" New Health",'$ Pivot Table'!$A$3,"State","DE","Category",2,"Category2","Four-Year"))/$B78)*100</f>
        <v>0</v>
      </c>
      <c r="E78" s="32">
        <f>IF($B78&gt;0,(GETPIVOTDATA(" New Disability",'$ Pivot Table'!$A$3,"State","DE","Category",2,"Category2","Four-Year"))/$B78)*100</f>
        <v>0</v>
      </c>
      <c r="F78" s="32"/>
      <c r="G78" s="32">
        <f>IF($B78&gt;0,(GETPIVOTDATA(" New Social Security",'$ Pivot Table'!$A$3,"State","DE","Category",2,"Category2","Four-Year"))/$B78)*100</f>
        <v>0</v>
      </c>
      <c r="H78" s="32"/>
      <c r="I78" s="32">
        <f>IF($B78&gt;0,(GETPIVOTDATA(" New Unemployment",'$ Pivot Table'!$A$3,"State","DE","Category",2,"Category2","Four-Year"))/$B78)*100</f>
        <v>0</v>
      </c>
      <c r="J78" s="32">
        <f>IF($B78&gt;0,(GETPIVOTDATA(" New Life Insurance",'$ Pivot Table'!$A$3,"State","DE","Category",2,"Category2","Four-Year"))/$B78)*100</f>
        <v>0</v>
      </c>
      <c r="K78" s="32"/>
      <c r="L78" s="32">
        <f>IF($B78&gt;0,(GETPIVOTDATA(" New Worker's Comp",'$ Pivot Table'!$A$3,"State","DE","Category",2,"Category2","Four-Year"))/$B78)*100</f>
        <v>0</v>
      </c>
      <c r="M78" s="32">
        <f>IF($B78&gt;0,(GETPIVOTDATA(" New Tuition Plans",'$ Pivot Table'!$A$3,"State","DE","Category",2,"Category2","Four-Year"))/$B78)*100</f>
        <v>0</v>
      </c>
      <c r="N78" s="32">
        <f>IF($B78&gt;0,(GETPIVOTDATA(" New Other",'$ Pivot Table'!$A$3,"State","DE","Category",2,"Category2","Four-Year"))/$B78)*100</f>
        <v>0</v>
      </c>
      <c r="O78" s="90">
        <f>IF($B78&gt;0,(GETPIVOTDATA(" New Total",'$ Pivot Table'!$A$3,"State","DE","Category",2,"Category2","Four-Year"))/$B78)*100</f>
        <v>0</v>
      </c>
    </row>
    <row r="79" spans="1:15">
      <c r="A79" s="149" t="s">
        <v>481</v>
      </c>
      <c r="B79" s="617">
        <f>+'[2]NEW Tables 143-162'!D13</f>
        <v>70789.5371002584</v>
      </c>
      <c r="C79" s="32">
        <f>IF($B79&gt;0,(GETPIVOTDATA(" New Retirement",'$ Pivot Table'!$A$3,"State","FL","Category",2,"Category2","Four-Year"))/$B79)*100</f>
        <v>10.493802361639622</v>
      </c>
      <c r="D79" s="32">
        <f>IF($B79&gt;0,(GETPIVOTDATA(" New Health",'$ Pivot Table'!$A$3,"State","FL","Category",2,"Category2","Four-Year"))/$B79)*100</f>
        <v>13.395334451174175</v>
      </c>
      <c r="E79" s="32">
        <f>IF($B79&gt;0,(GETPIVOTDATA(" New Disability",'$ Pivot Table'!$A$3,"State","FL","Category",2,"Category2","Four-Year"))/$B79)*100</f>
        <v>0</v>
      </c>
      <c r="F79" s="32"/>
      <c r="G79" s="32">
        <f>IF($B79&gt;0,(GETPIVOTDATA(" New Social Security",'$ Pivot Table'!$A$3,"State","FL","Category",2,"Category2","Four-Year"))/$B79)*100</f>
        <v>7.4152339332195307</v>
      </c>
      <c r="H79" s="32"/>
      <c r="I79" s="32">
        <f>IF($B79&gt;0,(GETPIVOTDATA(" New Unemployment",'$ Pivot Table'!$A$3,"State","FL","Category",2,"Category2","Four-Year"))/$B79)*100</f>
        <v>1.065220413032552</v>
      </c>
      <c r="J79" s="32">
        <f>IF($B79&gt;0,(GETPIVOTDATA(" New Life Insurance",'$ Pivot Table'!$A$3,"State","FL","Category",2,"Category2","Four-Year"))/$B79)*100</f>
        <v>0.22881016418990657</v>
      </c>
      <c r="K79" s="32"/>
      <c r="L79" s="32">
        <f>IF($B79&gt;0,(GETPIVOTDATA(" New Worker's Comp",'$ Pivot Table'!$A$3,"State","FL","Category",2,"Category2","Four-Year"))/$B79)*100</f>
        <v>0.59849486674336172</v>
      </c>
      <c r="M79" s="32">
        <f>IF($B79&gt;0,(GETPIVOTDATA(" New Tuition Plans",'$ Pivot Table'!$A$3,"State","FL","Category",2,"Category2","Four-Year"))/$B79)*100</f>
        <v>0</v>
      </c>
      <c r="N79" s="32">
        <f>IF($B79&gt;0,(GETPIVOTDATA(" New Other",'$ Pivot Table'!$A$3,"State","FL","Category",2,"Category2","Four-Year"))/$B79)*100</f>
        <v>0</v>
      </c>
      <c r="O79" s="90">
        <f>IF($B79&gt;0,(GETPIVOTDATA(" New Total",'$ Pivot Table'!$A$3,"State","FL","Category",2,"Category2","Four-Year"))/$B79)*100</f>
        <v>32.329129476687733</v>
      </c>
    </row>
    <row r="80" spans="1:15">
      <c r="A80" s="149"/>
      <c r="B80" s="617">
        <f>+'[2]NEW Tables 143-162'!D14</f>
        <v>0</v>
      </c>
      <c r="C80" s="32"/>
      <c r="D80" s="34"/>
      <c r="E80" s="32"/>
      <c r="F80" s="32"/>
      <c r="G80" s="32"/>
      <c r="H80" s="32"/>
      <c r="I80" s="32"/>
      <c r="J80" s="32"/>
      <c r="K80" s="32"/>
      <c r="L80" s="32"/>
      <c r="M80" s="32"/>
      <c r="N80" s="32"/>
      <c r="O80" s="90"/>
    </row>
    <row r="81" spans="1:15">
      <c r="A81" s="149" t="s">
        <v>482</v>
      </c>
      <c r="B81" s="617">
        <f>+'[2]NEW Tables 143-162'!D15</f>
        <v>107284.9052771282</v>
      </c>
      <c r="C81" s="32">
        <f>IF($B81&gt;0,(GETPIVOTDATA(" New Retirement",'$ Pivot Table'!$A$3,"State","GA","Category",2,"Category2","Four-Year"))/$B81)*100</f>
        <v>10.6991787262751</v>
      </c>
      <c r="D81" s="32">
        <f>IF($B81&gt;0,(GETPIVOTDATA(" New Health",'$ Pivot Table'!$A$3,"State","GA","Category",2,"Category2","Four-Year"))/$B81)*100</f>
        <v>5.5168822162281614</v>
      </c>
      <c r="E81" s="32">
        <f>IF($B81&gt;0,(GETPIVOTDATA(" New Disability",'$ Pivot Table'!$A$3,"State","GA","Category",2,"Category2","Four-Year"))/$B81)*100</f>
        <v>0</v>
      </c>
      <c r="F81" s="32"/>
      <c r="G81" s="32">
        <f>IF($B81&gt;0,(GETPIVOTDATA(" New Social Security",'$ Pivot Table'!$A$3,"State","GA","Category",2,"Category2","Four-Year"))/$B81)*100</f>
        <v>7.0124921588769391</v>
      </c>
      <c r="H81" s="32"/>
      <c r="I81" s="32">
        <f>IF($B81&gt;0,(GETPIVOTDATA(" New Unemployment",'$ Pivot Table'!$A$3,"State","GA","Category",2,"Category2","Four-Year"))/$B81)*100</f>
        <v>0.13142575801859743</v>
      </c>
      <c r="J81" s="32">
        <f>IF($B81&gt;0,(GETPIVOTDATA(" New Life Insurance",'$ Pivot Table'!$A$3,"State","GA","Category",2,"Category2","Four-Year"))/$B81)*100</f>
        <v>0.11601651786479808</v>
      </c>
      <c r="K81" s="32"/>
      <c r="L81" s="32">
        <f>IF($B81&gt;0,(GETPIVOTDATA(" New Worker's Comp",'$ Pivot Table'!$A$3,"State","GA","Category",2,"Category2","Four-Year"))/$B81)*100</f>
        <v>0.11892945491361075</v>
      </c>
      <c r="M81" s="32">
        <f>IF($B81&gt;0,(GETPIVOTDATA(" New Tuition Plans",'$ Pivot Table'!$A$3,"State","GA","Category",2,"Category2","Four-Year"))/$B81)*100</f>
        <v>0</v>
      </c>
      <c r="N81" s="32">
        <f>IF($B81&gt;0,(GETPIVOTDATA(" New Other",'$ Pivot Table'!$A$3,"State","GA","Category",2,"Category2","Four-Year"))/$B81)*100</f>
        <v>0</v>
      </c>
      <c r="O81" s="90">
        <f>IF($B81&gt;0,(GETPIVOTDATA(" New Total",'$ Pivot Table'!$A$3,"State","GA","Category",2,"Category2","Four-Year"))/$B81)*100</f>
        <v>22.66481433866878</v>
      </c>
    </row>
    <row r="82" spans="1:15">
      <c r="A82" s="149" t="s">
        <v>483</v>
      </c>
      <c r="B82" s="617">
        <f>+'[2]NEW Tables 143-162'!D16</f>
        <v>0</v>
      </c>
      <c r="C82" s="32">
        <f>IF($B82&gt;0,(GETPIVOTDATA(" New Retirement",'$ Pivot Table'!$A$3,"State","KY","Category",2,"Category2","Four-Year"))/$B82)*100</f>
        <v>0</v>
      </c>
      <c r="D82" s="32">
        <f>IF($B82&gt;0,(GETPIVOTDATA(" New Health",'$ Pivot Table'!$A$3,"State","KY","Category",2,"Category2","Four-Year"))/$B82)*100</f>
        <v>0</v>
      </c>
      <c r="E82" s="32">
        <f>IF($B82&gt;0,(GETPIVOTDATA(" New Disability",'$ Pivot Table'!$A$3,"State","KY","Category",2,"Category2","Four-Year"))/$B82)*100</f>
        <v>0</v>
      </c>
      <c r="F82" s="32"/>
      <c r="G82" s="32">
        <f>IF($B82&gt;0,(GETPIVOTDATA(" New Social Security",'$ Pivot Table'!$A$3,"State","KY","Category",2,"Category2","Four-Year"))/$B82)*100</f>
        <v>0</v>
      </c>
      <c r="H82" s="32"/>
      <c r="I82" s="32">
        <f>IF($B82&gt;0,(GETPIVOTDATA(" New Unemployment",'$ Pivot Table'!$A$3,"State","KY","Category",2,"Category2","Four-Year"))/$B82)*100</f>
        <v>0</v>
      </c>
      <c r="J82" s="32">
        <f>IF($B82&gt;0,(GETPIVOTDATA(" New Life Insurance",'$ Pivot Table'!$A$3,"State","KY","Category",2,"Category2","Four-Year"))/$B82)*100</f>
        <v>0</v>
      </c>
      <c r="K82" s="32"/>
      <c r="L82" s="32">
        <f>IF($B82&gt;0,(GETPIVOTDATA(" New Worker's Comp",'$ Pivot Table'!$A$3,"State","KY","Category",2,"Category2","Four-Year"))/$B82)*100</f>
        <v>0</v>
      </c>
      <c r="M82" s="32">
        <f>IF($B82&gt;0,(GETPIVOTDATA(" New Tuition Plans",'$ Pivot Table'!$A$3,"State","KY","Category",2,"Category2","Four-Year"))/$B82)*100</f>
        <v>0</v>
      </c>
      <c r="N82" s="32">
        <f>IF($B82&gt;0,(GETPIVOTDATA(" New Other",'$ Pivot Table'!$A$3,"State","KY","Category",2,"Category2","Four-Year"))/$B82)*100</f>
        <v>0</v>
      </c>
      <c r="O82" s="90">
        <f>IF($B82&gt;0,(GETPIVOTDATA(" New Total",'$ Pivot Table'!$A$3,"State","KY","Category",2,"Category2","Four-Year"))/$B82)*100</f>
        <v>0</v>
      </c>
    </row>
    <row r="83" spans="1:15">
      <c r="A83" s="149" t="s">
        <v>484</v>
      </c>
      <c r="B83" s="617">
        <f>+'[2]NEW Tables 143-162'!D17</f>
        <v>67301.43570905141</v>
      </c>
      <c r="C83" s="32">
        <f>IF($B83&gt;0,(GETPIVOTDATA(" New Retirement",'$ Pivot Table'!$A$3,"State","LA","Category",2,"Category2","Four-Year"))/$B83)*100</f>
        <v>14.291325623509387</v>
      </c>
      <c r="D83" s="32">
        <f>IF($B83&gt;0,(GETPIVOTDATA(" New Health",'$ Pivot Table'!$A$3,"State","LA","Category",2,"Category2","Four-Year"))/$B83)*100</f>
        <v>7.9143226683731793</v>
      </c>
      <c r="E83" s="32">
        <f>IF($B83&gt;0,(GETPIVOTDATA(" New Disability",'$ Pivot Table'!$A$3,"State","LA","Category",2,"Category2","Four-Year"))/$B83)*100</f>
        <v>0</v>
      </c>
      <c r="F83" s="32"/>
      <c r="G83" s="90">
        <f>IF($B83&gt;0,(GETPIVOTDATA(" New Social Security",'$ Pivot Table'!$A$3,"State","LA","Category",2,"Category2","Four-Year"))/$B83)*100</f>
        <v>1.1307860819871161</v>
      </c>
      <c r="H83" s="91">
        <v>2</v>
      </c>
      <c r="I83" s="32">
        <f>IF($B83&gt;0,(GETPIVOTDATA(" New Unemployment",'$ Pivot Table'!$A$3,"State","LA","Category",2,"Category2","Four-Year"))/$B83)*100</f>
        <v>0</v>
      </c>
      <c r="J83" s="32">
        <f>IF($B83&gt;0,(GETPIVOTDATA(" New Life Insurance",'$ Pivot Table'!$A$3,"State","LA","Category",2,"Category2","Four-Year"))/$B83)*100</f>
        <v>0.22793681339223823</v>
      </c>
      <c r="K83" s="32"/>
      <c r="L83" s="32">
        <f>IF($B83&gt;0,(GETPIVOTDATA(" New Worker's Comp",'$ Pivot Table'!$A$3,"State","LA","Category",2,"Category2","Four-Year"))/$B83)*100</f>
        <v>0.34084929252360036</v>
      </c>
      <c r="M83" s="32">
        <f>IF($B83&gt;0,(GETPIVOTDATA(" New Tuition Plans",'$ Pivot Table'!$A$3,"State","LA","Category",2,"Category2","Four-Year"))/$B83)*100</f>
        <v>7.0632731091752776E-2</v>
      </c>
      <c r="N83" s="32">
        <f>IF($B83&gt;0,(GETPIVOTDATA(" New Other",'$ Pivot Table'!$A$3,"State","LA","Category",2,"Category2","Four-Year"))/$B83)*100</f>
        <v>0.83876368171456417</v>
      </c>
      <c r="O83" s="90">
        <f>IF($B83&gt;0,(GETPIVOTDATA(" New Total",'$ Pivot Table'!$A$3,"State","LA","Category",2,"Category2","Four-Year"))/$B83)*100</f>
        <v>22.27113041038762</v>
      </c>
    </row>
    <row r="84" spans="1:15">
      <c r="A84" s="149" t="s">
        <v>485</v>
      </c>
      <c r="B84" s="617">
        <f>+'[2]NEW Tables 143-162'!D18</f>
        <v>86571.303540540539</v>
      </c>
      <c r="C84" s="32">
        <f>IF($B84&gt;0,(GETPIVOTDATA(" New Retirement",'$ Pivot Table'!$A$3,"State","MD","Category",2,"Category2","Four-Year"))/$B84)*100</f>
        <v>7.6639231184025673</v>
      </c>
      <c r="D84" s="32">
        <f>IF($B84&gt;0,(GETPIVOTDATA(" New Health",'$ Pivot Table'!$A$3,"State","MD","Category",2,"Category2","Four-Year"))/$B84)*100</f>
        <v>10.826913326551345</v>
      </c>
      <c r="E84" s="32">
        <f>IF($B84&gt;0,(GETPIVOTDATA(" New Disability",'$ Pivot Table'!$A$3,"State","MD","Category",2,"Category2","Four-Year"))/$B84)*100</f>
        <v>0</v>
      </c>
      <c r="F84" s="32"/>
      <c r="G84" s="32">
        <f>IF($B84&gt;0,(GETPIVOTDATA(" New Social Security",'$ Pivot Table'!$A$3,"State","MD","Category",2,"Category2","Four-Year"))/$B84)*100</f>
        <v>6.6339924055751869</v>
      </c>
      <c r="H84" s="32"/>
      <c r="I84" s="32">
        <f>IF($B84&gt;0,(GETPIVOTDATA(" New Unemployment",'$ Pivot Table'!$A$3,"State","MD","Category",2,"Category2","Four-Year"))/$B84)*100</f>
        <v>0.2771056471173855</v>
      </c>
      <c r="J84" s="32">
        <f>IF($B84&gt;0,(GETPIVOTDATA(" New Life Insurance",'$ Pivot Table'!$A$3,"State","MD","Category",2,"Category2","Four-Year"))/$B84)*100</f>
        <v>0</v>
      </c>
      <c r="K84" s="32"/>
      <c r="L84" s="32">
        <f>IF($B84&gt;0,(GETPIVOTDATA(" New Worker's Comp",'$ Pivot Table'!$A$3,"State","MD","Category",2,"Category2","Four-Year"))/$B84)*100</f>
        <v>0.2928416120162512</v>
      </c>
      <c r="M84" s="32">
        <f>IF($B84&gt;0,(GETPIVOTDATA(" New Tuition Plans",'$ Pivot Table'!$A$3,"State","MD","Category",2,"Category2","Four-Year"))/$B84)*100</f>
        <v>0</v>
      </c>
      <c r="N84" s="32">
        <f>IF($B84&gt;0,(GETPIVOTDATA(" New Other",'$ Pivot Table'!$A$3,"State","MD","Category",2,"Category2","Four-Year"))/$B84)*100</f>
        <v>0</v>
      </c>
      <c r="O84" s="90">
        <f>IF($B84&gt;0,(GETPIVOTDATA(" New Total",'$ Pivot Table'!$A$3,"State","MD","Category",2,"Category2","Four-Year"))/$B84)*100</f>
        <v>25.354691043447993</v>
      </c>
    </row>
    <row r="85" spans="1:15">
      <c r="A85" s="149"/>
      <c r="B85" s="617">
        <f>+'[2]NEW Tables 143-162'!D19</f>
        <v>0</v>
      </c>
      <c r="C85" s="32"/>
      <c r="D85" s="34"/>
      <c r="E85" s="32"/>
      <c r="F85" s="32"/>
      <c r="G85" s="32"/>
      <c r="H85" s="32"/>
      <c r="I85" s="32"/>
      <c r="J85" s="32"/>
      <c r="K85" s="32"/>
      <c r="L85" s="32"/>
      <c r="M85" s="32"/>
      <c r="N85" s="32"/>
      <c r="O85" s="90"/>
    </row>
    <row r="86" spans="1:15">
      <c r="A86" s="149" t="s">
        <v>486</v>
      </c>
      <c r="B86" s="617">
        <f>+'[2]NEW Tables 143-162'!D20</f>
        <v>67040.908248304622</v>
      </c>
      <c r="C86" s="32">
        <f>IF($B86&gt;0,(GETPIVOTDATA(" New Retirement",'$ Pivot Table'!$A$3,"State","MS","Category",2,"Category2","Four-Year"))/$B86)*100</f>
        <v>10.173028465617927</v>
      </c>
      <c r="D86" s="32">
        <f>IF($B86&gt;0,(GETPIVOTDATA(" New Health",'$ Pivot Table'!$A$3,"State","MS","Category",2,"Category2","Four-Year"))/$B86)*100</f>
        <v>4.0756739046284522</v>
      </c>
      <c r="E86" s="32">
        <f>IF($B86&gt;0,(GETPIVOTDATA(" New Disability",'$ Pivot Table'!$A$3,"State","MS","Category",2,"Category2","Four-Year"))/$B86)*100</f>
        <v>0</v>
      </c>
      <c r="F86" s="32"/>
      <c r="G86" s="32">
        <f>IF($B86&gt;0,(GETPIVOTDATA(" New Social Security",'$ Pivot Table'!$A$3,"State","MS","Category",2,"Category2","Four-Year"))/$B86)*100</f>
        <v>7.3571905755978815</v>
      </c>
      <c r="H86" s="32"/>
      <c r="I86" s="56">
        <f>IF($B86&gt;0,(GETPIVOTDATA(" New Unemployment",'$ Pivot Table'!$A$3,"State","MS","Category",2,"Category2","Four-Year"))/$B86)*100</f>
        <v>8.5347099140931554E-2</v>
      </c>
      <c r="J86" s="32">
        <f>IF($B86&gt;0,(GETPIVOTDATA(" New Life Insurance",'$ Pivot Table'!$A$3,"State","MS","Category",2,"Category2","Four-Year"))/$B86)*100</f>
        <v>0.12390039218183381</v>
      </c>
      <c r="K86" s="32"/>
      <c r="L86" s="32">
        <f>IF($B86&gt;0,(GETPIVOTDATA(" New Worker's Comp",'$ Pivot Table'!$A$3,"State","MS","Category",2,"Category2","Four-Year"))/$B86)*100</f>
        <v>0.53597615411144561</v>
      </c>
      <c r="M86" s="32">
        <f>IF($B86&gt;0,(GETPIVOTDATA(" New Tuition Plans",'$ Pivot Table'!$A$3,"State","MS","Category",2,"Category2","Four-Year"))/$B86)*100</f>
        <v>3.2510772617598738</v>
      </c>
      <c r="N86" s="32">
        <f>IF($B86&gt;0,(GETPIVOTDATA(" New Other",'$ Pivot Table'!$A$3,"State","MS","Category",2,"Category2","Four-Year"))/$B86)*100</f>
        <v>0</v>
      </c>
      <c r="O86" s="90">
        <f>IF($B86&gt;0,(GETPIVOTDATA(" New Total",'$ Pivot Table'!$A$3,"State","MS","Category",2,"Category2","Four-Year"))/$B86)*100</f>
        <v>21.332821443755265</v>
      </c>
    </row>
    <row r="87" spans="1:15">
      <c r="A87" s="149" t="s">
        <v>487</v>
      </c>
      <c r="B87" s="617">
        <f>+'[2]NEW Tables 143-162'!D21</f>
        <v>75768.865161521258</v>
      </c>
      <c r="C87" s="32">
        <f>IF($B87&gt;0,(GETPIVOTDATA(" New Retirement",'$ Pivot Table'!$A$3,"State","NC","Category",2,"Category2","Four-Year"))/$B87)*100</f>
        <v>11.615459129860385</v>
      </c>
      <c r="D87" s="32">
        <f>IF($B87&gt;0,(GETPIVOTDATA(" New Health",'$ Pivot Table'!$A$3,"State","NC","Category",2,"Category2","Four-Year"))/$B87)*100</f>
        <v>6.5066303810812114</v>
      </c>
      <c r="E87" s="32">
        <f>IF($B87&gt;0,(GETPIVOTDATA(" New Disability",'$ Pivot Table'!$A$3,"State","NC","Category",2,"Category2","Four-Year"))/$B87)*100</f>
        <v>0.51987111934115771</v>
      </c>
      <c r="F87" s="32"/>
      <c r="G87" s="32">
        <f>IF($B87&gt;0,(GETPIVOTDATA(" New Social Security",'$ Pivot Table'!$A$3,"State","NC","Category",2,"Category2","Four-Year"))/$B87)*100</f>
        <v>7.3588062756228911</v>
      </c>
      <c r="H87" s="32"/>
      <c r="I87" s="32">
        <f>IF($B87&gt;0,(GETPIVOTDATA(" New Unemployment",'$ Pivot Table'!$A$3,"State","NC","Category",2,"Category2","Four-Year"))/$B87)*100</f>
        <v>9.0041883959982319E-2</v>
      </c>
      <c r="J87" s="32">
        <f>IF($B87&gt;0,(GETPIVOTDATA(" New Life Insurance",'$ Pivot Table'!$A$3,"State","NC","Category",2,"Category2","Four-Year"))/$B87)*100</f>
        <v>0.1434989077446174</v>
      </c>
      <c r="K87" s="32"/>
      <c r="L87" s="32">
        <f>IF($B87&gt;0,(GETPIVOTDATA(" New Worker's Comp",'$ Pivot Table'!$A$3,"State","NC","Category",2,"Category2","Four-Year"))/$B87)*100</f>
        <v>0.87003236108545534</v>
      </c>
      <c r="M87" s="32">
        <f>IF($B87&gt;0,(GETPIVOTDATA(" New Tuition Plans",'$ Pivot Table'!$A$3,"State","NC","Category",2,"Category2","Four-Year"))/$B87)*100</f>
        <v>0</v>
      </c>
      <c r="N87" s="32">
        <f>IF($B87&gt;0,(GETPIVOTDATA(" New Other",'$ Pivot Table'!$A$3,"State","NC","Category",2,"Category2","Four-Year"))/$B87)*100</f>
        <v>0</v>
      </c>
      <c r="O87" s="90">
        <f>IF($B87&gt;0,(GETPIVOTDATA(" New Total",'$ Pivot Table'!$A$3,"State","NC","Category",2,"Category2","Four-Year"))/$B87)*100</f>
        <v>26.993826638133989</v>
      </c>
    </row>
    <row r="88" spans="1:15">
      <c r="A88" s="149" t="s">
        <v>488</v>
      </c>
      <c r="B88" s="617">
        <f>+'[2]NEW Tables 143-162'!D22</f>
        <v>0</v>
      </c>
      <c r="C88" s="32">
        <f>IF($B88&gt;0,(GETPIVOTDATA(" New Retirement",'$ Pivot Table'!$A$3,"State","OK","Category",2,"Category2","Four-Year"))/$B88)*100</f>
        <v>0</v>
      </c>
      <c r="D88" s="32">
        <f>IF($B88&gt;0,(GETPIVOTDATA(" New Health",'$ Pivot Table'!$A$3,"State","OK","Category",2,"Category2","Four-Year"))/$B88)*100</f>
        <v>0</v>
      </c>
      <c r="E88" s="32">
        <f>IF($B88&gt;0,(GETPIVOTDATA(" New Disability",'$ Pivot Table'!$A$3,"State","OK","Category",2,"Category2","Four-Year"))/$B88)*100</f>
        <v>0</v>
      </c>
      <c r="F88" s="32"/>
      <c r="G88" s="32">
        <f>IF($B88&gt;0,(GETPIVOTDATA(" New Social Security",'$ Pivot Table'!$A$3,"State","OK","Category",2,"Category2","Four-Year"))/$B88)*100</f>
        <v>0</v>
      </c>
      <c r="H88" s="32"/>
      <c r="I88" s="32">
        <f>IF($B88&gt;0,(GETPIVOTDATA(" New Unemployment",'$ Pivot Table'!$A$3,"State","OK","Category",2,"Category2","Four-Year"))/$B88)*100</f>
        <v>0</v>
      </c>
      <c r="J88" s="32">
        <f>IF($B88&gt;0,(GETPIVOTDATA(" New Life Insurance",'$ Pivot Table'!$A$3,"State","OK","Category",2,"Category2","Four-Year"))/$B88)*100</f>
        <v>0</v>
      </c>
      <c r="K88" s="32"/>
      <c r="L88" s="32">
        <f>IF($B88&gt;0,(GETPIVOTDATA(" New Worker's Comp",'$ Pivot Table'!$A$3,"State","OK","Category",2,"Category2","Four-Year"))/$B88)*100</f>
        <v>0</v>
      </c>
      <c r="M88" s="32">
        <f>IF($B88&gt;0,(GETPIVOTDATA(" New Tuition Plans",'$ Pivot Table'!$A$3,"State","OK","Category",2,"Category2","Four-Year"))/$B88)*100</f>
        <v>0</v>
      </c>
      <c r="N88" s="32">
        <f>IF($B88&gt;0,(GETPIVOTDATA(" New Other",'$ Pivot Table'!$A$3,"State","OK","Category",2,"Category2","Four-Year"))/$B88)*100</f>
        <v>0</v>
      </c>
      <c r="O88" s="90">
        <f>IF($B88&gt;0,(GETPIVOTDATA(" New Total",'$ Pivot Table'!$A$3,"State","OK","Category",2,"Category2","Four-Year"))/$B88)*100</f>
        <v>0</v>
      </c>
    </row>
    <row r="89" spans="1:15">
      <c r="A89" s="149" t="s">
        <v>489</v>
      </c>
      <c r="B89" s="617">
        <f>+'[2]NEW Tables 143-162'!D23</f>
        <v>0</v>
      </c>
      <c r="C89" s="32">
        <f>IF($B89&gt;0,(GETPIVOTDATA(" New Retirement",'$ Pivot Table'!$A$3,"State","SC","Category",2,"Category2","Four-Year"))/$B89)*100</f>
        <v>0</v>
      </c>
      <c r="D89" s="32">
        <f>IF($B89&gt;0,(GETPIVOTDATA(" New Health",'$ Pivot Table'!$A$3,"State","SC","Category",2,"Category2","Four-Year"))/$B89)*100</f>
        <v>0</v>
      </c>
      <c r="E89" s="32">
        <f>IF($B89&gt;0,(GETPIVOTDATA(" New Disability",'$ Pivot Table'!$A$3,"State","SC","Category",2,"Category2","Four-Year"))/$B89)*100</f>
        <v>0</v>
      </c>
      <c r="F89" s="32"/>
      <c r="G89" s="32">
        <f>IF($B89&gt;0,(GETPIVOTDATA(" New Social Security",'$ Pivot Table'!$A$3,"State","SC","Category",2,"Category2","Four-Year"))/$B89)*100</f>
        <v>0</v>
      </c>
      <c r="H89" s="32"/>
      <c r="I89" s="32">
        <f>IF($B89&gt;0,(GETPIVOTDATA(" New Unemployment",'$ Pivot Table'!$A$3,"State","SC","Category",2,"Category2","Four-Year"))/$B89)*100</f>
        <v>0</v>
      </c>
      <c r="J89" s="32">
        <f>IF($B89&gt;0,(GETPIVOTDATA(" New Life Insurance",'$ Pivot Table'!$A$3,"State","SC","Category",2,"Category2","Four-Year"))/$B89)*100</f>
        <v>0</v>
      </c>
      <c r="K89" s="32"/>
      <c r="L89" s="32">
        <f>IF($B89&gt;0,(GETPIVOTDATA(" New Worker's Comp",'$ Pivot Table'!$A$3,"State","SC","Category",2,"Category2","Four-Year"))/$B89)*100</f>
        <v>0</v>
      </c>
      <c r="M89" s="32">
        <f>IF($B89&gt;0,(GETPIVOTDATA(" New Tuition Plans",'$ Pivot Table'!$A$3,"State","SC","Category",2,"Category2","Four-Year"))/$B89)*100</f>
        <v>0</v>
      </c>
      <c r="N89" s="32">
        <f>IF($B89&gt;0,(GETPIVOTDATA(" New Other",'$ Pivot Table'!$A$3,"State","SC","Category",2,"Category2","Four-Year"))/$B89)*100</f>
        <v>0</v>
      </c>
      <c r="O89" s="90">
        <f>IF($B89&gt;0,(GETPIVOTDATA(" New Total",'$ Pivot Table'!$A$3,"State","SC","Category",2,"Category2","Four-Year"))/$B89)*100</f>
        <v>0</v>
      </c>
    </row>
    <row r="90" spans="1:15">
      <c r="A90" s="149"/>
      <c r="B90" s="617">
        <f>+'[2]NEW Tables 143-162'!D24</f>
        <v>0</v>
      </c>
      <c r="C90" s="32"/>
      <c r="D90" s="34"/>
      <c r="E90" s="32"/>
      <c r="F90" s="32"/>
      <c r="G90" s="32"/>
      <c r="H90" s="32"/>
      <c r="I90" s="32"/>
      <c r="J90" s="32"/>
      <c r="K90" s="32"/>
      <c r="L90" s="32"/>
      <c r="M90" s="32"/>
      <c r="N90" s="32"/>
      <c r="O90" s="90"/>
    </row>
    <row r="91" spans="1:15">
      <c r="A91" s="149" t="s">
        <v>490</v>
      </c>
      <c r="B91" s="617">
        <f>+'[2]NEW Tables 143-162'!D25</f>
        <v>0</v>
      </c>
      <c r="C91" s="28">
        <f>IF($B91&gt;0,(GETPIVOTDATA(" New Retirement",'$ Pivot Table'!$A$3,"State","TN","Category",2,"Category2","Four-Year"))/$B91)*100</f>
        <v>0</v>
      </c>
      <c r="D91" s="28">
        <f>IF($B91&gt;0,(GETPIVOTDATA(" New Health",'$ Pivot Table'!$A$3,"State","TN","Category",2,"Category2","Four-Year"))/$B91)*100</f>
        <v>0</v>
      </c>
      <c r="E91" s="28">
        <f>IF($B91&gt;0,(GETPIVOTDATA(" New Disability",'$ Pivot Table'!$A$3,"State","TN","Category",2,"Category2","Four-Year"))/$B91)*100</f>
        <v>0</v>
      </c>
      <c r="F91" s="28"/>
      <c r="G91" s="28">
        <f>IF($B91&gt;0,(GETPIVOTDATA(" New Social Security",'$ Pivot Table'!$A$3,"State","TN","Category",2,"Category2","Four-Year"))/$B91)*100</f>
        <v>0</v>
      </c>
      <c r="H91" s="28"/>
      <c r="I91" s="28">
        <f>IF($B91&gt;0,(GETPIVOTDATA(" New Unemployment",'$ Pivot Table'!$A$3,"State","TN","Category",2,"Category2","Four-Year"))/$B91)*100</f>
        <v>0</v>
      </c>
      <c r="J91" s="28">
        <f>IF($B91&gt;0,(GETPIVOTDATA(" New Life Insurance",'$ Pivot Table'!$A$3,"State","TN","Category",2,"Category2","Four-Year"))/$B91)*100</f>
        <v>0</v>
      </c>
      <c r="K91" s="28"/>
      <c r="L91" s="28">
        <f>IF($B91&gt;0,(GETPIVOTDATA(" New Worker's Comp",'$ Pivot Table'!$A$3,"State","TN","Category",2,"Category2","Four-Year"))/$B91)*100</f>
        <v>0</v>
      </c>
      <c r="M91" s="28">
        <f>IF($B91&gt;0,(GETPIVOTDATA(" New Tuition Plans",'$ Pivot Table'!$A$3,"State","TN","Category",2,"Category2","Four-Year"))/$B91)*100</f>
        <v>0</v>
      </c>
      <c r="N91" s="28">
        <f>IF($B91&gt;0,(GETPIVOTDATA(" New Other",'$ Pivot Table'!$A$3,"State","TN","Category",2,"Category2","Four-Year"))/$B91)*100</f>
        <v>0</v>
      </c>
      <c r="O91" s="86">
        <f>IF($B91&gt;0,(GETPIVOTDATA(" New Total",'$ Pivot Table'!$A$3,"State","TN","Category",2,"Category2","Four-Year"))/$B91)*100</f>
        <v>0</v>
      </c>
    </row>
    <row r="92" spans="1:15">
      <c r="A92" s="149" t="s">
        <v>491</v>
      </c>
      <c r="B92" s="617">
        <f>+'[2]NEW Tables 143-162'!D26</f>
        <v>69731.238782877772</v>
      </c>
      <c r="C92" s="28">
        <f>IF($B92&gt;0,(GETPIVOTDATA(" New Retirement",'$ Pivot Table'!$A$3,"State","TX","Category",2,"Category2","Four-Year"))/$B92)*100</f>
        <v>7.9838640039968549</v>
      </c>
      <c r="D92" s="28">
        <f>IF($B92&gt;0,(GETPIVOTDATA(" New Health",'$ Pivot Table'!$A$3,"State","TX","Category",2,"Category2","Four-Year"))/$B92)*100</f>
        <v>10.156019967993689</v>
      </c>
      <c r="E92" s="28">
        <f>IF($B92&gt;0,(GETPIVOTDATA(" New Disability",'$ Pivot Table'!$A$3,"State","TX","Category",2,"Category2","Four-Year"))/$B92)*100</f>
        <v>0</v>
      </c>
      <c r="F92" s="28"/>
      <c r="G92" s="28">
        <f>IF($B92&gt;0,(GETPIVOTDATA(" New Social Security",'$ Pivot Table'!$A$3,"State","TX","Category",2,"Category2","Four-Year"))/$B92)*100</f>
        <v>6.2678786467167473</v>
      </c>
      <c r="H92" s="28"/>
      <c r="I92" s="58">
        <f>IF($B92&gt;0,(GETPIVOTDATA(" New Unemployment",'$ Pivot Table'!$A$3,"State","TX","Category",2,"Category2","Four-Year"))/$B92)*100</f>
        <v>7.7614268756408186E-2</v>
      </c>
      <c r="J92" s="58">
        <f>IF($B92&gt;0,(GETPIVOTDATA(" New Life Insurance",'$ Pivot Table'!$A$3,"State","TX","Category",2,"Category2","Four-Year"))/$B92)*100</f>
        <v>3.2664711667517103E-2</v>
      </c>
      <c r="K92" s="58"/>
      <c r="L92" s="28">
        <f>IF($B92&gt;0,(GETPIVOTDATA(" New Worker's Comp",'$ Pivot Table'!$A$3,"State","TX","Category",2,"Category2","Four-Year"))/$B92)*100</f>
        <v>0.16567170811766618</v>
      </c>
      <c r="M92" s="28">
        <f>IF($B92&gt;0,(GETPIVOTDATA(" New Tuition Plans",'$ Pivot Table'!$A$3,"State","TX","Category",2,"Category2","Four-Year"))/$B92)*100</f>
        <v>0</v>
      </c>
      <c r="N92" s="28">
        <f>IF($B92&gt;0,(GETPIVOTDATA(" New Other",'$ Pivot Table'!$A$3,"State","TX","Category",2,"Category2","Four-Year"))/$B92)*100</f>
        <v>0</v>
      </c>
      <c r="O92" s="86">
        <f>IF($B92&gt;0,(GETPIVOTDATA(" New Total",'$ Pivot Table'!$A$3,"State","TX","Category",2,"Category2","Four-Year"))/$B92)*100</f>
        <v>24.04099822329799</v>
      </c>
    </row>
    <row r="93" spans="1:15">
      <c r="A93" s="149" t="s">
        <v>492</v>
      </c>
      <c r="B93" s="617">
        <f>+'[2]NEW Tables 143-162'!D27</f>
        <v>77444.275890813951</v>
      </c>
      <c r="C93" s="28">
        <f>IF($B93&gt;0,(GETPIVOTDATA(" New Retirement",'$ Pivot Table'!$A$3,"State","VA","Category",2,"Category2","Four-Year"))/$B93)*100</f>
        <v>9.2429809328685462</v>
      </c>
      <c r="D93" s="28">
        <f>IF($B93&gt;0,(GETPIVOTDATA(" New Health",'$ Pivot Table'!$A$3,"State","VA","Category",2,"Category2","Four-Year"))/$B93)*100</f>
        <v>11.630377347193804</v>
      </c>
      <c r="E93" s="28">
        <f>IF($B93&gt;0,(GETPIVOTDATA(" New Disability",'$ Pivot Table'!$A$3,"State","VA","Category",2,"Category2","Four-Year"))/$B93)*100</f>
        <v>0.13845758029907138</v>
      </c>
      <c r="F93" s="28"/>
      <c r="G93" s="28">
        <f>IF($B93&gt;0,(GETPIVOTDATA(" New Social Security",'$ Pivot Table'!$A$3,"State","VA","Category",2,"Category2","Four-Year"))/$B93)*100</f>
        <v>7.2059099706817591</v>
      </c>
      <c r="H93" s="28"/>
      <c r="I93" s="28">
        <f>IF($B93&gt;0,(GETPIVOTDATA(" New Unemployment",'$ Pivot Table'!$A$3,"State","VA","Category",2,"Category2","Four-Year"))/$B93)*100</f>
        <v>7.1893260734170752E-2</v>
      </c>
      <c r="J93" s="28">
        <f>IF($B93&gt;0,(GETPIVOTDATA(" New Life Insurance",'$ Pivot Table'!$A$3,"State","VA","Category",2,"Category2","Four-Year"))/$B93)*100</f>
        <v>0.60236789146545544</v>
      </c>
      <c r="K93" s="28"/>
      <c r="L93" s="28">
        <f>IF($B93&gt;0,(GETPIVOTDATA(" New Worker's Comp",'$ Pivot Table'!$A$3,"State","VA","Category",2,"Category2","Four-Year"))/$B93)*100</f>
        <v>0.36668979162289328</v>
      </c>
      <c r="M93" s="28">
        <f>IF($B93&gt;0,(GETPIVOTDATA(" New Tuition Plans",'$ Pivot Table'!$A$3,"State","VA","Category",2,"Category2","Four-Year"))/$B93)*100</f>
        <v>0</v>
      </c>
      <c r="N93" s="28">
        <f>IF($B93&gt;0,(GETPIVOTDATA(" New Other",'$ Pivot Table'!$A$3,"State","VA","Category",2,"Category2","Four-Year"))/$B93)*100</f>
        <v>0.30990024406499433</v>
      </c>
      <c r="O93" s="86">
        <f>IF($B93&gt;0,(GETPIVOTDATA(" New Total",'$ Pivot Table'!$A$3,"State","VA","Category",2,"Category2","Four-Year"))/$B93)*100</f>
        <v>28.102534646778594</v>
      </c>
    </row>
    <row r="94" spans="1:15">
      <c r="A94" s="630" t="s">
        <v>493</v>
      </c>
      <c r="B94" s="618">
        <f>+'[2]NEW Tables 143-162'!D28</f>
        <v>0</v>
      </c>
      <c r="C94" s="30">
        <f>IF($B94&gt;0,(GETPIVOTDATA(" New Retirement",'$ Pivot Table'!$A$3,"State","WV","Category",2,"Category2","Four-Year"))/$B94)*100</f>
        <v>0</v>
      </c>
      <c r="D94" s="30">
        <f>IF($B94&gt;0,(GETPIVOTDATA(" New Health",'$ Pivot Table'!$A$3,"State","WV","Category",2,"Category2","Four-Year"))/$B94)*100</f>
        <v>0</v>
      </c>
      <c r="E94" s="30">
        <f>IF($B94&gt;0,(GETPIVOTDATA(" New Disability",'$ Pivot Table'!$A$3,"State","WV","Category",2,"Category2","Four-Year"))/$B94)*100</f>
        <v>0</v>
      </c>
      <c r="F94" s="30"/>
      <c r="G94" s="30">
        <f>IF($B94&gt;0,(GETPIVOTDATA(" New Social Security",'$ Pivot Table'!$A$3,"State","WV","Category",2,"Category2","Four-Year"))/$B94)*100</f>
        <v>0</v>
      </c>
      <c r="H94" s="30"/>
      <c r="I94" s="30">
        <f>IF($B94&gt;0,(GETPIVOTDATA(" New Unemployment",'$ Pivot Table'!$A$3,"State","WV","Category",2,"Category2","Four-Year"))/$B94)*100</f>
        <v>0</v>
      </c>
      <c r="J94" s="30">
        <f>IF($B94&gt;0,(GETPIVOTDATA(" New Life Insurance",'$ Pivot Table'!$A$3,"State","WV","Category",2,"Category2","Four-Year"))/$B94)*100</f>
        <v>0</v>
      </c>
      <c r="K94" s="30"/>
      <c r="L94" s="30">
        <f>IF($B94&gt;0,(GETPIVOTDATA(" New Worker's Comp",'$ Pivot Table'!$A$3,"State","WV","Category",2,"Category2","Four-Year"))/$B94)*100</f>
        <v>0</v>
      </c>
      <c r="M94" s="30">
        <f>IF($B94&gt;0,(GETPIVOTDATA(" New Tuition Plans",'$ Pivot Table'!$A$3,"State","WV","Category",2,"Category2","Four-Year"))/$B94)*100</f>
        <v>0</v>
      </c>
      <c r="N94" s="30">
        <f>IF($B94&gt;0,(GETPIVOTDATA(" New Other",'$ Pivot Table'!$A$3,"State","WV","Category",2,"Category2","Four-Year"))/$B94)*100</f>
        <v>0</v>
      </c>
      <c r="O94" s="115">
        <f>IF($B94&gt;0,(GETPIVOTDATA(" New Total",'$ Pivot Table'!$A$3,"State","WV","Category",2,"Category2","Four-Year"))/$B94)*100</f>
        <v>0</v>
      </c>
    </row>
    <row r="95" spans="1:15" ht="18" customHeight="1">
      <c r="A95" s="628" t="s">
        <v>14</v>
      </c>
      <c r="B95" s="45"/>
      <c r="C95" s="54"/>
      <c r="D95" s="54"/>
      <c r="E95" s="54"/>
      <c r="F95" s="54"/>
      <c r="G95" s="54"/>
      <c r="H95" s="54"/>
      <c r="I95" s="54"/>
      <c r="J95" s="54"/>
      <c r="K95" s="54"/>
      <c r="L95" s="54"/>
      <c r="M95" s="54"/>
      <c r="N95" s="54"/>
      <c r="O95" s="145"/>
    </row>
    <row r="96" spans="1:15" ht="18" customHeight="1">
      <c r="A96" s="628" t="s">
        <v>678</v>
      </c>
      <c r="B96" s="45"/>
      <c r="C96" s="54"/>
      <c r="D96" s="54"/>
      <c r="E96" s="54"/>
      <c r="F96" s="54"/>
      <c r="G96" s="54"/>
      <c r="H96" s="54"/>
      <c r="I96" s="54"/>
      <c r="J96" s="54"/>
      <c r="K96" s="54"/>
      <c r="L96" s="54"/>
      <c r="M96" s="54"/>
      <c r="N96" s="54"/>
      <c r="O96" s="145"/>
    </row>
    <row r="97" spans="1:15">
      <c r="A97" s="629"/>
      <c r="B97" s="45"/>
      <c r="C97" s="54"/>
      <c r="D97" s="54"/>
      <c r="E97" s="54"/>
      <c r="F97" s="54"/>
      <c r="G97" s="54"/>
      <c r="H97" s="54"/>
      <c r="I97" s="54"/>
      <c r="J97" s="54"/>
      <c r="K97" s="54"/>
      <c r="L97" s="54"/>
      <c r="M97" s="54"/>
      <c r="N97" s="54"/>
      <c r="O97" s="637" t="s">
        <v>1321</v>
      </c>
    </row>
    <row r="98" spans="1:15" ht="18">
      <c r="A98" s="595" t="s">
        <v>1103</v>
      </c>
      <c r="B98" s="48"/>
      <c r="C98" s="48"/>
      <c r="D98" s="48"/>
      <c r="E98" s="48"/>
      <c r="F98" s="48"/>
      <c r="G98" s="48"/>
      <c r="H98" s="48"/>
      <c r="I98" s="48"/>
      <c r="J98" s="48"/>
      <c r="K98" s="48"/>
      <c r="L98" s="48"/>
      <c r="M98" s="48"/>
      <c r="N98" s="48"/>
      <c r="O98" s="48"/>
    </row>
    <row r="99" spans="1:15">
      <c r="A99" s="622"/>
      <c r="B99" s="45"/>
      <c r="C99" s="54"/>
      <c r="D99" s="54"/>
      <c r="E99" s="54"/>
      <c r="F99" s="54"/>
      <c r="G99" s="54"/>
      <c r="H99" s="54"/>
      <c r="I99" s="54"/>
      <c r="J99" s="54"/>
      <c r="K99" s="54"/>
      <c r="L99" s="54"/>
      <c r="M99" s="54"/>
      <c r="N99" s="54"/>
      <c r="O99" s="145"/>
    </row>
    <row r="100" spans="1:15" ht="15.75">
      <c r="A100" s="640" t="s">
        <v>466</v>
      </c>
      <c r="B100" s="640"/>
      <c r="C100" s="640"/>
      <c r="D100" s="640"/>
      <c r="E100" s="640"/>
      <c r="F100" s="640"/>
      <c r="G100" s="640"/>
      <c r="H100" s="640"/>
      <c r="I100" s="640"/>
      <c r="J100" s="640"/>
      <c r="K100" s="640"/>
      <c r="L100" s="640"/>
      <c r="M100" s="640"/>
      <c r="N100" s="640"/>
      <c r="O100" s="640"/>
    </row>
    <row r="101" spans="1:15" ht="15.75">
      <c r="A101" s="640" t="s">
        <v>1161</v>
      </c>
      <c r="B101" s="640"/>
      <c r="C101" s="640"/>
      <c r="D101" s="640"/>
      <c r="E101" s="640"/>
      <c r="F101" s="640"/>
      <c r="G101" s="640"/>
      <c r="H101" s="640"/>
      <c r="I101" s="640"/>
      <c r="J101" s="640"/>
      <c r="K101" s="640"/>
      <c r="L101" s="640"/>
      <c r="M101" s="640"/>
      <c r="N101" s="640"/>
      <c r="O101" s="640"/>
    </row>
    <row r="102" spans="1:15">
      <c r="A102" s="148"/>
      <c r="B102" s="45"/>
      <c r="C102" s="54"/>
      <c r="D102" s="54"/>
      <c r="E102" s="54"/>
      <c r="F102" s="54"/>
      <c r="G102" s="54"/>
      <c r="H102" s="54"/>
      <c r="I102" s="54"/>
      <c r="J102" s="54"/>
      <c r="K102" s="54"/>
      <c r="L102" s="54"/>
      <c r="M102" s="54"/>
      <c r="N102" s="54"/>
      <c r="O102" s="145"/>
    </row>
    <row r="103" spans="1:15">
      <c r="A103" s="623"/>
      <c r="B103" s="2" t="s">
        <v>473</v>
      </c>
      <c r="C103" s="643" t="s">
        <v>593</v>
      </c>
      <c r="D103" s="643"/>
      <c r="E103" s="643"/>
      <c r="F103" s="643"/>
      <c r="G103" s="643"/>
      <c r="H103" s="643"/>
      <c r="I103" s="643"/>
      <c r="J103" s="643"/>
      <c r="K103" s="643"/>
      <c r="L103" s="643"/>
      <c r="M103" s="643"/>
      <c r="N103" s="643"/>
      <c r="O103" s="643"/>
    </row>
    <row r="104" spans="1:15">
      <c r="A104" s="624"/>
      <c r="B104" s="4" t="s">
        <v>474</v>
      </c>
      <c r="C104" s="3" t="s">
        <v>660</v>
      </c>
      <c r="D104" s="3"/>
      <c r="E104" s="53"/>
      <c r="F104" s="53"/>
      <c r="G104" s="3" t="s">
        <v>661</v>
      </c>
      <c r="H104" s="3"/>
      <c r="I104" s="3" t="s">
        <v>662</v>
      </c>
      <c r="J104" s="3" t="s">
        <v>663</v>
      </c>
      <c r="K104" s="3"/>
      <c r="L104" s="3" t="s">
        <v>664</v>
      </c>
      <c r="M104" s="3" t="s">
        <v>665</v>
      </c>
      <c r="N104" s="3"/>
      <c r="O104" s="124" t="s">
        <v>475</v>
      </c>
    </row>
    <row r="105" spans="1:15">
      <c r="A105" s="625"/>
      <c r="B105" s="15" t="s">
        <v>476</v>
      </c>
      <c r="C105" s="16" t="s">
        <v>667</v>
      </c>
      <c r="D105" s="16" t="s">
        <v>708</v>
      </c>
      <c r="E105" s="17" t="s">
        <v>709</v>
      </c>
      <c r="F105" s="17"/>
      <c r="G105" s="16" t="s">
        <v>668</v>
      </c>
      <c r="H105" s="16"/>
      <c r="I105" s="16" t="s">
        <v>667</v>
      </c>
      <c r="J105" s="16" t="s">
        <v>669</v>
      </c>
      <c r="K105" s="16"/>
      <c r="L105" s="16" t="s">
        <v>670</v>
      </c>
      <c r="M105" s="16" t="s">
        <v>671</v>
      </c>
      <c r="N105" s="16" t="s">
        <v>701</v>
      </c>
      <c r="O105" s="146" t="s">
        <v>15</v>
      </c>
    </row>
    <row r="106" spans="1:15">
      <c r="A106" s="149" t="s">
        <v>600</v>
      </c>
      <c r="B106" s="33">
        <f>+'[2]NEW Tables 143-162'!F8</f>
        <v>63725.108062828323</v>
      </c>
      <c r="C106" s="32">
        <f>IF($B106&gt;0,(GETPIVOTDATA(" New Retirement",'$ Pivot Table'!$A$3,"Category",3,"Category2","Four-Year"))/$B106)*100</f>
        <v>10.331746109972165</v>
      </c>
      <c r="D106" s="32">
        <f>IF($B106&gt;0,(GETPIVOTDATA(" New Health",'$ Pivot Table'!$A$3,"Category",3,"Category2","Four-Year"))/$B106)*100</f>
        <v>9.8427081932173</v>
      </c>
      <c r="E106" s="32">
        <f>IF($B106&gt;0,(GETPIVOTDATA(" New Disability",'$ Pivot Table'!$A$3,"Category",3,"Category2","Four-Year"))/$B106)*100</f>
        <v>0.4031816629830442</v>
      </c>
      <c r="F106" s="32"/>
      <c r="G106" s="32">
        <f>IF($B106&gt;0,(GETPIVOTDATA(" New Social Security",'$ Pivot Table'!$A$3,"Category",3,"Category2","Four-Year"))/$B106)*100</f>
        <v>7.225546214942816</v>
      </c>
      <c r="H106" s="32"/>
      <c r="I106" s="32">
        <f>IF($B106&gt;0,(GETPIVOTDATA(" New Unemployment",'$ Pivot Table'!$A$3,"Category",3,"Category2","Four-Year"))/$B106)*100</f>
        <v>0.15472738175134973</v>
      </c>
      <c r="J106" s="32">
        <f>IF($B106&gt;0,(GETPIVOTDATA(" New Life Insurance",'$ Pivot Table'!$A$3,"Category",3,"Category2","Four-Year"))/$B106)*100</f>
        <v>0.3352575547742293</v>
      </c>
      <c r="K106" s="32"/>
      <c r="L106" s="32">
        <f>IF($B106&gt;0,(GETPIVOTDATA(" New Worker's Comp",'$ Pivot Table'!$A$3,"Category",3,"Category2","Four-Year"))/$B106)*100</f>
        <v>0.55270011217800263</v>
      </c>
      <c r="M106" s="32">
        <f>IF($B106&gt;0,(GETPIVOTDATA(" New Tuition Plans",'$ Pivot Table'!$A$3,"Category",3,"Category2","Four-Year"))/$B106)*100</f>
        <v>4.5036329908570103</v>
      </c>
      <c r="N106" s="32">
        <f>IF($B106&gt;0,(GETPIVOTDATA(" New Other",'$ Pivot Table'!$A$3,"Category",3,"Category2","Four-Year"))/$B106)*100</f>
        <v>1.1878938427853292</v>
      </c>
      <c r="O106" s="90">
        <f>IF($B106&gt;0,(GETPIVOTDATA(" New Total",'$ Pivot Table'!$A$3,"Category",3,"Category2","Four-Year"))/$B106)*100</f>
        <v>27.127778889195064</v>
      </c>
    </row>
    <row r="107" spans="1:15">
      <c r="A107" s="149"/>
      <c r="B107" s="31">
        <f>+'[3]NEW Tables 144-163'!F9</f>
        <v>0</v>
      </c>
      <c r="C107" s="32"/>
      <c r="D107" s="34"/>
      <c r="E107" s="32"/>
      <c r="F107" s="32"/>
      <c r="G107" s="32"/>
      <c r="H107" s="32"/>
      <c r="I107" s="32"/>
      <c r="J107" s="32"/>
      <c r="K107" s="32"/>
      <c r="L107" s="32"/>
      <c r="M107" s="32"/>
      <c r="N107" s="32"/>
      <c r="O107" s="90"/>
    </row>
    <row r="108" spans="1:15">
      <c r="A108" s="149" t="s">
        <v>479</v>
      </c>
      <c r="B108" s="617">
        <f>+'[2]NEW Tables 143-162'!F10</f>
        <v>61003.22169864428</v>
      </c>
      <c r="C108" s="32">
        <f>IF($B108&gt;0,(GETPIVOTDATA(" New Retirement",'$ Pivot Table'!$A$3,"State","AL","Category",3,"Category2","Four-Year"))/$B108)*100</f>
        <v>11.863510306493438</v>
      </c>
      <c r="D108" s="32">
        <f>IF($B108&gt;0,(GETPIVOTDATA(" New Health",'$ Pivot Table'!$A$3,"State","AL","Category",3,"Category2","Four-Year"))/$B108)*100</f>
        <v>13.559649381960465</v>
      </c>
      <c r="E108" s="32">
        <f>IF($B108&gt;0,(GETPIVOTDATA(" New Disability",'$ Pivot Table'!$A$3,"State","AL","Category",3,"Category2","Four-Year"))/$B108)*100</f>
        <v>0.53114012586679937</v>
      </c>
      <c r="F108" s="32"/>
      <c r="G108" s="32">
        <f>IF($B108&gt;0,(GETPIVOTDATA(" New Social Security",'$ Pivot Table'!$A$3,"State","AL","Category",3,"Category2","Four-Year"))/$B108)*100</f>
        <v>6.7160769190326164</v>
      </c>
      <c r="H108" s="32"/>
      <c r="I108" s="32">
        <f>IF($B108&gt;0,(GETPIVOTDATA(" New Unemployment",'$ Pivot Table'!$A$3,"State","AL","Category",3,"Category2","Four-Year"))/$B108)*100</f>
        <v>9.9653612866457505E-2</v>
      </c>
      <c r="J108" s="32">
        <f>IF($B108&gt;0,(GETPIVOTDATA(" New Life Insurance",'$ Pivot Table'!$A$3,"State","AL","Category",3,"Category2","Four-Year"))/$B108)*100</f>
        <v>0.31249008188518113</v>
      </c>
      <c r="K108" s="32"/>
      <c r="L108" s="32">
        <f>IF($B108&gt;0,(GETPIVOTDATA(" New Worker's Comp",'$ Pivot Table'!$A$3,"State","AL","Category",3,"Category2","Four-Year"))/$B108)*100</f>
        <v>0</v>
      </c>
      <c r="M108" s="32">
        <f>IF($B108&gt;0,(GETPIVOTDATA(" New Tuition Plans",'$ Pivot Table'!$A$3,"State","AL","Category",3,"Category2","Four-Year"))/$B108)*100</f>
        <v>8.7694651217394455</v>
      </c>
      <c r="N108" s="32">
        <f>IF($B108&gt;0,(GETPIVOTDATA(" New Other",'$ Pivot Table'!$A$3,"State","AL","Category",3,"Category2","Four-Year"))/$B108)*100</f>
        <v>7.7045111210978096E-2</v>
      </c>
      <c r="O108" s="90">
        <f>IF($B108&gt;0,(GETPIVOTDATA(" New Total",'$ Pivot Table'!$A$3,"State","AL","Category",3,"Category2","Four-Year"))/$B108)*100</f>
        <v>30.345303045498333</v>
      </c>
    </row>
    <row r="109" spans="1:15">
      <c r="A109" s="149" t="s">
        <v>480</v>
      </c>
      <c r="B109" s="617">
        <f>+'[2]NEW Tables 143-162'!F11</f>
        <v>57765.180917686172</v>
      </c>
      <c r="C109" s="32">
        <f>IF($B109&gt;0,(GETPIVOTDATA(" New Retirement",'$ Pivot Table'!$A$3,"State","AR","Category",3,"Category2","Four-Year"))/$B109)*100</f>
        <v>10.28698339543797</v>
      </c>
      <c r="D109" s="32">
        <f>IF($B109&gt;0,(GETPIVOTDATA(" New Health",'$ Pivot Table'!$A$3,"State","AR","Category",3,"Category2","Four-Year"))/$B109)*100</f>
        <v>9.3899108076122584</v>
      </c>
      <c r="E109" s="32">
        <f>IF($B109&gt;0,(GETPIVOTDATA(" New Disability",'$ Pivot Table'!$A$3,"State","AR","Category",3,"Category2","Four-Year"))/$B109)*100</f>
        <v>0.22012129682018122</v>
      </c>
      <c r="F109" s="32"/>
      <c r="G109" s="32">
        <f>IF($B109&gt;0,(GETPIVOTDATA(" New Social Security",'$ Pivot Table'!$A$3,"State","AR","Category",3,"Category2","Four-Year"))/$B109)*100</f>
        <v>7.7358209227638062</v>
      </c>
      <c r="H109" s="32"/>
      <c r="I109" s="32">
        <f>IF($B109&gt;0,(GETPIVOTDATA(" New Unemployment",'$ Pivot Table'!$A$3,"State","AR","Category",3,"Category2","Four-Year"))/$B109)*100</f>
        <v>0.18297817602133193</v>
      </c>
      <c r="J109" s="32">
        <f>IF($B109&gt;0,(GETPIVOTDATA(" New Life Insurance",'$ Pivot Table'!$A$3,"State","AR","Category",3,"Category2","Four-Year"))/$B109)*100</f>
        <v>0.24798148562586528</v>
      </c>
      <c r="K109" s="32"/>
      <c r="L109" s="32">
        <f>IF($B109&gt;0,(GETPIVOTDATA(" New Worker's Comp",'$ Pivot Table'!$A$3,"State","AR","Category",3,"Category2","Four-Year"))/$B109)*100</f>
        <v>0.13641226449884247</v>
      </c>
      <c r="M109" s="32">
        <f>IF($B109&gt;0,(GETPIVOTDATA(" New Tuition Plans",'$ Pivot Table'!$A$3,"State","AR","Category",3,"Category2","Four-Year"))/$B109)*100</f>
        <v>2.1648566030033032</v>
      </c>
      <c r="N109" s="32">
        <f>IF($B109&gt;0,(GETPIVOTDATA(" New Other",'$ Pivot Table'!$A$3,"State","AR","Category",3,"Category2","Four-Year"))/$B109)*100</f>
        <v>1.0819666623923645</v>
      </c>
      <c r="O109" s="90">
        <f>IF($B109&gt;0,(GETPIVOTDATA(" New Total",'$ Pivot Table'!$A$3,"State","AR","Category",3,"Category2","Four-Year"))/$B109)*100</f>
        <v>27.230429927528053</v>
      </c>
    </row>
    <row r="110" spans="1:15">
      <c r="A110" s="149" t="s">
        <v>494</v>
      </c>
      <c r="B110" s="617">
        <f>+'[2]NEW Tables 143-162'!F12</f>
        <v>0</v>
      </c>
      <c r="C110" s="32">
        <f>IF($B110&gt;0,(GETPIVOTDATA(" New Retirement",'$ Pivot Table'!$A$3,"State","DE","Category",3,"Category2","Four-Year"))/$B110)*100</f>
        <v>0</v>
      </c>
      <c r="D110" s="32">
        <f>IF($B110&gt;0,(GETPIVOTDATA(" New Health",'$ Pivot Table'!$A$3,"State","DE","Category",3,"Category2","Four-Year"))/$B110)*100</f>
        <v>0</v>
      </c>
      <c r="E110" s="32">
        <f>IF($B110&gt;0,(GETPIVOTDATA(" New Disability",'$ Pivot Table'!$A$3,"State","DE","Category",3,"Category2","Four-Year"))/$B110)*100</f>
        <v>0</v>
      </c>
      <c r="F110" s="32"/>
      <c r="G110" s="32">
        <f>IF($B110&gt;0,(GETPIVOTDATA(" New Social Security",'$ Pivot Table'!$A$3,"State","DE","Category",3,"Category2","Four-Year"))/$B110)*100</f>
        <v>0</v>
      </c>
      <c r="H110" s="32"/>
      <c r="I110" s="32">
        <f>IF($B110&gt;0,(GETPIVOTDATA(" New Unemployment",'$ Pivot Table'!$A$3,"State","DE","Category",3,"Category2","Four-Year"))/$B110)*100</f>
        <v>0</v>
      </c>
      <c r="J110" s="32">
        <f>IF($B110&gt;0,(GETPIVOTDATA(" New Life Insurance",'$ Pivot Table'!$A$3,"State","DE","Category",3,"Category2","Four-Year"))/$B110)*100</f>
        <v>0</v>
      </c>
      <c r="K110" s="32"/>
      <c r="L110" s="32">
        <f>IF($B110&gt;0,(GETPIVOTDATA(" New Worker's Comp",'$ Pivot Table'!$A$3,"State","DE","Category",3,"Category2","Four-Year"))/$B110)*100</f>
        <v>0</v>
      </c>
      <c r="M110" s="32">
        <f>IF($B110&gt;0,(GETPIVOTDATA(" New Tuition Plans",'$ Pivot Table'!$A$3,"State","DE","Category",3,"Category2","Four-Year"))/$B110)*100</f>
        <v>0</v>
      </c>
      <c r="N110" s="32">
        <f>IF($B110&gt;0,(GETPIVOTDATA(" New Other",'$ Pivot Table'!$A$3,"State","DE","Category",3,"Category2","Four-Year"))/$B110)*100</f>
        <v>0</v>
      </c>
      <c r="O110" s="90">
        <f>IF($B110&gt;0,(GETPIVOTDATA(" New Total",'$ Pivot Table'!$A$3,"State","DE","Category",3,"Category2","Four-Year"))/$B110)*100</f>
        <v>0</v>
      </c>
    </row>
    <row r="111" spans="1:15">
      <c r="A111" s="149" t="s">
        <v>481</v>
      </c>
      <c r="B111" s="617">
        <f>+'[2]NEW Tables 143-162'!F13</f>
        <v>66913.886719607835</v>
      </c>
      <c r="C111" s="32">
        <f>IF($B111&gt;0,(GETPIVOTDATA(" New Retirement",'$ Pivot Table'!$A$3,"State","FL","Category",3,"Category2","Four-Year"))/$B111)*100</f>
        <v>11.363237687513305</v>
      </c>
      <c r="D111" s="32">
        <f>IF($B111&gt;0,(GETPIVOTDATA(" New Health",'$ Pivot Table'!$A$3,"State","FL","Category",3,"Category2","Four-Year"))/$B111)*100</f>
        <v>12.103778913380323</v>
      </c>
      <c r="E111" s="32">
        <f>IF($B111&gt;0,(GETPIVOTDATA(" New Disability",'$ Pivot Table'!$A$3,"State","FL","Category",3,"Category2","Four-Year"))/$B111)*100</f>
        <v>0</v>
      </c>
      <c r="F111" s="32"/>
      <c r="G111" s="32">
        <f>IF($B111&gt;0,(GETPIVOTDATA(" New Social Security",'$ Pivot Table'!$A$3,"State","FL","Category",3,"Category2","Four-Year"))/$B111)*100</f>
        <v>7.2405852452072077</v>
      </c>
      <c r="H111" s="32"/>
      <c r="I111" s="32">
        <f>IF($B111&gt;0,(GETPIVOTDATA(" New Unemployment",'$ Pivot Table'!$A$3,"State","FL","Category",3,"Category2","Four-Year"))/$B111)*100</f>
        <v>0.54065243297986698</v>
      </c>
      <c r="J111" s="32">
        <f>IF($B111&gt;0,(GETPIVOTDATA(" New Life Insurance",'$ Pivot Table'!$A$3,"State","FL","Category",3,"Category2","Four-Year"))/$B111)*100</f>
        <v>0.20540211323786151</v>
      </c>
      <c r="K111" s="32"/>
      <c r="L111" s="32">
        <f>IF($B111&gt;0,(GETPIVOTDATA(" New Worker's Comp",'$ Pivot Table'!$A$3,"State","FL","Category",3,"Category2","Four-Year"))/$B111)*100</f>
        <v>0.71279172385458334</v>
      </c>
      <c r="M111" s="32">
        <f>IF($B111&gt;0,(GETPIVOTDATA(" New Tuition Plans",'$ Pivot Table'!$A$3,"State","FL","Category",3,"Category2","Four-Year"))/$B111)*100</f>
        <v>0</v>
      </c>
      <c r="N111" s="32">
        <f>IF($B111&gt;0,(GETPIVOTDATA(" New Other",'$ Pivot Table'!$A$3,"State","FL","Category",3,"Category2","Four-Year"))/$B111)*100</f>
        <v>0.29998720135111839</v>
      </c>
      <c r="O111" s="90">
        <f>IF($B111&gt;0,(GETPIVOTDATA(" New Total",'$ Pivot Table'!$A$3,"State","FL","Category",3,"Category2","Four-Year"))/$B111)*100</f>
        <v>29.820291891442452</v>
      </c>
    </row>
    <row r="112" spans="1:15">
      <c r="A112" s="149"/>
      <c r="B112" s="617">
        <f>+'[2]NEW Tables 143-162'!F14</f>
        <v>0</v>
      </c>
      <c r="C112" s="32"/>
      <c r="D112" s="34"/>
      <c r="E112" s="32"/>
      <c r="F112" s="32"/>
      <c r="G112" s="32"/>
      <c r="H112" s="32"/>
      <c r="I112" s="32"/>
      <c r="J112" s="32"/>
      <c r="K112" s="32"/>
      <c r="L112" s="32"/>
      <c r="M112" s="32"/>
      <c r="N112" s="32"/>
      <c r="O112" s="90"/>
    </row>
    <row r="113" spans="1:15">
      <c r="A113" s="149" t="s">
        <v>482</v>
      </c>
      <c r="B113" s="617">
        <f>+'[2]NEW Tables 143-162'!F15</f>
        <v>60750.07001122785</v>
      </c>
      <c r="C113" s="32">
        <f>IF($B113&gt;0,(GETPIVOTDATA(" New Retirement",'$ Pivot Table'!$A$3,"State","GA","Category",3,"Category2","Four-Year"))/$B113)*100</f>
        <v>9.2970646244721387</v>
      </c>
      <c r="D113" s="32">
        <f>IF($B113&gt;0,(GETPIVOTDATA(" New Health",'$ Pivot Table'!$A$3,"State","GA","Category",3,"Category2","Four-Year"))/$B113)*100</f>
        <v>10.690195162072879</v>
      </c>
      <c r="E113" s="32">
        <f>IF($B113&gt;0,(GETPIVOTDATA(" New Disability",'$ Pivot Table'!$A$3,"State","GA","Category",3,"Category2","Four-Year"))/$B113)*100</f>
        <v>0</v>
      </c>
      <c r="F113" s="32"/>
      <c r="G113" s="32">
        <f>IF($B113&gt;0,(GETPIVOTDATA(" New Social Security",'$ Pivot Table'!$A$3,"State","GA","Category",3,"Category2","Four-Year"))/$B113)*100</f>
        <v>7.4369493007557939</v>
      </c>
      <c r="H113" s="32"/>
      <c r="I113" s="32">
        <f>IF($B113&gt;0,(GETPIVOTDATA(" New Unemployment",'$ Pivot Table'!$A$3,"State","GA","Category",3,"Category2","Four-Year"))/$B113)*100</f>
        <v>0.23209849795060375</v>
      </c>
      <c r="J113" s="32">
        <f>IF($B113&gt;0,(GETPIVOTDATA(" New Life Insurance",'$ Pivot Table'!$A$3,"State","GA","Category",3,"Category2","Four-Year"))/$B113)*100</f>
        <v>0.29162835677490634</v>
      </c>
      <c r="K113" s="32"/>
      <c r="L113" s="32">
        <f>IF($B113&gt;0,(GETPIVOTDATA(" New Worker's Comp",'$ Pivot Table'!$A$3,"State","GA","Category",3,"Category2","Four-Year"))/$B113)*100</f>
        <v>0.20900032235534957</v>
      </c>
      <c r="M113" s="32">
        <f>IF($B113&gt;0,(GETPIVOTDATA(" New Tuition Plans",'$ Pivot Table'!$A$3,"State","GA","Category",3,"Category2","Four-Year"))/$B113)*100</f>
        <v>0</v>
      </c>
      <c r="N113" s="32">
        <f>IF($B113&gt;0,(GETPIVOTDATA(" New Other",'$ Pivot Table'!$A$3,"State","GA","Category",3,"Category2","Four-Year"))/$B113)*100</f>
        <v>0</v>
      </c>
      <c r="O113" s="90">
        <f>IF($B113&gt;0,(GETPIVOTDATA(" New Total",'$ Pivot Table'!$A$3,"State","GA","Category",3,"Category2","Four-Year"))/$B113)*100</f>
        <v>26.223199210564818</v>
      </c>
    </row>
    <row r="114" spans="1:15">
      <c r="A114" s="149" t="s">
        <v>483</v>
      </c>
      <c r="B114" s="617">
        <f>+'[2]NEW Tables 143-162'!F16</f>
        <v>59655.037797591489</v>
      </c>
      <c r="C114" s="32">
        <f>IF($B114&gt;0,(GETPIVOTDATA(" New Retirement",'$ Pivot Table'!$A$3,"State","KY","Category",3,"Category2","Four-Year"))/$B114)*100</f>
        <v>13.457913619007348</v>
      </c>
      <c r="D114" s="32">
        <f>IF($B114&gt;0,(GETPIVOTDATA(" New Health",'$ Pivot Table'!$A$3,"State","KY","Category",3,"Category2","Four-Year"))/$B114)*100</f>
        <v>9.0345611768083565</v>
      </c>
      <c r="E114" s="32">
        <f>IF($B114&gt;0,(GETPIVOTDATA(" New Disability",'$ Pivot Table'!$A$3,"State","KY","Category",3,"Category2","Four-Year"))/$B114)*100</f>
        <v>0.17776399888086741</v>
      </c>
      <c r="F114" s="32"/>
      <c r="G114" s="32">
        <f>IF($B114&gt;0,(GETPIVOTDATA(" New Social Security",'$ Pivot Table'!$A$3,"State","KY","Category",3,"Category2","Four-Year"))/$B114)*100</f>
        <v>7.6352123146174566</v>
      </c>
      <c r="H114" s="32"/>
      <c r="I114" s="32">
        <f>IF($B114&gt;0,(GETPIVOTDATA(" New Unemployment",'$ Pivot Table'!$A$3,"State","KY","Category",3,"Category2","Four-Year"))/$B114)*100</f>
        <v>0.25145166236982402</v>
      </c>
      <c r="J114" s="32">
        <f>IF($B114&gt;0,(GETPIVOTDATA(" New Life Insurance",'$ Pivot Table'!$A$3,"State","KY","Category",3,"Category2","Four-Year"))/$B114)*100</f>
        <v>6.0803513750081452E-2</v>
      </c>
      <c r="K114" s="32"/>
      <c r="L114" s="32">
        <f>IF($B114&gt;0,(GETPIVOTDATA(" New Worker's Comp",'$ Pivot Table'!$A$3,"State","KY","Category",3,"Category2","Four-Year"))/$B114)*100</f>
        <v>0.38353938880802213</v>
      </c>
      <c r="M114" s="32">
        <f>IF($B114&gt;0,(GETPIVOTDATA(" New Tuition Plans",'$ Pivot Table'!$A$3,"State","KY","Category",3,"Category2","Four-Year"))/$B114)*100</f>
        <v>4.3919972491466615</v>
      </c>
      <c r="N114" s="32">
        <f>IF($B114&gt;0,(GETPIVOTDATA(" New Other",'$ Pivot Table'!$A$3,"State","KY","Category",3,"Category2","Four-Year"))/$B114)*100</f>
        <v>0.35037898607446533</v>
      </c>
      <c r="O114" s="90">
        <f>IF($B114&gt;0,(GETPIVOTDATA(" New Total",'$ Pivot Table'!$A$3,"State","KY","Category",3,"Category2","Four-Year"))/$B114)*100</f>
        <v>30.799932845804388</v>
      </c>
    </row>
    <row r="115" spans="1:15">
      <c r="A115" s="149" t="s">
        <v>484</v>
      </c>
      <c r="B115" s="617">
        <f>+'[2]NEW Tables 143-162'!F17</f>
        <v>60355.430876537219</v>
      </c>
      <c r="C115" s="32">
        <f>IF($B115&gt;0,(GETPIVOTDATA(" New Retirement",'$ Pivot Table'!$A$3,"State","LA","Category",3,"Category2","Four-Year"))/$B115)*100</f>
        <v>14.302101429631566</v>
      </c>
      <c r="D115" s="32">
        <f>IF($B115&gt;0,(GETPIVOTDATA(" New Health",'$ Pivot Table'!$A$3,"State","LA","Category",3,"Category2","Four-Year"))/$B115)*100</f>
        <v>9.4739744958090846</v>
      </c>
      <c r="E115" s="32">
        <f>IF($B115&gt;0,(GETPIVOTDATA(" New Disability",'$ Pivot Table'!$A$3,"State","LA","Category",3,"Category2","Four-Year"))/$B115)*100</f>
        <v>0</v>
      </c>
      <c r="F115" s="32"/>
      <c r="G115" s="32">
        <f>IF($B115&gt;0,(GETPIVOTDATA(" New Social Security",'$ Pivot Table'!$A$3,"State","LA","Category",3,"Category2","Four-Year"))/$B115)*100</f>
        <v>1.3303702975203682</v>
      </c>
      <c r="H115" s="32"/>
      <c r="I115" s="32">
        <f>IF($B115&gt;0,(GETPIVOTDATA(" New Unemployment",'$ Pivot Table'!$A$3,"State","LA","Category",3,"Category2","Four-Year"))/$B115)*100</f>
        <v>0.22923464143363506</v>
      </c>
      <c r="J115" s="32">
        <f>IF($B115&gt;0,(GETPIVOTDATA(" New Life Insurance",'$ Pivot Table'!$A$3,"State","LA","Category",3,"Category2","Four-Year"))/$B115)*100</f>
        <v>0.32218139670191465</v>
      </c>
      <c r="K115" s="32"/>
      <c r="L115" s="32">
        <f>IF($B115&gt;0,(GETPIVOTDATA(" New Worker's Comp",'$ Pivot Table'!$A$3,"State","LA","Category",3,"Category2","Four-Year"))/$B115)*100</f>
        <v>0.76001622390038748</v>
      </c>
      <c r="M115" s="32">
        <f>IF($B115&gt;0,(GETPIVOTDATA(" New Tuition Plans",'$ Pivot Table'!$A$3,"State","LA","Category",3,"Category2","Four-Year"))/$B115)*100</f>
        <v>2.6821159389788174</v>
      </c>
      <c r="N115" s="32">
        <f>IF($B115&gt;0,(GETPIVOTDATA(" New Other",'$ Pivot Table'!$A$3,"State","LA","Category",3,"Category2","Four-Year"))/$B115)*100</f>
        <v>0</v>
      </c>
      <c r="O115" s="90">
        <f>IF($B115&gt;0,(GETPIVOTDATA(" New Total",'$ Pivot Table'!$A$3,"State","LA","Category",3,"Category2","Four-Year"))/$B115)*100</f>
        <v>22.768594443503197</v>
      </c>
    </row>
    <row r="116" spans="1:15">
      <c r="A116" s="149" t="s">
        <v>485</v>
      </c>
      <c r="B116" s="617">
        <f>+'[2]NEW Tables 143-162'!F18</f>
        <v>73478.638005117275</v>
      </c>
      <c r="C116" s="32">
        <f>IF($B116&gt;0,(GETPIVOTDATA(" New Retirement",'$ Pivot Table'!$A$3,"State","MD","Category",3,"Category2","Four-Year"))/$B116)*100</f>
        <v>8.1532697548172095</v>
      </c>
      <c r="D116" s="32">
        <f>IF($B116&gt;0,(GETPIVOTDATA(" New Health",'$ Pivot Table'!$A$3,"State","MD","Category",3,"Category2","Four-Year"))/$B116)*100</f>
        <v>13.329752269423597</v>
      </c>
      <c r="E116" s="32">
        <f>IF($B116&gt;0,(GETPIVOTDATA(" New Disability",'$ Pivot Table'!$A$3,"State","MD","Category",3,"Category2","Four-Year"))/$B116)*100</f>
        <v>0</v>
      </c>
      <c r="F116" s="32"/>
      <c r="G116" s="32">
        <f>IF($B116&gt;0,(GETPIVOTDATA(" New Social Security",'$ Pivot Table'!$A$3,"State","MD","Category",3,"Category2","Four-Year"))/$B116)*100</f>
        <v>6.8323339383230346</v>
      </c>
      <c r="H116" s="32"/>
      <c r="I116" s="32">
        <f>IF($B116&gt;0,(GETPIVOTDATA(" New Unemployment",'$ Pivot Table'!$A$3,"State","MD","Category",3,"Category2","Four-Year"))/$B116)*100</f>
        <v>0.12755942939157869</v>
      </c>
      <c r="J116" s="32">
        <f>IF($B116&gt;0,(GETPIVOTDATA(" New Life Insurance",'$ Pivot Table'!$A$3,"State","MD","Category",3,"Category2","Four-Year"))/$B116)*100</f>
        <v>0</v>
      </c>
      <c r="K116" s="32"/>
      <c r="L116" s="32">
        <f>IF($B116&gt;0,(GETPIVOTDATA(" New Worker's Comp",'$ Pivot Table'!$A$3,"State","MD","Category",3,"Category2","Four-Year"))/$B116)*100</f>
        <v>0.26299745682282982</v>
      </c>
      <c r="M116" s="32">
        <f>IF($B116&gt;0,(GETPIVOTDATA(" New Tuition Plans",'$ Pivot Table'!$A$3,"State","MD","Category",3,"Category2","Four-Year"))/$B116)*100</f>
        <v>5.3217175597661761</v>
      </c>
      <c r="N116" s="32">
        <f>IF($B116&gt;0,(GETPIVOTDATA(" New Other",'$ Pivot Table'!$A$3,"State","MD","Category",3,"Category2","Four-Year"))/$B116)*100</f>
        <v>0</v>
      </c>
      <c r="O116" s="90">
        <f>IF($B116&gt;0,(GETPIVOTDATA(" New Total",'$ Pivot Table'!$A$3,"State","MD","Category",3,"Category2","Four-Year"))/$B116)*100</f>
        <v>28.574358214617813</v>
      </c>
    </row>
    <row r="117" spans="1:15">
      <c r="A117" s="149"/>
      <c r="B117" s="617">
        <f>+'[2]NEW Tables 143-162'!F19</f>
        <v>0</v>
      </c>
      <c r="C117" s="32"/>
      <c r="D117" s="34"/>
      <c r="E117" s="32"/>
      <c r="F117" s="32"/>
      <c r="G117" s="32"/>
      <c r="H117" s="32"/>
      <c r="I117" s="32"/>
      <c r="J117" s="32"/>
      <c r="K117" s="32"/>
      <c r="L117" s="32"/>
      <c r="M117" s="32"/>
      <c r="N117" s="32"/>
      <c r="O117" s="90"/>
    </row>
    <row r="118" spans="1:15">
      <c r="A118" s="149" t="s">
        <v>486</v>
      </c>
      <c r="B118" s="617">
        <f>+'[2]NEW Tables 143-162'!F20</f>
        <v>0</v>
      </c>
      <c r="C118" s="32">
        <f>IF($B118&gt;0,(GETPIVOTDATA(" New Retirement",'$ Pivot Table'!$A$3,"State","MS","Category",3,"Category2","Four-Year"))/$B118)*100</f>
        <v>0</v>
      </c>
      <c r="D118" s="32">
        <f>IF($B118&gt;0,(GETPIVOTDATA(" New Health",'$ Pivot Table'!$A$3,"State","MS","Category",3,"Category2","Four-Year"))/$B118)*100</f>
        <v>0</v>
      </c>
      <c r="E118" s="32">
        <f>IF($B118&gt;0,(GETPIVOTDATA(" New Disability",'$ Pivot Table'!$A$3,"State","MS","Category",3,"Category2","Four-Year"))/$B118)*100</f>
        <v>0</v>
      </c>
      <c r="F118" s="32"/>
      <c r="G118" s="32">
        <f>IF($B118&gt;0,(GETPIVOTDATA(" New Social Security",'$ Pivot Table'!$A$3,"State","MS","Category",3,"Category2","Four-Year"))/$B118)*100</f>
        <v>0</v>
      </c>
      <c r="H118" s="32"/>
      <c r="I118" s="32">
        <f>IF($B118&gt;0,(GETPIVOTDATA(" New Unemployment",'$ Pivot Table'!$A$3,"State","MS","Category",3,"Category2","Four-Year"))/$B118)*100</f>
        <v>0</v>
      </c>
      <c r="J118" s="32">
        <f>IF($B118&gt;0,(GETPIVOTDATA(" New Life Insurance",'$ Pivot Table'!$A$3,"State","MS","Category",3,"Category2","Four-Year"))/$B118)*100</f>
        <v>0</v>
      </c>
      <c r="K118" s="87"/>
      <c r="L118" s="32">
        <f>IF($B118&gt;0,(GETPIVOTDATA(" New Worker's Comp",'$ Pivot Table'!$A$3,"State","MS","Category",3,"Category2","Four-Year"))/$B118)*100</f>
        <v>0</v>
      </c>
      <c r="M118" s="32">
        <f>IF($B118&gt;0,(GETPIVOTDATA(" New Tuition Plans",'$ Pivot Table'!$A$3,"State","MS","Category",3,"Category2","Four-Year"))/$B118)*100</f>
        <v>0</v>
      </c>
      <c r="N118" s="32">
        <f>IF($B118&gt;0,(GETPIVOTDATA(" New Other",'$ Pivot Table'!$A$3,"State","MS","Category",3,"Category2","Four-Year"))/$B118)*100</f>
        <v>0</v>
      </c>
      <c r="O118" s="90">
        <f>IF($B118&gt;0,(GETPIVOTDATA(" New Total",'$ Pivot Table'!$A$3,"State","MS","Category",3,"Category2","Four-Year"))/$B118)*100</f>
        <v>0</v>
      </c>
    </row>
    <row r="119" spans="1:15">
      <c r="A119" s="149" t="s">
        <v>487</v>
      </c>
      <c r="B119" s="617">
        <f>+'[2]NEW Tables 143-162'!F21</f>
        <v>70350.753561480407</v>
      </c>
      <c r="C119" s="32">
        <f>IF($B119&gt;0,(GETPIVOTDATA(" New Retirement",'$ Pivot Table'!$A$3,"State","NC","Category",3,"Category2","Four-Year"))/$B119)*100</f>
        <v>11.46728325802478</v>
      </c>
      <c r="D119" s="32">
        <f>IF($B119&gt;0,(GETPIVOTDATA(" New Health",'$ Pivot Table'!$A$3,"State","NC","Category",3,"Category2","Four-Year"))/$B119)*100</f>
        <v>7.0077429884124989</v>
      </c>
      <c r="E119" s="32">
        <f>IF($B119&gt;0,(GETPIVOTDATA(" New Disability",'$ Pivot Table'!$A$3,"State","NC","Category",3,"Category2","Four-Year"))/$B119)*100</f>
        <v>0.51999313559581994</v>
      </c>
      <c r="F119" s="32"/>
      <c r="G119" s="32">
        <f>IF($B119&gt;0,(GETPIVOTDATA(" New Social Security",'$ Pivot Table'!$A$3,"State","NC","Category",3,"Category2","Four-Year"))/$B119)*100</f>
        <v>7.5510323802171095</v>
      </c>
      <c r="H119" s="32"/>
      <c r="I119" s="32">
        <f>IF($B119&gt;0,(GETPIVOTDATA(" New Unemployment",'$ Pivot Table'!$A$3,"State","NC","Category",3,"Category2","Four-Year"))/$B119)*100</f>
        <v>9.0019904302857431E-2</v>
      </c>
      <c r="J119" s="32">
        <f>IF($B119&gt;0,(GETPIVOTDATA(" New Life Insurance",'$ Pivot Table'!$A$3,"State","NC","Category",3,"Category2","Four-Year"))/$B119)*100</f>
        <v>0.14876358845929949</v>
      </c>
      <c r="K119" s="85"/>
      <c r="L119" s="32">
        <f>IF($B119&gt;0,(GETPIVOTDATA(" New Worker's Comp",'$ Pivot Table'!$A$3,"State","NC","Category",3,"Category2","Four-Year"))/$B119)*100</f>
        <v>0.87001081906037769</v>
      </c>
      <c r="M119" s="32">
        <f>IF($B119&gt;0,(GETPIVOTDATA(" New Tuition Plans",'$ Pivot Table'!$A$3,"State","NC","Category",3,"Category2","Four-Year"))/$B119)*100</f>
        <v>0</v>
      </c>
      <c r="N119" s="32">
        <f>IF($B119&gt;0,(GETPIVOTDATA(" New Other",'$ Pivot Table'!$A$3,"State","NC","Category",3,"Category2","Four-Year"))/$B119)*100</f>
        <v>0</v>
      </c>
      <c r="O119" s="90">
        <f>IF($B119&gt;0,(GETPIVOTDATA(" New Total",'$ Pivot Table'!$A$3,"State","NC","Category",3,"Category2","Four-Year"))/$B119)*100</f>
        <v>27.546868412227806</v>
      </c>
    </row>
    <row r="120" spans="1:15">
      <c r="A120" s="149" t="s">
        <v>488</v>
      </c>
      <c r="B120" s="617">
        <f>+'[2]NEW Tables 143-162'!F22</f>
        <v>58660.915931626121</v>
      </c>
      <c r="C120" s="32">
        <f>IF($B120&gt;0,(GETPIVOTDATA(" New Retirement",'$ Pivot Table'!$A$3,"State","OK","Category",3,"Category2","Four-Year"))/$B120)*100</f>
        <v>9.8052953506356033</v>
      </c>
      <c r="D120" s="32">
        <f>IF($B120&gt;0,(GETPIVOTDATA(" New Health",'$ Pivot Table'!$A$3,"State","OK","Category",3,"Category2","Four-Year"))/$B120)*100</f>
        <v>8.882266175412644</v>
      </c>
      <c r="E120" s="32">
        <f>IF($B120&gt;0,(GETPIVOTDATA(" New Disability",'$ Pivot Table'!$A$3,"State","OK","Category",3,"Category2","Four-Year"))/$B120)*100</f>
        <v>0</v>
      </c>
      <c r="F120" s="32"/>
      <c r="G120" s="32">
        <f>IF($B120&gt;0,(GETPIVOTDATA(" New Social Security",'$ Pivot Table'!$A$3,"State","OK","Category",3,"Category2","Four-Year"))/$B120)*100</f>
        <v>7.4602668537436845</v>
      </c>
      <c r="H120" s="32"/>
      <c r="I120" s="32">
        <f>IF($B120&gt;0,(GETPIVOTDATA(" New Unemployment",'$ Pivot Table'!$A$3,"State","OK","Category",3,"Category2","Four-Year"))/$B120)*100</f>
        <v>0.10830054154410144</v>
      </c>
      <c r="J120" s="32">
        <f>IF($B120&gt;0,(GETPIVOTDATA(" New Life Insurance",'$ Pivot Table'!$A$3,"State","OK","Category",3,"Category2","Four-Year"))/$B120)*100</f>
        <v>0.63149819992717793</v>
      </c>
      <c r="K120" s="32"/>
      <c r="L120" s="32">
        <f>IF($B120&gt;0,(GETPIVOTDATA(" New Worker's Comp",'$ Pivot Table'!$A$3,"State","OK","Category",3,"Category2","Four-Year"))/$B120)*100</f>
        <v>0.56973353344918443</v>
      </c>
      <c r="M120" s="32">
        <f>IF($B120&gt;0,(GETPIVOTDATA(" New Tuition Plans",'$ Pivot Table'!$A$3,"State","OK","Category",3,"Category2","Four-Year"))/$B120)*100</f>
        <v>0</v>
      </c>
      <c r="N120" s="32">
        <f>IF($B120&gt;0,(GETPIVOTDATA(" New Other",'$ Pivot Table'!$A$3,"State","OK","Category",3,"Category2","Four-Year"))/$B120)*100</f>
        <v>0.36569467582277765</v>
      </c>
      <c r="O120" s="90">
        <f>IF($B120&gt;0,(GETPIVOTDATA(" New Total",'$ Pivot Table'!$A$3,"State","OK","Category",3,"Category2","Four-Year"))/$B120)*100</f>
        <v>27.730132031574435</v>
      </c>
    </row>
    <row r="121" spans="1:15">
      <c r="A121" s="149" t="s">
        <v>489</v>
      </c>
      <c r="B121" s="617">
        <f>+'[2]NEW Tables 143-162'!F23</f>
        <v>63806.403644221107</v>
      </c>
      <c r="C121" s="32">
        <f>IF($B121&gt;0,(GETPIVOTDATA(" New Retirement",'$ Pivot Table'!$A$3,"State","SC","Category",3,"Category2","Four-Year"))/$B121)*100</f>
        <v>13.276014281473634</v>
      </c>
      <c r="D121" s="32">
        <f>IF($B121&gt;0,(GETPIVOTDATA(" New Health",'$ Pivot Table'!$A$3,"State","SC","Category",3,"Category2","Four-Year"))/$B121)*100</f>
        <v>11.064525227759189</v>
      </c>
      <c r="E121" s="32">
        <f>IF($B121&gt;0,(GETPIVOTDATA(" New Disability",'$ Pivot Table'!$A$3,"State","SC","Category",3,"Category2","Four-Year"))/$B121)*100</f>
        <v>6.0626230089886386E-2</v>
      </c>
      <c r="F121" s="32"/>
      <c r="G121" s="32">
        <f>IF($B121&gt;0,(GETPIVOTDATA(" New Social Security",'$ Pivot Table'!$A$3,"State","SC","Category",3,"Category2","Four-Year"))/$B121)*100</f>
        <v>7.657617965175012</v>
      </c>
      <c r="H121" s="32"/>
      <c r="I121" s="32">
        <f>IF($B121&gt;0,(GETPIVOTDATA(" New Unemployment",'$ Pivot Table'!$A$3,"State","SC","Category",3,"Category2","Four-Year"))/$B121)*100</f>
        <v>0.15270950350745899</v>
      </c>
      <c r="J121" s="32">
        <f>IF($B121&gt;0,(GETPIVOTDATA(" New Life Insurance",'$ Pivot Table'!$A$3,"State","SC","Category",3,"Category2","Four-Year"))/$B121)*100</f>
        <v>9.9644548797311411E-2</v>
      </c>
      <c r="K121" s="87"/>
      <c r="L121" s="32">
        <f>IF($B121&gt;0,(GETPIVOTDATA(" New Worker's Comp",'$ Pivot Table'!$A$3,"State","SC","Category",3,"Category2","Four-Year"))/$B121)*100</f>
        <v>1.1939040085250354</v>
      </c>
      <c r="M121" s="32">
        <f>IF($B121&gt;0,(GETPIVOTDATA(" New Tuition Plans",'$ Pivot Table'!$A$3,"State","SC","Category",3,"Category2","Four-Year"))/$B121)*100</f>
        <v>0</v>
      </c>
      <c r="N121" s="32">
        <f>IF($B121&gt;0,(GETPIVOTDATA(" New Other",'$ Pivot Table'!$A$3,"State","SC","Category",3,"Category2","Four-Year"))/$B121)*100</f>
        <v>0</v>
      </c>
      <c r="O121" s="90">
        <f>IF($B121&gt;0,(GETPIVOTDATA(" New Total",'$ Pivot Table'!$A$3,"State","SC","Category",3,"Category2","Four-Year"))/$B121)*100</f>
        <v>33.496747107169341</v>
      </c>
    </row>
    <row r="122" spans="1:15">
      <c r="A122" s="149"/>
      <c r="B122" s="617">
        <f>+'[2]NEW Tables 143-162'!F24</f>
        <v>0</v>
      </c>
      <c r="C122" s="32"/>
      <c r="D122" s="34"/>
      <c r="E122" s="32"/>
      <c r="F122" s="32"/>
      <c r="G122" s="32"/>
      <c r="H122" s="32"/>
      <c r="I122" s="32"/>
      <c r="J122" s="32"/>
      <c r="K122" s="32"/>
      <c r="L122" s="32"/>
      <c r="M122" s="32"/>
      <c r="N122" s="32"/>
      <c r="O122" s="90"/>
    </row>
    <row r="123" spans="1:15">
      <c r="A123" s="149" t="s">
        <v>490</v>
      </c>
      <c r="B123" s="617">
        <f>+'[2]NEW Tables 143-162'!F25</f>
        <v>59543.306989647062</v>
      </c>
      <c r="C123" s="28">
        <f>IF($B123&gt;0,(GETPIVOTDATA(" New Retirement",'$ Pivot Table'!$A$3,"State","TN","Category",3,"Category2","Four-Year"))/$B123)*100</f>
        <v>11.916713698628682</v>
      </c>
      <c r="D123" s="28">
        <f>IF($B123&gt;0,(GETPIVOTDATA(" New Health",'$ Pivot Table'!$A$3,"State","TN","Category",3,"Category2","Four-Year"))/$B123)*100</f>
        <v>15.474679044273776</v>
      </c>
      <c r="E123" s="28">
        <f>IF($B123&gt;0,(GETPIVOTDATA(" New Disability",'$ Pivot Table'!$A$3,"State","TN","Category",3,"Category2","Four-Year"))/$B123)*100</f>
        <v>0</v>
      </c>
      <c r="F123" s="28"/>
      <c r="G123" s="28">
        <f>IF($B123&gt;0,(GETPIVOTDATA(" New Social Security",'$ Pivot Table'!$A$3,"State","TN","Category",3,"Category2","Four-Year"))/$B123)*100</f>
        <v>7.246302844810967</v>
      </c>
      <c r="H123" s="28"/>
      <c r="I123" s="28">
        <f>IF($B123&gt;0,(GETPIVOTDATA(" New Unemployment",'$ Pivot Table'!$A$3,"State","TN","Category",3,"Category2","Four-Year"))/$B123)*100</f>
        <v>6.3085142444730416E-2</v>
      </c>
      <c r="J123" s="28">
        <f>IF($B123&gt;0,(GETPIVOTDATA(" New Life Insurance",'$ Pivot Table'!$A$3,"State","TN","Category",3,"Category2","Four-Year"))/$B123)*100</f>
        <v>9.3438309182150792E-2</v>
      </c>
      <c r="K123" s="28"/>
      <c r="L123" s="28">
        <f>IF($B123&gt;0,(GETPIVOTDATA(" New Worker's Comp",'$ Pivot Table'!$A$3,"State","TN","Category",3,"Category2","Four-Year"))/$B123)*100</f>
        <v>0.21476104371863261</v>
      </c>
      <c r="M123" s="28">
        <f>IF($B123&gt;0,(GETPIVOTDATA(" New Tuition Plans",'$ Pivot Table'!$A$3,"State","TN","Category",3,"Category2","Four-Year"))/$B123)*100</f>
        <v>4.4521037856065453</v>
      </c>
      <c r="N123" s="28">
        <f>IF($B123&gt;0,(GETPIVOTDATA(" New Other",'$ Pivot Table'!$A$3,"State","TN","Category",3,"Category2","Four-Year"))/$B123)*100</f>
        <v>3.208336498142113</v>
      </c>
      <c r="O123" s="86">
        <f>IF($B123&gt;0,(GETPIVOTDATA(" New Total",'$ Pivot Table'!$A$3,"State","TN","Category",3,"Category2","Four-Year"))/$B123)*100</f>
        <v>34.655439313422022</v>
      </c>
    </row>
    <row r="124" spans="1:15">
      <c r="A124" s="149" t="s">
        <v>491</v>
      </c>
      <c r="B124" s="617">
        <f>+'[2]NEW Tables 143-162'!F26</f>
        <v>64249.899436168693</v>
      </c>
      <c r="C124" s="28">
        <f>IF($B124&gt;0,(GETPIVOTDATA(" New Retirement",'$ Pivot Table'!$A$3,"State","TX","Category",3,"Category2","Four-Year"))/$B124)*100</f>
        <v>7.2656388265847571</v>
      </c>
      <c r="D124" s="28">
        <f>IF($B124&gt;0,(GETPIVOTDATA(" New Health",'$ Pivot Table'!$A$3,"State","TX","Category",3,"Category2","Four-Year"))/$B124)*100</f>
        <v>7.3940439271065834</v>
      </c>
      <c r="E124" s="58">
        <f>IF($B124&gt;0,(GETPIVOTDATA(" New Disability",'$ Pivot Table'!$A$3,"State","TX","Category",3,"Category2","Four-Year"))/$B124)*100</f>
        <v>1.5840628442330546E-2</v>
      </c>
      <c r="F124" s="87"/>
      <c r="G124" s="28">
        <f>IF($B124&gt;0,(GETPIVOTDATA(" New Social Security",'$ Pivot Table'!$A$3,"State","TX","Category",3,"Category2","Four-Year"))/$B124)*100</f>
        <v>7.1035277913041792</v>
      </c>
      <c r="H124" s="28"/>
      <c r="I124" s="28">
        <f>IF($B124&gt;0,(GETPIVOTDATA(" New Unemployment",'$ Pivot Table'!$A$3,"State","TX","Category",3,"Category2","Four-Year"))/$B124)*100</f>
        <v>0.12965745989295985</v>
      </c>
      <c r="J124" s="28">
        <f>IF($B124&gt;0,(GETPIVOTDATA(" New Life Insurance",'$ Pivot Table'!$A$3,"State","TX","Category",3,"Category2","Four-Year"))/$B124)*100</f>
        <v>0.73891268258141496</v>
      </c>
      <c r="K124" s="28"/>
      <c r="L124" s="28">
        <f>IF($B124&gt;0,(GETPIVOTDATA(" New Worker's Comp",'$ Pivot Table'!$A$3,"State","TX","Category",3,"Category2","Four-Year"))/$B124)*100</f>
        <v>0.44271060264416218</v>
      </c>
      <c r="M124" s="28">
        <f>IF($B124&gt;0,(GETPIVOTDATA(" New Tuition Plans",'$ Pivot Table'!$A$3,"State","TX","Category",3,"Category2","Four-Year"))/$B124)*100</f>
        <v>8.2834111493368834</v>
      </c>
      <c r="N124" s="28">
        <f>IF($B124&gt;0,(GETPIVOTDATA(" New Other",'$ Pivot Table'!$A$3,"State","TX","Category",3,"Category2","Four-Year"))/$B124)*100</f>
        <v>0.12112198680450056</v>
      </c>
      <c r="O124" s="86">
        <f>IF($B124&gt;0,(GETPIVOTDATA(" New Total",'$ Pivot Table'!$A$3,"State","TX","Category",3,"Category2","Four-Year"))/$B124)*100</f>
        <v>20.812738726515668</v>
      </c>
    </row>
    <row r="125" spans="1:15">
      <c r="A125" s="149" t="s">
        <v>492</v>
      </c>
      <c r="B125" s="617">
        <f>+'[2]NEW Tables 143-162'!F27</f>
        <v>67240.761729702135</v>
      </c>
      <c r="C125" s="28">
        <f>IF($B125&gt;0,(GETPIVOTDATA(" New Retirement",'$ Pivot Table'!$A$3,"State","VA","Category",3,"Category2","Four-Year"))/$B125)*100</f>
        <v>11.665367349200254</v>
      </c>
      <c r="D125" s="28">
        <f>IF($B125&gt;0,(GETPIVOTDATA(" New Health",'$ Pivot Table'!$A$3,"State","VA","Category",3,"Category2","Four-Year"))/$B125)*100</f>
        <v>11.81102723490257</v>
      </c>
      <c r="E125" s="28">
        <f>IF($B125&gt;0,(GETPIVOTDATA(" New Disability",'$ Pivot Table'!$A$3,"State","VA","Category",3,"Category2","Four-Year"))/$B125)*100</f>
        <v>0.67935109495056178</v>
      </c>
      <c r="F125" s="28"/>
      <c r="G125" s="28">
        <f>IF($B125&gt;0,(GETPIVOTDATA(" New Social Security",'$ Pivot Table'!$A$3,"State","VA","Category",3,"Category2","Four-Year"))/$B125)*100</f>
        <v>7.2502978661194577</v>
      </c>
      <c r="H125" s="28"/>
      <c r="I125" s="28">
        <f>IF($B125&gt;0,(GETPIVOTDATA(" New Unemployment",'$ Pivot Table'!$A$3,"State","VA","Category",3,"Category2","Four-Year"))/$B125)*100</f>
        <v>9.5108135650905409E-2</v>
      </c>
      <c r="J125" s="86">
        <f>IF($B125&gt;0,(GETPIVOTDATA(" New Life Insurance",'$ Pivot Table'!$A$3,"State","VA","Category",3,"Category2","Four-Year"))/$B125)*100</f>
        <v>1.02829479269485</v>
      </c>
      <c r="K125" s="87"/>
      <c r="L125" s="28">
        <f>IF($B125&gt;0,(GETPIVOTDATA(" New Worker's Comp",'$ Pivot Table'!$A$3,"State","VA","Category",3,"Category2","Four-Year"))/$B125)*100</f>
        <v>0.49570219789404951</v>
      </c>
      <c r="M125" s="28">
        <f>IF($B125&gt;0,(GETPIVOTDATA(" New Tuition Plans",'$ Pivot Table'!$A$3,"State","VA","Category",3,"Category2","Four-Year"))/$B125)*100</f>
        <v>0</v>
      </c>
      <c r="N125" s="28">
        <f>IF($B125&gt;0,(GETPIVOTDATA(" New Other",'$ Pivot Table'!$A$3,"State","VA","Category",3,"Category2","Four-Year"))/$B125)*100</f>
        <v>0</v>
      </c>
      <c r="O125" s="86">
        <f>IF($B125&gt;0,(GETPIVOTDATA(" New Total",'$ Pivot Table'!$A$3,"State","VA","Category",3,"Category2","Four-Year"))/$B125)*100</f>
        <v>32.383612859230979</v>
      </c>
    </row>
    <row r="126" spans="1:15">
      <c r="A126" s="630" t="s">
        <v>493</v>
      </c>
      <c r="B126" s="618">
        <f>+'[2]NEW Tables 143-162'!F28</f>
        <v>61513.993002928873</v>
      </c>
      <c r="C126" s="30">
        <f>IF($B126&gt;0,(GETPIVOTDATA(" New Retirement",'$ Pivot Table'!$A$3,"State","WV","Category",3,"Category2","Four-Year"))/$B126)*100</f>
        <v>6.291373239868209</v>
      </c>
      <c r="D126" s="30">
        <f>IF($B126&gt;0,(GETPIVOTDATA(" New Health",'$ Pivot Table'!$A$3,"State","WV","Category",3,"Category2","Four-Year"))/$B126)*100</f>
        <v>10.034434912499119</v>
      </c>
      <c r="E126" s="30">
        <f>IF($B126&gt;0,(GETPIVOTDATA(" New Disability",'$ Pivot Table'!$A$3,"State","WV","Category",3,"Category2","Four-Year"))/$B126)*100</f>
        <v>0</v>
      </c>
      <c r="F126" s="30"/>
      <c r="G126" s="30">
        <f>IF($B126&gt;0,(GETPIVOTDATA(" New Social Security",'$ Pivot Table'!$A$3,"State","WV","Category",3,"Category2","Four-Year"))/$B126)*100</f>
        <v>7.6500411543345512</v>
      </c>
      <c r="H126" s="30"/>
      <c r="I126" s="30">
        <f>IF($B126&gt;0,(GETPIVOTDATA(" New Unemployment",'$ Pivot Table'!$A$3,"State","WV","Category",3,"Category2","Four-Year"))/$B126)*100</f>
        <v>0</v>
      </c>
      <c r="J126" s="30">
        <f>IF($B126&gt;0,(GETPIVOTDATA(" New Life Insurance",'$ Pivot Table'!$A$3,"State","WV","Category",3,"Category2","Four-Year"))/$B126)*100</f>
        <v>0.10368090266933644</v>
      </c>
      <c r="K126" s="30"/>
      <c r="L126" s="30">
        <f>IF($B126&gt;0,(GETPIVOTDATA(" New Worker's Comp",'$ Pivot Table'!$A$3,"State","WV","Category",3,"Category2","Four-Year"))/$B126)*100</f>
        <v>0.57000306640139797</v>
      </c>
      <c r="M126" s="30">
        <f>IF($B126&gt;0,(GETPIVOTDATA(" New Tuition Plans",'$ Pivot Table'!$A$3,"State","WV","Category",3,"Category2","Four-Year"))/$B126)*100</f>
        <v>0</v>
      </c>
      <c r="N126" s="30">
        <f>IF($B126&gt;0,(GETPIVOTDATA(" New Other",'$ Pivot Table'!$A$3,"State","WV","Category",3,"Category2","Four-Year"))/$B126)*100</f>
        <v>0</v>
      </c>
      <c r="O126" s="115">
        <f>IF($B126&gt;0,(GETPIVOTDATA(" New Total",'$ Pivot Table'!$A$3,"State","WV","Category",3,"Category2","Four-Year"))/$B126)*100</f>
        <v>24.544715405061414</v>
      </c>
    </row>
    <row r="127" spans="1:15" ht="18" customHeight="1">
      <c r="A127" s="628" t="s">
        <v>14</v>
      </c>
      <c r="B127" s="45"/>
      <c r="C127" s="47"/>
      <c r="D127" s="47"/>
      <c r="E127" s="47"/>
      <c r="F127" s="47"/>
      <c r="G127" s="47"/>
      <c r="H127" s="47"/>
      <c r="I127" s="47"/>
      <c r="J127" s="47"/>
      <c r="K127" s="47"/>
      <c r="L127" s="47"/>
      <c r="M127" s="47"/>
      <c r="N127" s="47"/>
      <c r="O127" s="77"/>
    </row>
    <row r="128" spans="1:15">
      <c r="A128" s="629"/>
      <c r="B128" s="45"/>
      <c r="C128" s="54"/>
      <c r="D128" s="54"/>
      <c r="E128" s="54"/>
      <c r="F128" s="54"/>
      <c r="G128" s="54"/>
      <c r="H128" s="54"/>
      <c r="I128" s="54"/>
      <c r="J128" s="54"/>
      <c r="K128" s="54"/>
      <c r="L128" s="54"/>
      <c r="M128" s="54"/>
      <c r="N128" s="54"/>
    </row>
    <row r="129" spans="1:29">
      <c r="O129" s="637" t="s">
        <v>1321</v>
      </c>
    </row>
    <row r="130" spans="1:29" ht="18">
      <c r="A130" s="595" t="s">
        <v>1104</v>
      </c>
      <c r="B130" s="48"/>
      <c r="C130" s="48"/>
      <c r="D130" s="48"/>
      <c r="E130" s="48"/>
      <c r="F130" s="48"/>
      <c r="G130" s="48"/>
      <c r="H130" s="48"/>
      <c r="I130" s="48"/>
      <c r="J130" s="48"/>
      <c r="K130" s="48"/>
      <c r="L130" s="48"/>
      <c r="M130" s="48"/>
      <c r="N130" s="48"/>
      <c r="O130" s="48"/>
    </row>
    <row r="131" spans="1:29">
      <c r="A131" s="622"/>
      <c r="B131" s="45"/>
      <c r="C131" s="54"/>
      <c r="D131" s="54"/>
      <c r="E131" s="54"/>
      <c r="F131" s="54"/>
      <c r="G131" s="54"/>
      <c r="H131" s="54"/>
      <c r="I131" s="54"/>
      <c r="J131" s="54"/>
      <c r="K131" s="54"/>
      <c r="L131" s="54"/>
      <c r="M131" s="54"/>
      <c r="N131" s="54"/>
      <c r="O131" s="145"/>
    </row>
    <row r="132" spans="1:29" ht="15.75">
      <c r="A132" s="640" t="s">
        <v>466</v>
      </c>
      <c r="B132" s="640"/>
      <c r="C132" s="640"/>
      <c r="D132" s="640"/>
      <c r="E132" s="640"/>
      <c r="F132" s="640"/>
      <c r="G132" s="640"/>
      <c r="H132" s="640"/>
      <c r="I132" s="640"/>
      <c r="J132" s="640"/>
      <c r="K132" s="640"/>
      <c r="L132" s="640"/>
      <c r="M132" s="640"/>
      <c r="N132" s="640"/>
      <c r="O132" s="640"/>
    </row>
    <row r="133" spans="1:29" ht="15.75">
      <c r="A133" s="640" t="s">
        <v>1160</v>
      </c>
      <c r="B133" s="640"/>
      <c r="C133" s="640"/>
      <c r="D133" s="640"/>
      <c r="E133" s="640"/>
      <c r="F133" s="640"/>
      <c r="G133" s="640"/>
      <c r="H133" s="640"/>
      <c r="I133" s="640"/>
      <c r="J133" s="640"/>
      <c r="K133" s="640"/>
      <c r="L133" s="640"/>
      <c r="M133" s="640"/>
      <c r="N133" s="640"/>
      <c r="O133" s="640"/>
    </row>
    <row r="134" spans="1:29">
      <c r="A134" s="148"/>
      <c r="B134" s="45"/>
      <c r="C134" s="54"/>
      <c r="D134" s="54"/>
      <c r="E134" s="54"/>
      <c r="F134" s="54"/>
      <c r="G134" s="54"/>
      <c r="H134" s="54"/>
      <c r="I134" s="54"/>
      <c r="J134" s="54"/>
      <c r="K134" s="54"/>
      <c r="L134" s="54"/>
      <c r="M134" s="54"/>
      <c r="N134" s="54"/>
      <c r="O134" s="145"/>
    </row>
    <row r="135" spans="1:29">
      <c r="A135" s="623"/>
      <c r="B135" s="2" t="s">
        <v>473</v>
      </c>
      <c r="C135" s="643" t="s">
        <v>593</v>
      </c>
      <c r="D135" s="643"/>
      <c r="E135" s="643"/>
      <c r="F135" s="643"/>
      <c r="G135" s="643"/>
      <c r="H135" s="643"/>
      <c r="I135" s="643"/>
      <c r="J135" s="643"/>
      <c r="K135" s="643"/>
      <c r="L135" s="643"/>
      <c r="M135" s="643"/>
      <c r="N135" s="643"/>
      <c r="O135" s="643"/>
    </row>
    <row r="136" spans="1:29">
      <c r="A136" s="624"/>
      <c r="B136" s="4" t="s">
        <v>474</v>
      </c>
      <c r="C136" s="3" t="s">
        <v>660</v>
      </c>
      <c r="D136" s="3"/>
      <c r="E136" s="53"/>
      <c r="F136" s="53"/>
      <c r="G136" s="3" t="s">
        <v>661</v>
      </c>
      <c r="H136" s="3"/>
      <c r="I136" s="3" t="s">
        <v>662</v>
      </c>
      <c r="J136" s="3" t="s">
        <v>663</v>
      </c>
      <c r="K136" s="3"/>
      <c r="L136" s="3" t="s">
        <v>664</v>
      </c>
      <c r="M136" s="3" t="s">
        <v>665</v>
      </c>
      <c r="N136" s="3"/>
      <c r="O136" s="124" t="s">
        <v>475</v>
      </c>
    </row>
    <row r="137" spans="1:29">
      <c r="A137" s="625"/>
      <c r="B137" s="15" t="s">
        <v>476</v>
      </c>
      <c r="C137" s="16" t="s">
        <v>667</v>
      </c>
      <c r="D137" s="16" t="s">
        <v>708</v>
      </c>
      <c r="E137" s="17" t="s">
        <v>709</v>
      </c>
      <c r="F137" s="17"/>
      <c r="G137" s="16" t="s">
        <v>668</v>
      </c>
      <c r="H137" s="16"/>
      <c r="I137" s="16" t="s">
        <v>667</v>
      </c>
      <c r="J137" s="16" t="s">
        <v>669</v>
      </c>
      <c r="K137" s="16"/>
      <c r="L137" s="16" t="s">
        <v>670</v>
      </c>
      <c r="M137" s="16" t="s">
        <v>671</v>
      </c>
      <c r="N137" s="16" t="s">
        <v>701</v>
      </c>
      <c r="O137" s="146" t="s">
        <v>15</v>
      </c>
    </row>
    <row r="138" spans="1:29">
      <c r="A138" s="149" t="s">
        <v>600</v>
      </c>
      <c r="B138" s="33">
        <f>+'[2]NEW Tables 143-162'!H8</f>
        <v>62091.455053801983</v>
      </c>
      <c r="C138" s="32">
        <f>IF($B138&gt;0,(GETPIVOTDATA(" New Retirement",'$ Pivot Table'!$A$3,"Category",4,"Category2","Four-Year"))/$B138)*100</f>
        <v>11.222593296702559</v>
      </c>
      <c r="D138" s="32">
        <f>IF($B138&gt;0,(GETPIVOTDATA(" New Health",'$ Pivot Table'!$A$3,"Category",4,"Category2","Four-Year"))/$B138)*100</f>
        <v>10.190703785904859</v>
      </c>
      <c r="E138" s="32">
        <f>IF($B138&gt;0,(GETPIVOTDATA(" New Disability",'$ Pivot Table'!$A$3,"Category",4,"Category2","Four-Year"))/$B138)*100</f>
        <v>0.34010850848210361</v>
      </c>
      <c r="F138" s="32"/>
      <c r="G138" s="32">
        <f>IF($B138&gt;0,(GETPIVOTDATA(" New Social Security",'$ Pivot Table'!$A$3,"Category",4,"Category2","Four-Year"))/$B138)*100</f>
        <v>6.9516126840452133</v>
      </c>
      <c r="H138" s="32"/>
      <c r="I138" s="32">
        <f>IF($B138&gt;0,(GETPIVOTDATA(" New Unemployment",'$ Pivot Table'!$A$3,"Category",4,"Category2","Four-Year"))/$B138)*100</f>
        <v>0.31802220809773929</v>
      </c>
      <c r="J138" s="32">
        <f>IF($B138&gt;0,(GETPIVOTDATA(" New Life Insurance",'$ Pivot Table'!$A$3,"Category",4,"Category2","Four-Year"))/$B138)*100</f>
        <v>0.36799016822899711</v>
      </c>
      <c r="K138" s="32"/>
      <c r="L138" s="32">
        <f>IF($B138&gt;0,(GETPIVOTDATA(" New Worker's Comp",'$ Pivot Table'!$A$3,"Category",4,"Category2","Four-Year"))/$B138)*100</f>
        <v>0.53741501087989429</v>
      </c>
      <c r="M138" s="32">
        <f>IF($B138&gt;0,(GETPIVOTDATA(" New Tuition Plans",'$ Pivot Table'!$A$3,"Category",4,"Category2","Four-Year"))/$B138)*100</f>
        <v>1.9719090508594079</v>
      </c>
      <c r="N138" s="32">
        <f>IF($B138&gt;0,(GETPIVOTDATA(" New Other",'$ Pivot Table'!$A$3,"Category",4,"Category2","Four-Year"))/$B138)*100</f>
        <v>0</v>
      </c>
      <c r="O138" s="90">
        <f>IF($B138&gt;0,(GETPIVOTDATA(" New Total",'$ Pivot Table'!$A$3,"Category",4,"Category2","Four-Year"))/$B138)*100</f>
        <v>27.738453165569403</v>
      </c>
      <c r="T138" s="104"/>
    </row>
    <row r="139" spans="1:29">
      <c r="A139" s="149"/>
      <c r="B139" s="31">
        <f>+'[3]NEW Tables 144-163'!H9</f>
        <v>0</v>
      </c>
      <c r="C139" s="32"/>
      <c r="D139" s="34"/>
      <c r="E139" s="32"/>
      <c r="F139" s="32"/>
      <c r="G139" s="32"/>
      <c r="H139" s="32"/>
      <c r="I139" s="32"/>
      <c r="J139" s="32"/>
      <c r="K139" s="32"/>
      <c r="L139" s="32"/>
      <c r="M139" s="32"/>
      <c r="N139" s="32"/>
      <c r="O139" s="90"/>
      <c r="T139" s="104"/>
    </row>
    <row r="140" spans="1:29">
      <c r="A140" s="149" t="s">
        <v>479</v>
      </c>
      <c r="B140" s="617">
        <f>+'[2]NEW Tables 143-162'!H10</f>
        <v>63609.936787779436</v>
      </c>
      <c r="C140" s="32">
        <f>IF($B140&gt;0,(GETPIVOTDATA(" New Retirement",'$ Pivot Table'!$A$3,"State","AL","Category",4,"Category2","Four-Year"))/$B140)*100</f>
        <v>13.063022172604233</v>
      </c>
      <c r="D140" s="32">
        <f>IF($B140&gt;0,(GETPIVOTDATA(" New Health",'$ Pivot Table'!$A$3,"State","AL","Category",4,"Category2","Four-Year"))/$B140)*100</f>
        <v>7.9846762944078078</v>
      </c>
      <c r="E140" s="32">
        <f>IF($B140&gt;0,(GETPIVOTDATA(" New Disability",'$ Pivot Table'!$A$3,"State","AL","Category",4,"Category2","Four-Year"))/$B140)*100</f>
        <v>0.22188289704331629</v>
      </c>
      <c r="F140" s="32"/>
      <c r="G140" s="32">
        <f>IF($B140&gt;0,(GETPIVOTDATA(" New Social Security",'$ Pivot Table'!$A$3,"State","AL","Category",4,"Category2","Four-Year"))/$B140)*100</f>
        <v>7.3167176851581166</v>
      </c>
      <c r="H140" s="32"/>
      <c r="I140" s="32">
        <f>IF($B140&gt;0,(GETPIVOTDATA(" New Unemployment",'$ Pivot Table'!$A$3,"State","AL","Category",4,"Category2","Four-Year"))/$B140)*100</f>
        <v>0.21858079596765645</v>
      </c>
      <c r="J140" s="32">
        <f>IF($B140&gt;0,(GETPIVOTDATA(" New Life Insurance",'$ Pivot Table'!$A$3,"State","AL","Category",4,"Category2","Four-Year"))/$B140)*100</f>
        <v>0.17671419783302991</v>
      </c>
      <c r="K140" s="32"/>
      <c r="L140" s="32">
        <f>IF($B140&gt;0,(GETPIVOTDATA(" New Worker's Comp",'$ Pivot Table'!$A$3,"State","AL","Category",4,"Category2","Four-Year"))/$B140)*100</f>
        <v>0.15684557123196388</v>
      </c>
      <c r="M140" s="32">
        <f>IF($B140&gt;0,(GETPIVOTDATA(" New Tuition Plans",'$ Pivot Table'!$A$3,"State","AL","Category",4,"Category2","Four-Year"))/$B140)*100</f>
        <v>1.7703577674462825</v>
      </c>
      <c r="N140" s="32">
        <f>IF($B140&gt;0,(GETPIVOTDATA(" New Other",'$ Pivot Table'!$A$3,"State","AL","Category",4,"Category2","Four-Year"))/$B140)*100</f>
        <v>0</v>
      </c>
      <c r="O140" s="90">
        <f>IF($B140&gt;0,(GETPIVOTDATA(" New Total",'$ Pivot Table'!$A$3,"State","AL","Category",4,"Category2","Four-Year"))/$B140)*100</f>
        <v>28.90154040563101</v>
      </c>
      <c r="T140" s="104"/>
    </row>
    <row r="141" spans="1:29" ht="15.75">
      <c r="A141" s="149" t="s">
        <v>480</v>
      </c>
      <c r="B141" s="617">
        <f>+'[2]NEW Tables 143-162'!H11</f>
        <v>52944.469623245619</v>
      </c>
      <c r="C141" s="90">
        <f>IF($B141&gt;0,(GETPIVOTDATA(" New Retirement",'$ Pivot Table'!$A$3,"State","Ar","Category",4,"Category2","Four-Year"))/$B141)*100</f>
        <v>10.63563088004568</v>
      </c>
      <c r="D141" s="90">
        <f>IF($B141&gt;0,(GETPIVOTDATA(" New Health",'$ Pivot Table'!$A$3,"State","AR","Category",4,"Category2","Four-Year"))/$B141)*100</f>
        <v>8.6026828274814626</v>
      </c>
      <c r="E141" s="90">
        <f>IF($B141&gt;0,(GETPIVOTDATA(" New Disability",'$ Pivot Table'!$A$3,"State","AR","Category",4,"Category2","Four-Year"))/$B141)*100</f>
        <v>0.34788665992620199</v>
      </c>
      <c r="F141" s="90"/>
      <c r="G141" s="90">
        <f>IF($B141&gt;0,(GETPIVOTDATA(" New Social Security",'$ Pivot Table'!$A$3,"State","AR","Category",4,"Category2","Four-Year"))/$B141)*100</f>
        <v>7.1760795582207155</v>
      </c>
      <c r="H141" s="90"/>
      <c r="I141" s="90">
        <f>IF($B141&gt;0,(GETPIVOTDATA(" New Unemployment",'$ Pivot Table'!$A$3,"State","AR","Category",4,"Category2","Four-Year"))/$B141)*100</f>
        <v>0.57875863491630175</v>
      </c>
      <c r="J141" s="90">
        <f>IF($B141&gt;0,(GETPIVOTDATA(" New Life Insurance",'$ Pivot Table'!$A$3,"State","AR","Category",4,"Category2","Four-Year"))/$B141)*100</f>
        <v>0.35572148462838565</v>
      </c>
      <c r="K141" s="90"/>
      <c r="L141" s="90">
        <f>IF($B141&gt;0,(GETPIVOTDATA(" New Worker's Comp",'$ Pivot Table'!$A$3,"State","AR","Category",4,"Category2","Four-Year"))/$B141)*100</f>
        <v>0.56059934100596354</v>
      </c>
      <c r="M141" s="90">
        <f>IF($B141&gt;0,(GETPIVOTDATA(" New Tuition Plans",'$ Pivot Table'!$A$3,"State","AR","Category",4,"Category2","Four-Year"))/$B141)*100</f>
        <v>0</v>
      </c>
      <c r="N141" s="90">
        <f>IF($B141&gt;0,(GETPIVOTDATA(" New Other",'$ Pivot Table'!$A$3,"State","AR","Category",4,"Category2","Four-Year"))/$B141)*100</f>
        <v>0</v>
      </c>
      <c r="O141" s="90">
        <f>IF($B141&gt;0,(GETPIVOTDATA(" New Total",'$ Pivot Table'!$A$3,"State","AR","Category",4,"Category2","Four-Year"))/$B141)*100</f>
        <v>27.030383928086639</v>
      </c>
      <c r="Q141" s="112"/>
      <c r="T141" s="104"/>
    </row>
    <row r="142" spans="1:29">
      <c r="A142" s="149" t="s">
        <v>494</v>
      </c>
      <c r="B142" s="617">
        <f>+'[2]NEW Tables 143-162'!H12</f>
        <v>65065.276523232322</v>
      </c>
      <c r="C142" s="86">
        <f>IF($B142&gt;0,(GETPIVOTDATA(" New Retirement",'$ Pivot Table'!$A$3,"State","DE","Category",4,"Category2","Four-Year"))/$B142)*100</f>
        <v>17.191967033145396</v>
      </c>
      <c r="D142" s="86">
        <f>IF($B142&gt;0,(GETPIVOTDATA(" New Health",'$ Pivot Table'!$A$3,"State","DE","Category",4,"Category2","Four-Year"))/$B142)*100</f>
        <v>14.521935321927959</v>
      </c>
      <c r="E142" s="86">
        <f>IF($B142&gt;0,(GETPIVOTDATA(" New Disability",'$ Pivot Table'!$A$3,"State","DE","Category",4,"Category2","Four-Year"))/$B142)*100</f>
        <v>0</v>
      </c>
      <c r="F142" s="86"/>
      <c r="G142" s="86">
        <f>IF($B142&gt;0,(GETPIVOTDATA(" New Social Security",'$ Pivot Table'!$A$3,"State","DE","Category",4,"Category2","Four-Year"))/$B142)*100</f>
        <v>7.636602949790686</v>
      </c>
      <c r="H142" s="86"/>
      <c r="I142" s="86">
        <f>IF($B142&gt;0,(GETPIVOTDATA(" New Unemployment",'$ Pivot Table'!$A$3,"State","DE","Category",4,"Category2","Four-Year"))/$B142)*100</f>
        <v>0.17905095655499489</v>
      </c>
      <c r="J142" s="86">
        <f>IF($B142&gt;0,(GETPIVOTDATA(" New Life Insurance",'$ Pivot Table'!$A$3,"State","DE","Category",4,"Category2","Four-Year"))/$B142)*100</f>
        <v>0.21911752916583729</v>
      </c>
      <c r="K142" s="86"/>
      <c r="L142" s="86">
        <f>IF($B142&gt;0,(GETPIVOTDATA(" New Worker's Comp",'$ Pivot Table'!$A$3,"State","DE","Category",4,"Category2","Four-Year"))/$B142)*100</f>
        <v>1.9490921637869114</v>
      </c>
      <c r="M142" s="86">
        <f>IF($B142&gt;0,(GETPIVOTDATA(" New Tuition Plans",'$ Pivot Table'!$A$3,"State","DE","Category",4,"Category2","Four-Year"))/$B142)*100</f>
        <v>4.534676800991523</v>
      </c>
      <c r="N142" s="86">
        <f>IF($B142&gt;0,(GETPIVOTDATA(" New Other",'$ Pivot Table'!$A$3,"State","DE","Category",4,"Category2","Four-Year"))/$B142)*100</f>
        <v>0</v>
      </c>
      <c r="O142" s="86">
        <f>IF($B142&gt;0,(GETPIVOTDATA(" New Total",'$ Pivot Table'!$A$3,"State","DE","Category",4,"Category2","Four-Year"))/$B142)*100</f>
        <v>41.071608322192944</v>
      </c>
      <c r="Q142" s="122"/>
      <c r="R142" s="121"/>
      <c r="S142" s="121"/>
      <c r="T142" s="89"/>
      <c r="U142" s="121"/>
      <c r="V142" s="90"/>
      <c r="W142" s="120"/>
      <c r="X142" s="121"/>
      <c r="Y142" s="90"/>
      <c r="Z142" s="120"/>
      <c r="AA142" s="121"/>
      <c r="AB142" s="121"/>
      <c r="AC142" s="121"/>
    </row>
    <row r="143" spans="1:29">
      <c r="A143" s="149" t="s">
        <v>481</v>
      </c>
      <c r="B143" s="617">
        <f>+'[2]NEW Tables 143-162'!H13</f>
        <v>62745.088510991962</v>
      </c>
      <c r="C143" s="90">
        <f>IF($B143&gt;0,(GETPIVOTDATA(" New Retirement",'$ Pivot Table'!$A$3,"State","FL","Category",4,"Category2","Four-Year"))/$B143)*100</f>
        <v>10.5245104048964</v>
      </c>
      <c r="D143" s="90">
        <f>IF($B143&gt;0,(GETPIVOTDATA(" New Health",'$ Pivot Table'!$A$3,"State","FL","Category",4,"Category2","Four-Year"))/$B143)*100</f>
        <v>14.554068182345755</v>
      </c>
      <c r="E143" s="90">
        <f>IF($B143&gt;0,(GETPIVOTDATA(" New Disability",'$ Pivot Table'!$A$3,"State","FL","Category",4,"Category2","Four-Year"))/$B143)*100</f>
        <v>0</v>
      </c>
      <c r="F143" s="90"/>
      <c r="G143" s="90">
        <f>IF($B143&gt;0,(GETPIVOTDATA(" New Social Security",'$ Pivot Table'!$A$3,"State","FL","Category",4,"Category2","Four-Year"))/$B143)*100</f>
        <v>7.511352292822691</v>
      </c>
      <c r="H143" s="90"/>
      <c r="I143" s="90">
        <f>IF($B143&gt;0,(GETPIVOTDATA(" New Unemployment",'$ Pivot Table'!$A$3,"State","FL","Category",4,"Category2","Four-Year"))/$B143)*100</f>
        <v>0.1195312681515481</v>
      </c>
      <c r="J143" s="90">
        <f>IF($B143&gt;0,(GETPIVOTDATA(" New Life Insurance",'$ Pivot Table'!$A$3,"State","FL","Category",4,"Category2","Four-Year"))/$B143)*100</f>
        <v>5.3117002477635365E-2</v>
      </c>
      <c r="K143" s="90"/>
      <c r="L143" s="90">
        <f>IF($B143&gt;0,(GETPIVOTDATA(" New Worker's Comp",'$ Pivot Table'!$A$3,"State","FL","Category",4,"Category2","Four-Year"))/$B143)*100</f>
        <v>9.6980608058192766E-2</v>
      </c>
      <c r="M143" s="90">
        <f>IF($B143&gt;0,(GETPIVOTDATA(" New Tuition Plans",'$ Pivot Table'!$A$3,"State","FL","Category",4,"Category2","Four-Year"))/$B143)*100</f>
        <v>7.1718760890928851E-2</v>
      </c>
      <c r="N143" s="90">
        <f>IF($B143&gt;0,(GETPIVOTDATA(" New Other",'$ Pivot Table'!$A$3,"State","FL","Category",4,"Category2","Four-Year"))/$B143)*100</f>
        <v>0</v>
      </c>
      <c r="O143" s="90">
        <f>IF($B143&gt;0,(GETPIVOTDATA(" New Total",'$ Pivot Table'!$A$3,"State","FL","Category",4,"Category2","Four-Year"))/$B143)*100</f>
        <v>31.592546807194793</v>
      </c>
      <c r="T143" s="104"/>
    </row>
    <row r="144" spans="1:29">
      <c r="A144" s="149"/>
      <c r="B144" s="617">
        <f>+'[2]NEW Tables 143-162'!H14</f>
        <v>0</v>
      </c>
      <c r="C144" s="90"/>
      <c r="D144" s="113"/>
      <c r="E144" s="90"/>
      <c r="F144" s="90"/>
      <c r="G144" s="90"/>
      <c r="H144" s="90"/>
      <c r="I144" s="90"/>
      <c r="J144" s="90"/>
      <c r="K144" s="90"/>
      <c r="L144" s="90"/>
      <c r="M144" s="90">
        <f>IF($B144&gt;0,(GETPIVOTDATA(" New Tuition Plans",'$ Pivot Table'!$A$3,"State","FL","Category",4,"Category2","Four-Year"))/$B144)*100</f>
        <v>0</v>
      </c>
      <c r="N144" s="90"/>
      <c r="O144" s="90"/>
      <c r="T144" s="104"/>
    </row>
    <row r="145" spans="1:22">
      <c r="A145" s="149" t="s">
        <v>482</v>
      </c>
      <c r="B145" s="617">
        <f>+'[2]NEW Tables 143-162'!H15</f>
        <v>59474.124227744156</v>
      </c>
      <c r="C145" s="90">
        <f>IF($B145&gt;0,(GETPIVOTDATA(" New Retirement",'$ Pivot Table'!$A$3,"State","GA","Category",4,"Category2","Four-Year"))/$B145)*100</f>
        <v>9.5652325001908522</v>
      </c>
      <c r="D145" s="90">
        <f>IF($B145&gt;0,(GETPIVOTDATA(" New Health",'$ Pivot Table'!$A$3,"State","GA","Category",4,"Category2","Four-Year"))/$B145)*100</f>
        <v>11.503265363236302</v>
      </c>
      <c r="E145" s="90">
        <f>IF($B145&gt;0,(GETPIVOTDATA(" New Disability",'$ Pivot Table'!$A$3,"State","GA","Category",4,"Category2","Four-Year"))/$B145)*100</f>
        <v>0</v>
      </c>
      <c r="F145" s="90"/>
      <c r="G145" s="90">
        <f>IF($B145&gt;0,(GETPIVOTDATA(" New Social Security",'$ Pivot Table'!$A$3,"State","GA","Category",4,"Category2","Four-Year"))/$B145)*100</f>
        <v>7.5477701702458528</v>
      </c>
      <c r="H145" s="90"/>
      <c r="I145" s="90">
        <f>IF($B145&gt;0,(GETPIVOTDATA(" New Unemployment",'$ Pivot Table'!$A$3,"State","GA","Category",4,"Category2","Four-Year"))/$B145)*100</f>
        <v>0.23707789199227036</v>
      </c>
      <c r="J145" s="90">
        <f>IF($B145&gt;0,(GETPIVOTDATA(" New Life Insurance",'$ Pivot Table'!$A$3,"State","GA","Category",4,"Category2","Four-Year"))/$B145)*100</f>
        <v>0.29791522175916946</v>
      </c>
      <c r="K145" s="90"/>
      <c r="L145" s="90">
        <f>IF($B145&gt;0,(GETPIVOTDATA(" New Worker's Comp",'$ Pivot Table'!$A$3,"State","GA","Category",4,"Category2","Four-Year"))/$B145)*100</f>
        <v>0.2135401854427473</v>
      </c>
      <c r="M145" s="90">
        <f>IF($B145&gt;0,(GETPIVOTDATA(" New Tuition Plans",'$ Pivot Table'!$A$3,"State","FL","Category",4,"Category2","Four-Year"))/$B145)*100</f>
        <v>7.5663157018809699E-2</v>
      </c>
      <c r="N145" s="90">
        <f>IF($B145&gt;0,(GETPIVOTDATA(" New Other",'$ Pivot Table'!$A$3,"State","GA","Category",4,"Category2","Four-Year"))/$B145)*100</f>
        <v>0</v>
      </c>
      <c r="O145" s="90">
        <f>IF($B145&gt;0,(GETPIVOTDATA(" New Total",'$ Pivot Table'!$A$3,"State","GA","Category",4,"Category2","Four-Year"))/$B145)*100</f>
        <v>27.027050662741747</v>
      </c>
      <c r="T145" s="104"/>
    </row>
    <row r="146" spans="1:22">
      <c r="A146" s="149" t="s">
        <v>483</v>
      </c>
      <c r="B146" s="617">
        <f>+'[2]NEW Tables 143-162'!H16</f>
        <v>62844.843185015285</v>
      </c>
      <c r="C146" s="90">
        <f>IF($B146&gt;0,(GETPIVOTDATA(" New Retirement",'$ Pivot Table'!$A$3,"State","KY","Category",4,"Category2","Four-Year"))/$B146)*100</f>
        <v>10.685588394847056</v>
      </c>
      <c r="D146" s="90">
        <f>IF($B146&gt;0,(GETPIVOTDATA(" New Health",'$ Pivot Table'!$A$3,"State","KY","Category",4,"Category2","Four-Year"))/$B146)*100</f>
        <v>8.0243009157822893</v>
      </c>
      <c r="E146" s="90">
        <f>IF($B146&gt;0,(GETPIVOTDATA(" New Disability",'$ Pivot Table'!$A$3,"State","KY","Category",4,"Category2","Four-Year"))/$B146)*100</f>
        <v>0.39430442887808081</v>
      </c>
      <c r="F146" s="90"/>
      <c r="G146" s="90">
        <f>IF($B146&gt;0,(GETPIVOTDATA(" New Social Security",'$ Pivot Table'!$A$3,"State","KY","Category",4,"Category2","Four-Year"))/$B146)*100</f>
        <v>7.550597179814396</v>
      </c>
      <c r="H146" s="90"/>
      <c r="I146" s="90">
        <f>IF($B146&gt;0,(GETPIVOTDATA(" New Unemployment",'$ Pivot Table'!$A$3,"State","KY","Category",4,"Category2","Four-Year"))/$B146)*100</f>
        <v>0.16153766974837674</v>
      </c>
      <c r="J146" s="114">
        <f>IF($B146&gt;0,(GETPIVOTDATA(" New Life Insurance",'$ Pivot Table'!$A$3,"State","KY","Category",4,"Category2","Four-Year"))/$B146)*100</f>
        <v>0.22793673032523473</v>
      </c>
      <c r="K146" s="114"/>
      <c r="L146" s="90">
        <f>IF($B146&gt;0,(GETPIVOTDATA(" New Worker's Comp",'$ Pivot Table'!$A$3,"State","KY","Category",4,"Category2","Four-Year"))/$B146)*100</f>
        <v>0.27488632821658915</v>
      </c>
      <c r="M146" s="90">
        <f>IF($B146&gt;0,(GETPIVOTDATA(" New Tuition Plans",'$ Pivot Table'!$A$3,"State","KY","Category",4,"Category2","Four-Year"))/$B146)*100</f>
        <v>5.3767988669788398</v>
      </c>
      <c r="N146" s="90">
        <f>IF($B146&gt;0,(GETPIVOTDATA(" New Other",'$ Pivot Table'!$A$3,"State","KY","Category",4,"Category2","Four-Year"))/$B146)*100</f>
        <v>0</v>
      </c>
      <c r="O146" s="90">
        <f>IF($B146&gt;0,(GETPIVOTDATA(" New Total",'$ Pivot Table'!$A$3,"State","KY","Category",4,"Category2","Four-Year"))/$B146)*100</f>
        <v>27.442875529961114</v>
      </c>
      <c r="T146" s="104"/>
    </row>
    <row r="147" spans="1:22">
      <c r="A147" s="149" t="s">
        <v>484</v>
      </c>
      <c r="B147" s="617">
        <f>+'[2]NEW Tables 143-162'!H17</f>
        <v>55296.592518022801</v>
      </c>
      <c r="C147" s="90">
        <f>IF($B147&gt;0,(GETPIVOTDATA(" New Retirement",'$ Pivot Table'!$A$3,"State","LA","Category",4,"Category2","Four-Year"))/$B147)*100</f>
        <v>14.748930534408986</v>
      </c>
      <c r="D147" s="90">
        <f>IF($B147&gt;0,(GETPIVOTDATA(" New Health",'$ Pivot Table'!$A$3,"State","LA","Category",4,"Category2","Four-Year"))/$B147)*100</f>
        <v>10.000764697243532</v>
      </c>
      <c r="E147" s="90">
        <f>IF($B147&gt;0,(GETPIVOTDATA(" New Disability",'$ Pivot Table'!$A$3,"State","LA","Category",4,"Category2","Four-Year"))/$B147)*100</f>
        <v>0.4529711516286658</v>
      </c>
      <c r="F147" s="90"/>
      <c r="G147" s="90">
        <f>IF($B147&gt;0,(GETPIVOTDATA(" New Social Security",'$ Pivot Table'!$A$3,"State","LA","Category",4,"Category2","Four-Year"))/$B147)*100</f>
        <v>1.3564533729894901</v>
      </c>
      <c r="H147" s="91">
        <v>2</v>
      </c>
      <c r="I147" s="90">
        <f>IF($B147&gt;0,(GETPIVOTDATA(" New Unemployment",'$ Pivot Table'!$A$3,"State","LA","Category",4,"Category2","Four-Year"))/$B147)*100</f>
        <v>0.28401654322017683</v>
      </c>
      <c r="J147" s="90">
        <f>IF($B147&gt;0,(GETPIVOTDATA(" New Life Insurance",'$ Pivot Table'!$A$3,"State","LA","Category",4,"Category2","Four-Year"))/$B147)*100</f>
        <v>0.35639749984444685</v>
      </c>
      <c r="K147" s="90"/>
      <c r="L147" s="90">
        <f>IF($B147&gt;0,(GETPIVOTDATA(" New Worker's Comp",'$ Pivot Table'!$A$3,"State","LA","Category",4,"Category2","Four-Year"))/$B147)*100</f>
        <v>0.50804905403589851</v>
      </c>
      <c r="M147" s="90">
        <f>IF($B147&gt;0,(GETPIVOTDATA(" New Tuition Plans",'$ Pivot Table'!$A$3,"State","LA","Category",4,"Category2","Four-Year"))/$B147)*100</f>
        <v>3.9628481615495272</v>
      </c>
      <c r="N147" s="90">
        <f>IF($B147&gt;0,(GETPIVOTDATA(" New Other",'$ Pivot Table'!$A$3,"State","LA","Category",4,"Category2","Four-Year"))/$B147)*100</f>
        <v>0</v>
      </c>
      <c r="O147" s="90">
        <f>IF($B147&gt;0,(GETPIVOTDATA(" New Total",'$ Pivot Table'!$A$3,"State","LA","Category",4,"Category2","Four-Year"))/$B147)*100</f>
        <v>24.060857574070567</v>
      </c>
      <c r="T147" s="104"/>
    </row>
    <row r="148" spans="1:22">
      <c r="A148" s="149" t="s">
        <v>485</v>
      </c>
      <c r="B148" s="617">
        <f>+'[2]NEW Tables 143-162'!H18</f>
        <v>74060.830428596644</v>
      </c>
      <c r="C148" s="90">
        <f>IF($B148&gt;0,(GETPIVOTDATA(" New Retirement",'$ Pivot Table'!$A$3,"State","MD","Category",4,"Category2","Four-Year"))/$B148)*100</f>
        <v>9.8829951299260443</v>
      </c>
      <c r="D148" s="90">
        <f>IF($B148&gt;0,(GETPIVOTDATA(" New Health",'$ Pivot Table'!$A$3,"State","MD","Category",4,"Category2","Four-Year"))/$B148)*100</f>
        <v>10.121807925435588</v>
      </c>
      <c r="E148" s="90">
        <f>IF($B148&gt;0,(GETPIVOTDATA(" New Disability",'$ Pivot Table'!$A$3,"State","MD","Category",4,"Category2","Four-Year"))/$B148)*100</f>
        <v>0</v>
      </c>
      <c r="F148" s="90"/>
      <c r="G148" s="90">
        <f>IF($B148&gt;0,(GETPIVOTDATA(" New Social Security",'$ Pivot Table'!$A$3,"State","MD","Category",4,"Category2","Four-Year"))/$B148)*100</f>
        <v>6.8627477817774425</v>
      </c>
      <c r="H148" s="90"/>
      <c r="I148" s="90">
        <f>IF($B148&gt;0,(GETPIVOTDATA(" New Unemployment",'$ Pivot Table'!$A$3,"State","MD","Category",4,"Category2","Four-Year"))/$B148)*100</f>
        <v>0.49374444056397998</v>
      </c>
      <c r="J148" s="90">
        <f>IF($B148&gt;0,(GETPIVOTDATA(" New Life Insurance",'$ Pivot Table'!$A$3,"State","MD","Category",4,"Category2","Four-Year"))/$B148)*100</f>
        <v>0</v>
      </c>
      <c r="K148" s="90"/>
      <c r="L148" s="90">
        <f>IF($B148&gt;0,(GETPIVOTDATA(" New Worker's Comp",'$ Pivot Table'!$A$3,"State","MD","Category",4,"Category2","Four-Year"))/$B148)*100</f>
        <v>0.82250016109942159</v>
      </c>
      <c r="M148" s="90">
        <f>IF($B148&gt;0,(GETPIVOTDATA(" New Tuition Plans",'$ Pivot Table'!$A$3,"State","MD","Category",4,"Category2","Four-Year"))/$B148)*100</f>
        <v>5.525469762527389</v>
      </c>
      <c r="N148" s="90">
        <f>IF($B148&gt;0,(GETPIVOTDATA(" New Other",'$ Pivot Table'!$A$3,"State","MD","Category",4,"Category2","Four-Year"))/$B148)*100</f>
        <v>0</v>
      </c>
      <c r="O148" s="90">
        <f>IF($B148&gt;0,(GETPIVOTDATA(" New Total",'$ Pivot Table'!$A$3,"State","MD","Category",4,"Category2","Four-Year"))/$B148)*100</f>
        <v>26.431923469839703</v>
      </c>
      <c r="T148" s="104"/>
    </row>
    <row r="149" spans="1:22">
      <c r="A149" s="149"/>
      <c r="B149" s="617">
        <f>+'[2]NEW Tables 143-162'!H19</f>
        <v>0</v>
      </c>
      <c r="C149" s="90"/>
      <c r="D149" s="113"/>
      <c r="E149" s="90"/>
      <c r="F149" s="90"/>
      <c r="G149" s="90"/>
      <c r="H149" s="90"/>
      <c r="I149" s="90"/>
      <c r="J149" s="90"/>
      <c r="K149" s="90"/>
      <c r="L149" s="90"/>
      <c r="M149" s="90"/>
      <c r="N149" s="90"/>
      <c r="O149" s="90"/>
      <c r="T149" s="104"/>
    </row>
    <row r="150" spans="1:22">
      <c r="A150" s="149" t="s">
        <v>486</v>
      </c>
      <c r="B150" s="617">
        <f>+'[2]NEW Tables 143-162'!H20</f>
        <v>53010.426824948867</v>
      </c>
      <c r="C150" s="90">
        <f>IF($B150&gt;0,(GETPIVOTDATA(" New Retirement",'$ Pivot Table'!$A$3,"State","MS","Category",4,"Category2","Four-Year"))/$B150)*100</f>
        <v>12.049280104472619</v>
      </c>
      <c r="D150" s="90">
        <f>IF($B150&gt;0,(GETPIVOTDATA(" New Health",'$ Pivot Table'!$A$3,"State","MS","Category",4,"Category2","Four-Year"))/$B150)*100</f>
        <v>9.0073974473051024</v>
      </c>
      <c r="E150" s="90">
        <f>IF($B150&gt;0,(GETPIVOTDATA(" New Disability",'$ Pivot Table'!$A$3,"State","MS","Category",4,"Category2","Four-Year"))/$B150)*100</f>
        <v>0</v>
      </c>
      <c r="F150" s="90"/>
      <c r="G150" s="90">
        <f>IF($B150&gt;0,(GETPIVOTDATA(" New Social Security",'$ Pivot Table'!$A$3,"State","MS","Category",4,"Category2","Four-Year"))/$B150)*100</f>
        <v>7.1386398386245569</v>
      </c>
      <c r="H150" s="90"/>
      <c r="I150" s="90">
        <f>IF($B150&gt;0,(GETPIVOTDATA(" New Unemployment",'$ Pivot Table'!$A$3,"State","MS","Category",4,"Category2","Four-Year"))/$B150)*100</f>
        <v>0.54722100214288194</v>
      </c>
      <c r="J150" s="90">
        <f>IF($B150&gt;0,(GETPIVOTDATA(" New Life Insurance",'$ Pivot Table'!$A$3,"State","MS","Category",4,"Category2","Four-Year"))/$B150)*100</f>
        <v>0.63373713893724082</v>
      </c>
      <c r="K150" s="90"/>
      <c r="L150" s="90">
        <f>IF($B150&gt;0,(GETPIVOTDATA(" New Worker's Comp",'$ Pivot Table'!$A$3,"State","MS","Category",4,"Category2","Four-Year"))/$B150)*100</f>
        <v>0.9219620790430384</v>
      </c>
      <c r="M150" s="90">
        <f>IF($B150&gt;0,(GETPIVOTDATA(" New Tuition Plans",'$ Pivot Table'!$A$3,"State","MS","Category",4,"Category2","Four-Year"))/$B150)*100</f>
        <v>3.8041999702600569</v>
      </c>
      <c r="N150" s="90">
        <f>IF($B150&gt;0,(GETPIVOTDATA(" New Other",'$ Pivot Table'!$A$3,"State","MS","Category",4,"Category2","Four-Year"))/$B150)*100</f>
        <v>0</v>
      </c>
      <c r="O150" s="90">
        <f>IF($B150&gt;0,(GETPIVOTDATA(" New Total",'$ Pivot Table'!$A$3,"State","MS","Category",4,"Category2","Four-Year"))/$B150)*100</f>
        <v>30.06471417365854</v>
      </c>
      <c r="T150" s="104"/>
    </row>
    <row r="151" spans="1:22">
      <c r="A151" s="149" t="s">
        <v>487</v>
      </c>
      <c r="B151" s="617">
        <f>+'[2]NEW Tables 143-162'!H21</f>
        <v>68710.412558122742</v>
      </c>
      <c r="C151" s="90">
        <f>IF($B151&gt;0,(GETPIVOTDATA(" New Retirement",'$ Pivot Table'!$A$3,"State","NC","Category",4,"Category2","Four-Year"))/$B151)*100</f>
        <v>10.890335169355815</v>
      </c>
      <c r="D151" s="90">
        <f>IF($B151&gt;0,(GETPIVOTDATA(" New Health",'$ Pivot Table'!$A$3,"State","NC","Category",4,"Category2","Four-Year"))/$B151)*100</f>
        <v>7.1750406036780374</v>
      </c>
      <c r="E151" s="90">
        <f>IF($B151&gt;0,(GETPIVOTDATA(" New Disability",'$ Pivot Table'!$A$3,"State","NC","Category",4,"Category2","Four-Year"))/$B151)*100</f>
        <v>0.51997121677711566</v>
      </c>
      <c r="F151" s="90"/>
      <c r="G151" s="90">
        <f>IF($B151&gt;0,(GETPIVOTDATA(" New Social Security",'$ Pivot Table'!$A$3,"State","NC","Category",4,"Category2","Four-Year"))/$B151)*100</f>
        <v>7.6374427341900404</v>
      </c>
      <c r="H151" s="90"/>
      <c r="I151" s="90">
        <f>IF($B151&gt;0,(GETPIVOTDATA(" New Unemployment",'$ Pivot Table'!$A$3,"State","NC","Category",4,"Category2","Four-Year"))/$B151)*100</f>
        <v>9.0013104489724105E-2</v>
      </c>
      <c r="J151" s="90">
        <f>IF($B151&gt;0,(GETPIVOTDATA(" New Life Insurance",'$ Pivot Table'!$A$3,"State","NC","Category",4,"Category2","Four-Year"))/$B151)*100</f>
        <v>0.15742789311184571</v>
      </c>
      <c r="K151" s="90"/>
      <c r="L151" s="90">
        <f>IF($B151&gt;0,(GETPIVOTDATA(" New Worker's Comp",'$ Pivot Table'!$A$3,"State","NC","Category",4,"Category2","Four-Year"))/$B151)*100</f>
        <v>0.86998831897746842</v>
      </c>
      <c r="M151" s="90">
        <f>IF($B151&gt;0,(GETPIVOTDATA(" New Tuition Plans",'$ Pivot Table'!$A$3,"State","NC","Category",4,"Category2","Four-Year"))/$B151)*100</f>
        <v>0</v>
      </c>
      <c r="N151" s="90">
        <f>IF($B151&gt;0,(GETPIVOTDATA(" New Other",'$ Pivot Table'!$A$3,"State","NC","Category",4,"Category2","Four-Year"))/$B151)*100</f>
        <v>0</v>
      </c>
      <c r="O151" s="90">
        <f>IF($B151&gt;0,(GETPIVOTDATA(" New Total",'$ Pivot Table'!$A$3,"State","NC","Category",4,"Category2","Four-Year"))/$B151)*100</f>
        <v>27.253264283734875</v>
      </c>
      <c r="T151" s="104"/>
    </row>
    <row r="152" spans="1:22">
      <c r="A152" s="149" t="s">
        <v>488</v>
      </c>
      <c r="B152" s="617">
        <f>+'[2]NEW Tables 143-162'!H22</f>
        <v>0</v>
      </c>
      <c r="C152" s="90">
        <f>IF($B152&gt;0,(GETPIVOTDATA(" New Retirement",'$ Pivot Table'!$A$3,"State","OK","Category",4,"Category2","Four-Year"))/$B152)*100</f>
        <v>0</v>
      </c>
      <c r="D152" s="90">
        <f>IF($B152&gt;0,(GETPIVOTDATA(" New Health",'$ Pivot Table'!$A$3,"State","OK","Category",4,"Category2","Four-Year"))/$B152)*100</f>
        <v>0</v>
      </c>
      <c r="E152" s="90">
        <f>IF($B152&gt;0,(GETPIVOTDATA(" New Disability",'$ Pivot Table'!$A$3,"State","OK","Category",4,"Category2","Four-Year"))/$B152)*100</f>
        <v>0</v>
      </c>
      <c r="F152" s="90"/>
      <c r="G152" s="90">
        <f>IF($B152&gt;0,(GETPIVOTDATA(" New Social Security",'$ Pivot Table'!$A$3,"State","OK","Category",4,"Category2","Four-Year"))/$B152)*100</f>
        <v>0</v>
      </c>
      <c r="H152" s="90"/>
      <c r="I152" s="90">
        <f>IF($B152&gt;0,(GETPIVOTDATA(" New Unemployment",'$ Pivot Table'!$A$3,"State","OK","Category",4,"Category2","Four-Year"))/$B152)*100</f>
        <v>0</v>
      </c>
      <c r="J152" s="90">
        <f>IF($B152&gt;0,(GETPIVOTDATA(" New Life Insurance",'$ Pivot Table'!$A$3,"State","OK","Category",4,"Category2","Four-Year"))/$B152)*100</f>
        <v>0</v>
      </c>
      <c r="K152" s="90"/>
      <c r="L152" s="90">
        <f>IF($B152&gt;0,(GETPIVOTDATA(" New Worker's Comp",'$ Pivot Table'!$A$3,"State","OK","Category",4,"Category2","Four-Year"))/$B152)*100</f>
        <v>0</v>
      </c>
      <c r="M152" s="90">
        <f>IF($B152&gt;0,(GETPIVOTDATA(" New Tuition Plans",'$ Pivot Table'!$A$3,"State","OK","Category",4,"Category2","Four-Year"))/$B152)*100</f>
        <v>0</v>
      </c>
      <c r="N152" s="90">
        <f>IF($B152&gt;0,(GETPIVOTDATA(" New Other",'$ Pivot Table'!$A$3,"State","OK","Category",4,"Category2","Four-Year"))/$B152)*100</f>
        <v>0</v>
      </c>
      <c r="O152" s="90">
        <f>IF($B152&gt;0,(GETPIVOTDATA(" New Total",'$ Pivot Table'!$A$3,"State","OK","Category",4,"Category2","Four-Year"))/$B152)*100</f>
        <v>0</v>
      </c>
      <c r="T152" s="104"/>
    </row>
    <row r="153" spans="1:22">
      <c r="A153" s="149" t="s">
        <v>489</v>
      </c>
      <c r="B153" s="617">
        <f>+'[2]NEW Tables 143-162'!H23</f>
        <v>68333.49647058823</v>
      </c>
      <c r="C153" s="90">
        <f>IF($B153&gt;0,(GETPIVOTDATA(" New Retirement",'$ Pivot Table'!$A$3,"State","SC","Category",4,"Category2","Four-Year"))/$B153)*100</f>
        <v>13.139998180549536</v>
      </c>
      <c r="D153" s="90">
        <f>IF($B153&gt;0,(GETPIVOTDATA(" New Health",'$ Pivot Table'!$A$3,"State","SC","Category",4,"Category2","Four-Year"))/$B153)*100</f>
        <v>8.3370532670636504</v>
      </c>
      <c r="E153" s="90">
        <f>IF($B153&gt;0,(GETPIVOTDATA(" New Disability",'$ Pivot Table'!$A$3,"State","SC","Category",4,"Category2","Four-Year"))/$B153)*100</f>
        <v>5.6634011134871563E-2</v>
      </c>
      <c r="F153" s="90"/>
      <c r="G153" s="90">
        <f>IF($B153&gt;0,(GETPIVOTDATA(" New Social Security",'$ Pivot Table'!$A$3,"State","SC","Category",4,"Category2","Four-Year"))/$B153)*100</f>
        <v>7.6499997555242576</v>
      </c>
      <c r="H153" s="90"/>
      <c r="I153" s="90">
        <f>IF($B153&gt;0,(GETPIVOTDATA(" New Unemployment",'$ Pivot Table'!$A$3,"State","SC","Category",4,"Category2","Four-Year"))/$B153)*100</f>
        <v>0.13013168358806101</v>
      </c>
      <c r="J153" s="90">
        <f>IF($B153&gt;0,(GETPIVOTDATA(" New Life Insurance",'$ Pivot Table'!$A$3,"State","SC","Category",4,"Category2","Four-Year"))/$B153)*100</f>
        <v>0.15000513571227286</v>
      </c>
      <c r="K153" s="90"/>
      <c r="L153" s="90">
        <f>IF($B153&gt;0,(GETPIVOTDATA(" New Worker's Comp",'$ Pivot Table'!$A$3,"State","SC","Category",4,"Category2","Four-Year"))/$B153)*100</f>
        <v>1.3600028954880661</v>
      </c>
      <c r="M153" s="90">
        <f>IF($B153&gt;0,(GETPIVOTDATA(" New Tuition Plans",'$ Pivot Table'!$A$3,"State","SC","Category",4,"Category2","Four-Year"))/$B153)*100</f>
        <v>0</v>
      </c>
      <c r="N153" s="90">
        <f>IF($B153&gt;0,(GETPIVOTDATA(" New Other",'$ Pivot Table'!$A$3,"State","SC","Category",4,"Category2","Four-Year"))/$B153)*100</f>
        <v>0</v>
      </c>
      <c r="O153" s="90">
        <f>IF($B153&gt;0,(GETPIVOTDATA(" New Total",'$ Pivot Table'!$A$3,"State","SC","Category",4,"Category2","Four-Year"))/$B153)*100</f>
        <v>30.814708422561242</v>
      </c>
      <c r="T153" s="104"/>
    </row>
    <row r="154" spans="1:22">
      <c r="A154" s="149"/>
      <c r="B154" s="617">
        <f>+'[2]NEW Tables 143-162'!H24</f>
        <v>0</v>
      </c>
      <c r="C154" s="90"/>
      <c r="D154" s="113"/>
      <c r="E154" s="90"/>
      <c r="F154" s="90"/>
      <c r="G154" s="90"/>
      <c r="H154" s="90"/>
      <c r="I154" s="90"/>
      <c r="J154" s="90"/>
      <c r="K154" s="90"/>
      <c r="L154" s="90"/>
      <c r="M154" s="90"/>
      <c r="N154" s="90"/>
      <c r="O154" s="90"/>
      <c r="T154" s="104"/>
    </row>
    <row r="155" spans="1:22">
      <c r="A155" s="149" t="s">
        <v>490</v>
      </c>
      <c r="B155" s="617">
        <f>+'[2]NEW Tables 143-162'!H25</f>
        <v>0</v>
      </c>
      <c r="C155" s="86">
        <f>IF($B155&gt;0,(GETPIVOTDATA(" New Retirement",'$ Pivot Table'!$A$3,"State","TN","Category",4,"Category2","Four-Year"))/$B155)*100</f>
        <v>0</v>
      </c>
      <c r="D155" s="86">
        <f>IF($B155&gt;0,(GETPIVOTDATA(" New Health",'$ Pivot Table'!$A$3,"State","TN","Category",4,"Category2","Four-Year"))/$B155)*100</f>
        <v>0</v>
      </c>
      <c r="E155" s="86">
        <f>IF($B155&gt;0,(GETPIVOTDATA(" New Disability",'$ Pivot Table'!$A$3,"State","TN","Category",4,"Category2","Four-Year"))/$B155)*100</f>
        <v>0</v>
      </c>
      <c r="F155" s="86"/>
      <c r="G155" s="86">
        <f>IF($B155&gt;0,(GETPIVOTDATA(" New Social Security",'$ Pivot Table'!$A$3,"State","TN","Category",4,"Category2","Four-Year"))/$B155)*100</f>
        <v>0</v>
      </c>
      <c r="H155" s="86"/>
      <c r="I155" s="86">
        <f>IF($B155&gt;0,(GETPIVOTDATA(" New Unemployment",'$ Pivot Table'!$A$3,"State","TN","Category",4,"Category2","Four-Year"))/$B155)*100</f>
        <v>0</v>
      </c>
      <c r="J155" s="86">
        <f>IF($B155&gt;0,(GETPIVOTDATA(" New Life Insurance",'$ Pivot Table'!$A$3,"State","TN","Category",4,"Category2","Four-Year"))/$B155)*100</f>
        <v>0</v>
      </c>
      <c r="K155" s="86"/>
      <c r="L155" s="86">
        <f>IF($B155&gt;0,(GETPIVOTDATA(" New Worker's Comp",'$ Pivot Table'!$A$3,"State","TN","Category",4,"Category2","Four-Year"))/$B155)*100</f>
        <v>0</v>
      </c>
      <c r="M155" s="86">
        <f>IF($B155&gt;0,(GETPIVOTDATA(" New Tuition Plans",'$ Pivot Table'!$A$3,"State","TN","Category",4,"Category2","Four-Year"))/$B155)*100</f>
        <v>0</v>
      </c>
      <c r="N155" s="86">
        <f>IF($B155&gt;0,(GETPIVOTDATA(" New Other",'$ Pivot Table'!$A$3,"State","TN","Category",4,"Category2","Four-Year"))/$B155)*100</f>
        <v>0</v>
      </c>
      <c r="O155" s="86">
        <f>IF($B155&gt;0,(GETPIVOTDATA(" New Total",'$ Pivot Table'!$A$3,"State","TN","Category",4,"Category2","Four-Year"))/$B155)*100</f>
        <v>0</v>
      </c>
      <c r="T155" s="104"/>
    </row>
    <row r="156" spans="1:22">
      <c r="A156" s="149" t="s">
        <v>491</v>
      </c>
      <c r="B156" s="617">
        <f>+'[2]NEW Tables 143-162'!H26</f>
        <v>67554.481202539682</v>
      </c>
      <c r="C156" s="86">
        <f>IF($B156&gt;0,(GETPIVOTDATA(" New Retirement",'$ Pivot Table'!$A$3,"State","TX","Category",4,"Category2","Four-Year"))/$B156)*100</f>
        <v>7.2305032975991681</v>
      </c>
      <c r="D156" s="86">
        <f>IF($B156&gt;0,(GETPIVOTDATA(" New Health",'$ Pivot Table'!$A$3,"State","TX","Category",4,"Category2","Four-Year"))/$B156)*100</f>
        <v>5.4127271352087174</v>
      </c>
      <c r="E156" s="86">
        <f>IF($B156&gt;0,(GETPIVOTDATA(" New Disability",'$ Pivot Table'!$A$3,"State","TX","Category",4,"Category2","Four-Year"))/$B156)*100</f>
        <v>0</v>
      </c>
      <c r="F156" s="86"/>
      <c r="G156" s="86">
        <f>IF($B156&gt;0,(GETPIVOTDATA(" New Social Security",'$ Pivot Table'!$A$3,"State","TX","Category",4,"Category2","Four-Year"))/$B156)*100</f>
        <v>8.0806082303921176</v>
      </c>
      <c r="H156" s="86"/>
      <c r="I156" s="86">
        <f>IF($B156&gt;0,(GETPIVOTDATA(" New Unemployment",'$ Pivot Table'!$A$3,"State","TX","Category",4,"Category2","Four-Year"))/$B156)*100</f>
        <v>0.1540775091866409</v>
      </c>
      <c r="J156" s="619">
        <f>IF($B156&gt;0,(GETPIVOTDATA(" New Life Insurance",'$ Pivot Table'!$A$3,"State","TX","Category",4,"Category2","Four-Year"))/$B156)*100</f>
        <v>3.9171873900026855E-2</v>
      </c>
      <c r="K156" s="86"/>
      <c r="L156" s="86">
        <f>IF($B156&gt;0,(GETPIVOTDATA(" New Worker's Comp",'$ Pivot Table'!$A$3,"State","TX","Category",4,"Category2","Four-Year"))/$B156)*100</f>
        <v>0.27144436319497683</v>
      </c>
      <c r="M156" s="86">
        <f>IF($B156&gt;0,(GETPIVOTDATA(" New Tuition Plans",'$ Pivot Table'!$A$3,"State","TX","Category",4,"Category2","Four-Year"))/$B156)*100</f>
        <v>0</v>
      </c>
      <c r="N156" s="86">
        <f>IF($B156&gt;0,(GETPIVOTDATA(" New Other",'$ Pivot Table'!$A$3,"State","TX","Category",4,"Category2","Four-Year"))/$B156)*100</f>
        <v>0</v>
      </c>
      <c r="O156" s="86">
        <f>IF($B156&gt;0,(GETPIVOTDATA(" New Total",'$ Pivot Table'!$A$3,"State","TX","Category",4,"Category2","Four-Year"))/$B156)*100</f>
        <v>20.823367555410325</v>
      </c>
      <c r="T156" s="104"/>
    </row>
    <row r="157" spans="1:22">
      <c r="A157" s="149" t="s">
        <v>492</v>
      </c>
      <c r="B157" s="617">
        <f>+'[2]NEW Tables 143-162'!H27</f>
        <v>64445.783102499998</v>
      </c>
      <c r="C157" s="86">
        <f>IF($B157&gt;0,(GETPIVOTDATA(" New Retirement",'$ Pivot Table'!$A$3,"State","VA","Category",4,"Category2","Four-Year"))/$B157)*100</f>
        <v>10.486821793309661</v>
      </c>
      <c r="D157" s="86">
        <f>IF($B157&gt;0,(GETPIVOTDATA(" New Health",'$ Pivot Table'!$A$3,"State","VA","Category",4,"Category2","Four-Year"))/$B157)*100</f>
        <v>12.815156322898167</v>
      </c>
      <c r="E157" s="86">
        <f>IF($B157&gt;0,(GETPIVOTDATA(" New Disability",'$ Pivot Table'!$A$3,"State","VA","Category",4,"Category2","Four-Year"))/$B157)*100</f>
        <v>0.61626040841520879</v>
      </c>
      <c r="F157" s="86"/>
      <c r="G157" s="86">
        <f>IF($B157&gt;0,(GETPIVOTDATA(" New Social Security",'$ Pivot Table'!$A$3,"State","VA","Category",4,"Category2","Four-Year"))/$B157)*100</f>
        <v>7.3595478438145099</v>
      </c>
      <c r="H157" s="86"/>
      <c r="I157" s="86">
        <f>IF($B157&gt;0,(GETPIVOTDATA(" New Unemployment",'$ Pivot Table'!$A$3,"State","VA","Category",4,"Category2","Four-Year"))/$B157)*100</f>
        <v>0</v>
      </c>
      <c r="J157" s="86">
        <f>IF($B157&gt;0,(GETPIVOTDATA(" New Life Insurance",'$ Pivot Table'!$A$3,"State","VA","Category",4,"Category2","Four-Year"))/$B157)*100</f>
        <v>0.95781827772186345</v>
      </c>
      <c r="K157" s="86"/>
      <c r="L157" s="86">
        <f>IF($B157&gt;0,(GETPIVOTDATA(" New Worker's Comp",'$ Pivot Table'!$A$3,"State","VA","Category",4,"Category2","Four-Year"))/$B157)*100</f>
        <v>0</v>
      </c>
      <c r="M157" s="86">
        <f>IF($B157&gt;0,(GETPIVOTDATA(" New Tuition Plans",'$ Pivot Table'!$A$3,"State","VA","Category",4,"Category2","Four-Year"))/$B157)*100</f>
        <v>0</v>
      </c>
      <c r="N157" s="86">
        <f>IF($B157&gt;0,(GETPIVOTDATA(" New Other",'$ Pivot Table'!$A$3,"State","VA","Category",4,"Category2","Four-Year"))/$B157)*100</f>
        <v>0</v>
      </c>
      <c r="O157" s="86">
        <f>IF($B157&gt;0,(GETPIVOTDATA(" New Total",'$ Pivot Table'!$A$3,"State","VA","Category",4,"Category2","Four-Year"))/$B157)*100</f>
        <v>30.511321152414901</v>
      </c>
      <c r="T157" s="104"/>
    </row>
    <row r="158" spans="1:22">
      <c r="A158" s="630" t="s">
        <v>493</v>
      </c>
      <c r="B158" s="618">
        <f>+'[2]NEW Tables 143-162'!H28</f>
        <v>0</v>
      </c>
      <c r="C158" s="115">
        <f>IF($B158&gt;0,(GETPIVOTDATA(" New Retirement",'$ Pivot Table'!$A$3,"State","WV","Category",4,"Category2","Four-Year"))/$B158)*100</f>
        <v>0</v>
      </c>
      <c r="D158" s="115">
        <f>IF($B158&gt;0,(GETPIVOTDATA(" New Health",'$ Pivot Table'!$A$3,"State","WV","Category",4,"Category2","Four-Year"))/$B158)*100</f>
        <v>0</v>
      </c>
      <c r="E158" s="115">
        <f>IF($B158&gt;0,(GETPIVOTDATA(" New Disability",'$ Pivot Table'!$A$3,"State","WV","Category",4,"Category2","Four-Year"))/$B158)*100</f>
        <v>0</v>
      </c>
      <c r="F158" s="115"/>
      <c r="G158" s="115">
        <f>IF($B158&gt;0,(GETPIVOTDATA(" New Social Security",'$ Pivot Table'!$A$3,"State","WV","Category",4,"Category2","Four-Year"))/$B158)*100</f>
        <v>0</v>
      </c>
      <c r="H158" s="115"/>
      <c r="I158" s="115">
        <f>IF($B158&gt;0,(GETPIVOTDATA(" New Unemployment",'$ Pivot Table'!$A$3,"State","WV","Category",4,"Category2","Four-Year"))/$B158)*100</f>
        <v>0</v>
      </c>
      <c r="J158" s="115">
        <f>IF($B158&gt;0,(GETPIVOTDATA(" New Life Insurance",'$ Pivot Table'!$A$3,"State","WV","Category",4,"Category2","Four-Year"))/$B158)*100</f>
        <v>0</v>
      </c>
      <c r="K158" s="115"/>
      <c r="L158" s="115">
        <f>IF($B158&gt;0,(GETPIVOTDATA(" New Worker's Comp",'$ Pivot Table'!$A$3,"State","WV","Category",4,"Category2","Four-Year"))/$B158)*100</f>
        <v>0</v>
      </c>
      <c r="M158" s="115">
        <f>IF($B158&gt;0,(GETPIVOTDATA(" New Tuition Plans",'$ Pivot Table'!$A$3,"State","WV","Category",4,"Category2","Four-Year"))/$B158)*100</f>
        <v>0</v>
      </c>
      <c r="N158" s="115">
        <f>IF($B158&gt;0,(GETPIVOTDATA(" New Other",'$ Pivot Table'!$A$3,"State","WV","Category",4,"Category2","Four-Year"))/$B158)*100</f>
        <v>0</v>
      </c>
      <c r="O158" s="115">
        <f>IF($B158&gt;0,(GETPIVOTDATA(" New Total",'$ Pivot Table'!$A$3,"State","WV","Category",4,"Category2","Four-Year"))/$B158)*100</f>
        <v>0</v>
      </c>
      <c r="T158" s="104"/>
    </row>
    <row r="159" spans="1:22">
      <c r="A159" s="627" t="s">
        <v>692</v>
      </c>
      <c r="B159" s="31"/>
      <c r="C159" s="28"/>
      <c r="D159" s="28"/>
      <c r="E159" s="28"/>
      <c r="F159" s="28"/>
      <c r="G159" s="28"/>
      <c r="H159" s="28"/>
      <c r="I159" s="28"/>
      <c r="J159" s="28"/>
      <c r="K159" s="28"/>
      <c r="L159" s="28"/>
      <c r="M159" s="28"/>
      <c r="N159" s="28"/>
      <c r="O159" s="86"/>
      <c r="Q159" s="116"/>
      <c r="R159" s="101"/>
      <c r="S159" s="103"/>
      <c r="T159" s="102"/>
      <c r="V159" s="117"/>
    </row>
    <row r="160" spans="1:22" ht="18" customHeight="1">
      <c r="A160" s="628" t="s">
        <v>14</v>
      </c>
      <c r="B160" s="45"/>
      <c r="C160" s="54"/>
      <c r="D160" s="54"/>
      <c r="E160" s="54"/>
      <c r="F160" s="54"/>
      <c r="G160" s="54"/>
      <c r="H160" s="54"/>
      <c r="I160" s="54"/>
      <c r="J160" s="54"/>
      <c r="K160" s="54"/>
      <c r="L160" s="54"/>
      <c r="M160" s="54"/>
      <c r="N160" s="54"/>
      <c r="O160" s="145"/>
    </row>
    <row r="161" spans="1:15" ht="18" customHeight="1">
      <c r="A161" s="628" t="s">
        <v>678</v>
      </c>
      <c r="B161" s="45"/>
      <c r="C161" s="54"/>
      <c r="D161" s="54"/>
      <c r="E161" s="54"/>
      <c r="F161" s="54"/>
      <c r="G161" s="54"/>
      <c r="H161" s="54"/>
      <c r="I161" s="54"/>
      <c r="J161" s="54"/>
      <c r="K161" s="54"/>
      <c r="L161" s="54"/>
      <c r="M161" s="54"/>
      <c r="N161" s="54"/>
      <c r="O161" s="145"/>
    </row>
    <row r="162" spans="1:15">
      <c r="A162" s="629"/>
      <c r="B162" s="45"/>
      <c r="C162" s="54"/>
      <c r="D162" s="54"/>
      <c r="E162" s="54"/>
      <c r="F162" s="54"/>
      <c r="G162" s="54"/>
      <c r="H162" s="54"/>
      <c r="I162" s="54"/>
      <c r="J162" s="54"/>
      <c r="K162" s="54"/>
      <c r="L162" s="54"/>
      <c r="M162" s="54"/>
      <c r="N162" s="54"/>
      <c r="O162" s="637" t="s">
        <v>1321</v>
      </c>
    </row>
    <row r="163" spans="1:15" ht="18">
      <c r="A163" s="595" t="s">
        <v>1105</v>
      </c>
      <c r="B163" s="48"/>
      <c r="C163" s="48"/>
      <c r="D163" s="48"/>
      <c r="E163" s="48"/>
      <c r="F163" s="48"/>
      <c r="G163" s="48"/>
      <c r="H163" s="48"/>
      <c r="I163" s="48"/>
      <c r="J163" s="48"/>
      <c r="K163" s="48"/>
      <c r="L163" s="48"/>
      <c r="M163" s="48"/>
      <c r="N163" s="48"/>
      <c r="O163" s="48"/>
    </row>
    <row r="164" spans="1:15" ht="18">
      <c r="A164" s="632"/>
      <c r="B164" s="45"/>
      <c r="C164" s="54"/>
      <c r="D164" s="54"/>
      <c r="E164" s="54"/>
      <c r="F164" s="54"/>
      <c r="G164" s="54"/>
      <c r="H164" s="54"/>
      <c r="I164" s="54"/>
      <c r="J164" s="54"/>
      <c r="K164" s="54"/>
      <c r="L164" s="54"/>
      <c r="M164" s="54"/>
      <c r="N164" s="54"/>
      <c r="O164" s="145"/>
    </row>
    <row r="165" spans="1:15" ht="15.75">
      <c r="A165" s="640" t="s">
        <v>466</v>
      </c>
      <c r="B165" s="641"/>
      <c r="C165" s="641"/>
      <c r="D165" s="641"/>
      <c r="E165" s="641"/>
      <c r="F165" s="641"/>
      <c r="G165" s="641"/>
      <c r="H165" s="641"/>
      <c r="I165" s="641"/>
      <c r="J165" s="641"/>
      <c r="K165" s="641"/>
      <c r="L165" s="641"/>
      <c r="M165" s="641"/>
      <c r="N165" s="641"/>
      <c r="O165" s="641"/>
    </row>
    <row r="166" spans="1:15" ht="15.75">
      <c r="A166" s="640" t="s">
        <v>1159</v>
      </c>
      <c r="B166" s="641"/>
      <c r="C166" s="641"/>
      <c r="D166" s="641"/>
      <c r="E166" s="641"/>
      <c r="F166" s="641"/>
      <c r="G166" s="641"/>
      <c r="H166" s="641"/>
      <c r="I166" s="641"/>
      <c r="J166" s="641"/>
      <c r="K166" s="641"/>
      <c r="L166" s="641"/>
      <c r="M166" s="641"/>
      <c r="N166" s="641"/>
      <c r="O166" s="641"/>
    </row>
    <row r="167" spans="1:15">
      <c r="A167" s="148"/>
      <c r="B167" s="45"/>
      <c r="C167" s="54"/>
      <c r="D167" s="54"/>
      <c r="E167" s="54"/>
      <c r="F167" s="54"/>
      <c r="G167" s="54"/>
      <c r="H167" s="54"/>
      <c r="I167" s="54"/>
      <c r="J167" s="54"/>
      <c r="K167" s="54"/>
      <c r="L167" s="54"/>
      <c r="M167" s="54"/>
      <c r="N167" s="54"/>
      <c r="O167" s="145"/>
    </row>
    <row r="168" spans="1:15">
      <c r="A168" s="623"/>
      <c r="B168" s="2" t="s">
        <v>473</v>
      </c>
      <c r="C168" s="643" t="s">
        <v>593</v>
      </c>
      <c r="D168" s="643"/>
      <c r="E168" s="643"/>
      <c r="F168" s="643"/>
      <c r="G168" s="643"/>
      <c r="H168" s="643"/>
      <c r="I168" s="643"/>
      <c r="J168" s="643"/>
      <c r="K168" s="643"/>
      <c r="L168" s="643"/>
      <c r="M168" s="643"/>
      <c r="N168" s="643"/>
      <c r="O168" s="643"/>
    </row>
    <row r="169" spans="1:15">
      <c r="A169" s="624"/>
      <c r="B169" s="4" t="s">
        <v>474</v>
      </c>
      <c r="C169" s="3" t="s">
        <v>660</v>
      </c>
      <c r="D169" s="3"/>
      <c r="E169" s="53"/>
      <c r="F169" s="53"/>
      <c r="G169" s="3" t="s">
        <v>661</v>
      </c>
      <c r="H169" s="3"/>
      <c r="I169" s="3" t="s">
        <v>662</v>
      </c>
      <c r="J169" s="3" t="s">
        <v>663</v>
      </c>
      <c r="K169" s="3"/>
      <c r="L169" s="3" t="s">
        <v>664</v>
      </c>
      <c r="M169" s="3" t="s">
        <v>665</v>
      </c>
      <c r="N169" s="3"/>
      <c r="O169" s="124" t="s">
        <v>475</v>
      </c>
    </row>
    <row r="170" spans="1:15">
      <c r="A170" s="625"/>
      <c r="B170" s="15" t="s">
        <v>476</v>
      </c>
      <c r="C170" s="16" t="s">
        <v>667</v>
      </c>
      <c r="D170" s="16" t="s">
        <v>708</v>
      </c>
      <c r="E170" s="17" t="s">
        <v>709</v>
      </c>
      <c r="F170" s="17"/>
      <c r="G170" s="16" t="s">
        <v>668</v>
      </c>
      <c r="H170" s="16"/>
      <c r="I170" s="16" t="s">
        <v>667</v>
      </c>
      <c r="J170" s="16" t="s">
        <v>669</v>
      </c>
      <c r="K170" s="16"/>
      <c r="L170" s="16" t="s">
        <v>670</v>
      </c>
      <c r="M170" s="16" t="s">
        <v>671</v>
      </c>
      <c r="N170" s="16" t="s">
        <v>701</v>
      </c>
      <c r="O170" s="146" t="s">
        <v>15</v>
      </c>
    </row>
    <row r="171" spans="1:15">
      <c r="A171" s="149" t="s">
        <v>600</v>
      </c>
      <c r="B171" s="33">
        <f>+'[2]NEW Tables 143-162'!J8</f>
        <v>59024.507887206564</v>
      </c>
      <c r="C171" s="32">
        <f>IF($B171&gt;0,(GETPIVOTDATA(" New Retirement",'$ Pivot Table'!$A$3,"Category",5,"Category2","Four-Year"))/$B171)*100</f>
        <v>11.317306603238094</v>
      </c>
      <c r="D171" s="32">
        <f>IF($B171&gt;0,(GETPIVOTDATA(" New Health",'$ Pivot Table'!$A$3,"Category",5,"Category2","Four-Year"))/$B171)*100</f>
        <v>9.9281994235941049</v>
      </c>
      <c r="E171" s="32">
        <f>IF($B171&gt;0,(GETPIVOTDATA(" New Disability",'$ Pivot Table'!$A$3,"Category",5,"Category2","Four-Year"))/$B171)*100</f>
        <v>0.64807238917183618</v>
      </c>
      <c r="F171" s="32"/>
      <c r="G171" s="32">
        <f>IF($B171&gt;0,(GETPIVOTDATA(" New Social Security",'$ Pivot Table'!$A$3,"Category",5,"Category2","Four-Year"))/$B171)*100</f>
        <v>7.4453154969404869</v>
      </c>
      <c r="H171" s="32"/>
      <c r="I171" s="32">
        <f>IF($B171&gt;0,(GETPIVOTDATA(" New Unemployment",'$ Pivot Table'!$A$3,"Category",5,"Category2","Four-Year"))/$B171)*100</f>
        <v>0.25097192582487887</v>
      </c>
      <c r="J171" s="32">
        <f>IF($B171&gt;0,(GETPIVOTDATA(" New Life Insurance",'$ Pivot Table'!$A$3,"Category",5,"Category2","Four-Year"))/$B171)*100</f>
        <v>0.46290364285513996</v>
      </c>
      <c r="K171" s="32"/>
      <c r="L171" s="32">
        <f>IF($B171&gt;0,(GETPIVOTDATA(" New Worker's Comp",'$ Pivot Table'!$A$3,"Category",5,"Category2","Four-Year"))/$B171)*100</f>
        <v>0.69130420061323428</v>
      </c>
      <c r="M171" s="32">
        <f>IF($B171&gt;0,(GETPIVOTDATA(" New Tuition Plans",'$ Pivot Table'!$A$3,"Category",5,"Category2","Four-Year"))/$B171)*100</f>
        <v>3.9087529990610665</v>
      </c>
      <c r="N171" s="32">
        <f>IF($B171&gt;0,(GETPIVOTDATA(" New Other",'$ Pivot Table'!$A$3,"Category",5,"Category2","Four-Year"))/$B171)*100</f>
        <v>0.70769556802539313</v>
      </c>
      <c r="O171" s="90">
        <f>IF($B171&gt;0,(GETPIVOTDATA(" New Total",'$ Pivot Table'!$A$3,"Category",5,"Category2","Four-Year"))/$B171)*100</f>
        <v>29.490887492214007</v>
      </c>
    </row>
    <row r="172" spans="1:15">
      <c r="A172" s="149"/>
      <c r="B172" s="31">
        <f>+'[3]NEW Tables 144-163'!J9</f>
        <v>0</v>
      </c>
      <c r="C172" s="32"/>
      <c r="D172" s="34"/>
      <c r="E172" s="32"/>
      <c r="F172" s="32"/>
      <c r="G172" s="32"/>
      <c r="H172" s="32"/>
      <c r="I172" s="32"/>
      <c r="J172" s="32"/>
      <c r="K172" s="32"/>
      <c r="L172" s="32"/>
      <c r="M172" s="32"/>
      <c r="N172" s="32"/>
      <c r="O172" s="90"/>
    </row>
    <row r="173" spans="1:15">
      <c r="A173" s="149" t="s">
        <v>479</v>
      </c>
      <c r="B173" s="617">
        <f>+'[2]NEW Tables 143-162'!J10</f>
        <v>56738.445081967213</v>
      </c>
      <c r="C173" s="32">
        <f>IF($B173&gt;0,(GETPIVOTDATA(" New Retirement",'$ Pivot Table'!$A$3,"State","AL","Category",5,"Category2","Four-Year"))/$B173)*100</f>
        <v>12.484855469163699</v>
      </c>
      <c r="D173" s="32">
        <f>IF($B173&gt;0,(GETPIVOTDATA(" New Health",'$ Pivot Table'!$A$3,"State","AL","Category",5,"Category2","Four-Year"))/$B173)*100</f>
        <v>5.2085666711352827</v>
      </c>
      <c r="E173" s="32">
        <f>IF($B173&gt;0,(GETPIVOTDATA(" New Disability",'$ Pivot Table'!$A$3,"State","AL","Category",5,"Category2","Four-Year"))/$B173)*100</f>
        <v>0.42188845759495508</v>
      </c>
      <c r="F173" s="32"/>
      <c r="G173" s="32">
        <f>IF($B173&gt;0,(GETPIVOTDATA(" New Social Security",'$ Pivot Table'!$A$3,"State","AL","Category",5,"Category2","Four-Year"))/$B173)*100</f>
        <v>7.634626588156471</v>
      </c>
      <c r="H173" s="32"/>
      <c r="I173" s="32">
        <f>IF($B173&gt;0,(GETPIVOTDATA(" New Unemployment",'$ Pivot Table'!$A$3,"State","AL","Category",5,"Category2","Four-Year"))/$B173)*100</f>
        <v>0.21230728801357907</v>
      </c>
      <c r="J173" s="32">
        <f>IF($B173&gt;0,(GETPIVOTDATA(" New Life Insurance",'$ Pivot Table'!$A$3,"State","AL","Category",5,"Category2","Four-Year"))/$B173)*100</f>
        <v>0.16451349962886211</v>
      </c>
      <c r="K173" s="32"/>
      <c r="L173" s="32">
        <f>IF($B173&gt;0,(GETPIVOTDATA(" New Worker's Comp",'$ Pivot Table'!$A$3,"State","AL","Category",5,"Category2","Four-Year"))/$B173)*100</f>
        <v>0</v>
      </c>
      <c r="M173" s="32">
        <f>IF($B173&gt;0,(GETPIVOTDATA(" New Tuition Plans",'$ Pivot Table'!$A$3,"State","AL","Category",5,"Category2","Four-Year"))/$B173)*100</f>
        <v>4.8125091429597289</v>
      </c>
      <c r="N173" s="32">
        <f>IF($B173&gt;0,(GETPIVOTDATA(" New Other",'$ Pivot Table'!$A$3,"State","AL","Category",5,"Category2","Four-Year"))/$B173)*100</f>
        <v>8.6149699607357046</v>
      </c>
      <c r="O173" s="90">
        <f>IF($B173&gt;0,(GETPIVOTDATA(" New Total",'$ Pivot Table'!$A$3,"State","AL","Category",5,"Category2","Four-Year"))/$B173)*100</f>
        <v>26.706075315573386</v>
      </c>
    </row>
    <row r="174" spans="1:15">
      <c r="A174" s="149" t="s">
        <v>480</v>
      </c>
      <c r="B174" s="617">
        <f>+'[2]NEW Tables 143-162'!J11</f>
        <v>49637.593632051277</v>
      </c>
      <c r="C174" s="32">
        <f>IF($B174&gt;0,(GETPIVOTDATA(" New Retirement",'$ Pivot Table'!$A$3,"State","AR","Category",5,"Category2","Four-Year"))/$B174)*100</f>
        <v>9.3931987017932492</v>
      </c>
      <c r="D174" s="32">
        <f>IF($B174&gt;0,(GETPIVOTDATA(" New Health",'$ Pivot Table'!$A$3,"State","AR","Category",5,"Category2","Four-Year"))/$B174)*100</f>
        <v>12.455995012817592</v>
      </c>
      <c r="E174" s="32">
        <f>IF($B174&gt;0,(GETPIVOTDATA(" New Disability",'$ Pivot Table'!$A$3,"State","AR","Category",5,"Category2","Four-Year"))/$B174)*100</f>
        <v>0.17490114629806847</v>
      </c>
      <c r="F174" s="32"/>
      <c r="G174" s="32">
        <f>IF($B174&gt;0,(GETPIVOTDATA(" New Social Security",'$ Pivot Table'!$A$3,"State","AR","Category",5,"Category2","Four-Year"))/$B174)*100</f>
        <v>7.4282284876088509</v>
      </c>
      <c r="H174" s="32"/>
      <c r="I174" s="32">
        <f>IF($B174&gt;0,(GETPIVOTDATA(" New Unemployment",'$ Pivot Table'!$A$3,"State","AR","Category",5,"Category2","Four-Year"))/$B174)*100</f>
        <v>0.18735153754864201</v>
      </c>
      <c r="J174" s="32">
        <f>IF($B174&gt;0,(GETPIVOTDATA(" New Life Insurance",'$ Pivot Table'!$A$3,"State","AR","Category",5,"Category2","Four-Year"))/$B174)*100</f>
        <v>0.31326279629712311</v>
      </c>
      <c r="K174" s="32"/>
      <c r="L174" s="32">
        <f>IF($B174&gt;0,(GETPIVOTDATA(" New Worker's Comp",'$ Pivot Table'!$A$3,"State","AR","Category",5,"Category2","Four-Year"))/$B174)*100</f>
        <v>0.20646632757090702</v>
      </c>
      <c r="M174" s="32">
        <f>IF($B174&gt;0,(GETPIVOTDATA(" New Tuition Plans",'$ Pivot Table'!$A$3,"State","AR","Category",5,"Category2","Four-Year"))/$B174)*100</f>
        <v>4.8234610600744734</v>
      </c>
      <c r="N174" s="32">
        <f>IF($B174&gt;0,(GETPIVOTDATA(" New Other",'$ Pivot Table'!$A$3,"State","AR","Category",5,"Category2","Four-Year"))/$B174)*100</f>
        <v>0</v>
      </c>
      <c r="O174" s="90">
        <f>IF($B174&gt;0,(GETPIVOTDATA(" New Total",'$ Pivot Table'!$A$3,"State","AR","Category",5,"Category2","Four-Year"))/$B174)*100</f>
        <v>29.316590129373164</v>
      </c>
    </row>
    <row r="175" spans="1:15">
      <c r="A175" s="149" t="s">
        <v>494</v>
      </c>
      <c r="B175" s="617">
        <f>+'[2]NEW Tables 143-162'!J12</f>
        <v>0</v>
      </c>
      <c r="C175" s="32">
        <f>IF($B175&gt;0,(GETPIVOTDATA(" New Retirement",'$ Pivot Table'!$A$3,"State","DE","Category",5,"Category2","Four-Year"))/$B175)*100</f>
        <v>0</v>
      </c>
      <c r="D175" s="32">
        <f>IF($B175&gt;0,(GETPIVOTDATA(" New Health",'$ Pivot Table'!$A$3,"State","DE","Category",5,"Category2","Four-Year"))/$B175)*100</f>
        <v>0</v>
      </c>
      <c r="E175" s="32">
        <f>IF($B175&gt;0,(GETPIVOTDATA(" New Disability",'$ Pivot Table'!$A$3,"State","DE","Category",5,"Category2","Four-Year"))/$B175)*100</f>
        <v>0</v>
      </c>
      <c r="F175" s="32"/>
      <c r="G175" s="32">
        <f>IF($B175&gt;0,(GETPIVOTDATA(" New Social Security",'$ Pivot Table'!$A$3,"State","DE","Category",5,"Category2","Four-Year"))/$B175)*100</f>
        <v>0</v>
      </c>
      <c r="H175" s="32"/>
      <c r="I175" s="32">
        <f>IF($B175&gt;0,(GETPIVOTDATA(" New Unemployment",'$ Pivot Table'!$A$3,"State","DE","Category",5,"Category2","Four-Year"))/$B175)*100</f>
        <v>0</v>
      </c>
      <c r="J175" s="32">
        <f>IF($B175&gt;0,(GETPIVOTDATA(" New Life Insurance",'$ Pivot Table'!$A$3,"State","DE","Category",5,"Category2","Four-Year"))/$B175)*100</f>
        <v>0</v>
      </c>
      <c r="K175" s="32"/>
      <c r="L175" s="32">
        <f>IF($B175&gt;0,(GETPIVOTDATA(" New Worker's Comp",'$ Pivot Table'!$A$3,"State","DE","Category",5,"Category2","Four-Year"))/$B175)*100</f>
        <v>0</v>
      </c>
      <c r="M175" s="32">
        <f>IF($B175&gt;0,(GETPIVOTDATA(" New Tuition Plans",'$ Pivot Table'!$A$3,"State","DE","Category",5,"Category2","Four-Year"))/$B175)*100</f>
        <v>0</v>
      </c>
      <c r="N175" s="32">
        <f>IF($B175&gt;0,(GETPIVOTDATA(" New Other",'$ Pivot Table'!$A$3,"State","DE","Category",5,"Category2","Four-Year"))/$B175)*100</f>
        <v>0</v>
      </c>
      <c r="O175" s="90">
        <f>IF($B175&gt;0,(GETPIVOTDATA(" New Total",'$ Pivot Table'!$A$3,"State","DE","Category",5,"Category2","Four-Year"))/$B175)*100</f>
        <v>0</v>
      </c>
    </row>
    <row r="176" spans="1:15">
      <c r="A176" s="149" t="s">
        <v>481</v>
      </c>
      <c r="B176" s="617">
        <f>+'[2]NEW Tables 143-162'!J13</f>
        <v>0</v>
      </c>
      <c r="C176" s="32">
        <f>IF($B176&gt;0,(GETPIVOTDATA(" New Retirement",'$ Pivot Table'!$A$3,"State","FL","Category",5,"Category2","Four-Year"))/$B176)*100</f>
        <v>0</v>
      </c>
      <c r="D176" s="32">
        <f>IF($B176&gt;0,(GETPIVOTDATA(" New Health",'$ Pivot Table'!$A$3,"State","FL","Category",5,"Category2","Four-Year"))/$B176)*100</f>
        <v>0</v>
      </c>
      <c r="E176" s="32">
        <f>IF($B176&gt;0,(GETPIVOTDATA(" New Disability",'$ Pivot Table'!$A$3,"State","FL","Category",5,"Category2","Four-Year"))/$B176)*100</f>
        <v>0</v>
      </c>
      <c r="F176" s="32"/>
      <c r="G176" s="32">
        <f>IF($B176&gt;0,(GETPIVOTDATA(" New Social Security",'$ Pivot Table'!$A$3,"State","FL","Category",5,"Category2","Four-Year"))/$B176)*100</f>
        <v>0</v>
      </c>
      <c r="H176" s="32"/>
      <c r="I176" s="56">
        <f>IF($B176&gt;0,(GETPIVOTDATA(" New Unemployment",'$ Pivot Table'!$A$3,"State","FL","Category",5,"Category2","Four-Year"))/$B176)*100</f>
        <v>0</v>
      </c>
      <c r="J176" s="56">
        <f>IF($B176&gt;0,(GETPIVOTDATA(" New Life Insurance",'$ Pivot Table'!$A$3,"State","FL","Category",5,"Category2","Four-Year"))/$B176)*100</f>
        <v>0</v>
      </c>
      <c r="K176" s="56"/>
      <c r="L176" s="35">
        <f>IF($B176&gt;0,(GETPIVOTDATA(" New Worker's Comp",'$ Pivot Table'!$A$3,"State","FL","Category",5,"Category2","Four-Year"))/$B176)*100</f>
        <v>0</v>
      </c>
      <c r="M176" s="32">
        <f>IF($B176&gt;0,(GETPIVOTDATA(" New Tuition Plans",'$ Pivot Table'!$A$3,"State","FL","Category",5,"Category2","Four-Year"))/$B176)*100</f>
        <v>0</v>
      </c>
      <c r="N176" s="32">
        <f>IF($B176&gt;0,(GETPIVOTDATA(" New Other",'$ Pivot Table'!$A$3,"State","FL","Category",5,"Category2","Four-Year"))/$B176)*100</f>
        <v>0</v>
      </c>
      <c r="O176" s="90">
        <f>IF($B176&gt;0,(GETPIVOTDATA(" New Total",'$ Pivot Table'!$A$3,"State","FL","Category",5,"Category2","Four-Year"))/$B176)*100</f>
        <v>0</v>
      </c>
    </row>
    <row r="177" spans="1:15">
      <c r="A177" s="149"/>
      <c r="B177" s="617">
        <f>+'[2]NEW Tables 143-162'!J14</f>
        <v>0</v>
      </c>
      <c r="C177" s="32"/>
      <c r="D177" s="34"/>
      <c r="E177" s="32"/>
      <c r="F177" s="32"/>
      <c r="G177" s="32"/>
      <c r="H177" s="32"/>
      <c r="I177" s="32"/>
      <c r="J177" s="32"/>
      <c r="K177" s="32"/>
      <c r="L177" s="32"/>
      <c r="M177" s="32"/>
      <c r="N177" s="32"/>
      <c r="O177" s="90"/>
    </row>
    <row r="178" spans="1:15">
      <c r="A178" s="149" t="s">
        <v>482</v>
      </c>
      <c r="B178" s="617">
        <f>+'[2]NEW Tables 143-162'!J15</f>
        <v>57331.743067307099</v>
      </c>
      <c r="C178" s="32">
        <f>IF($B178&gt;0,(GETPIVOTDATA(" New Retirement",'$ Pivot Table'!$A$3,"State","GA","Category",5,"Category2","Four-Year"))/$B178)*100</f>
        <v>9.1475737227621465</v>
      </c>
      <c r="D178" s="32">
        <f>IF($B178&gt;0,(GETPIVOTDATA(" New Health",'$ Pivot Table'!$A$3,"State","GA","Category",5,"Category2","Four-Year"))/$B178)*100</f>
        <v>12.661209261660614</v>
      </c>
      <c r="E178" s="32">
        <f>IF($B178&gt;0,(GETPIVOTDATA(" New Disability",'$ Pivot Table'!$A$3,"State","GA","Category",5,"Category2","Four-Year"))/$B178)*100</f>
        <v>0</v>
      </c>
      <c r="F178" s="32"/>
      <c r="G178" s="32">
        <f>IF($B178&gt;0,(GETPIVOTDATA(" New Social Security",'$ Pivot Table'!$A$3,"State","GA","Category",5,"Category2","Four-Year"))/$B178)*100</f>
        <v>7.5324469009092274</v>
      </c>
      <c r="H178" s="32"/>
      <c r="I178" s="32">
        <f>IF($B178&gt;0,(GETPIVOTDATA(" New Unemployment",'$ Pivot Table'!$A$3,"State","GA","Category",5,"Category2","Four-Year"))/$B178)*100</f>
        <v>0.24593705416293887</v>
      </c>
      <c r="J178" s="32">
        <f>IF($B178&gt;0,(GETPIVOTDATA(" New Life Insurance",'$ Pivot Table'!$A$3,"State","GA","Category",5,"Category2","Four-Year"))/$B178)*100</f>
        <v>0.22621362863000041</v>
      </c>
      <c r="K178" s="32"/>
      <c r="L178" s="32">
        <f>IF($B178&gt;0,(GETPIVOTDATA(" New Worker's Comp",'$ Pivot Table'!$A$3,"State","GA","Category",5,"Category2","Four-Year"))/$B178)*100</f>
        <v>0.22174784065302727</v>
      </c>
      <c r="M178" s="32">
        <f>IF($B178&gt;0,(GETPIVOTDATA(" New Tuition Plans",'$ Pivot Table'!$A$3,"State","GA","Category",5,"Category2","Four-Year"))/$B178)*100</f>
        <v>0</v>
      </c>
      <c r="N178" s="32">
        <f>IF($B178&gt;0,(GETPIVOTDATA(" New Other",'$ Pivot Table'!$A$3,"State","GA","Category",5,"Category2","Four-Year"))/$B178)*100</f>
        <v>0</v>
      </c>
      <c r="O178" s="90">
        <f>IF($B178&gt;0,(GETPIVOTDATA(" New Total",'$ Pivot Table'!$A$3,"State","GA","Category",5,"Category2","Four-Year"))/$B178)*100</f>
        <v>27.133169413914445</v>
      </c>
    </row>
    <row r="179" spans="1:15">
      <c r="A179" s="149" t="s">
        <v>483</v>
      </c>
      <c r="B179" s="617">
        <f>+'[2]NEW Tables 143-162'!J16</f>
        <v>0</v>
      </c>
      <c r="C179" s="32">
        <f>IF($B179&gt;0,(GETPIVOTDATA(" New Retirement",'$ Pivot Table'!$A$3,"State","KY","Category",5,"Category2","Four-Year"))/$B179)*100</f>
        <v>0</v>
      </c>
      <c r="D179" s="32">
        <f>IF($B179&gt;0,(GETPIVOTDATA(" New Health",'$ Pivot Table'!$A$3,"State","KY","Category",5,"Category2","Four-Year"))/$B179)*100</f>
        <v>0</v>
      </c>
      <c r="E179" s="32">
        <f>IF($B179&gt;0,(GETPIVOTDATA(" New Disability",'$ Pivot Table'!$A$3,"State","KY","Category",5,"Category2","Four-Year"))/$B179)*100</f>
        <v>0</v>
      </c>
      <c r="F179" s="32"/>
      <c r="G179" s="32">
        <f>IF($B179&gt;0,(GETPIVOTDATA(" New Social Security",'$ Pivot Table'!$A$3,"State","KY","Category",5,"Category2","Four-Year"))/$B179)*100</f>
        <v>0</v>
      </c>
      <c r="H179" s="32"/>
      <c r="I179" s="32">
        <f>IF($B179&gt;0,(GETPIVOTDATA(" New Unemployment",'$ Pivot Table'!$A$3,"State","KY","Category",5,"Category2","Four-Year"))/$B179)*100</f>
        <v>0</v>
      </c>
      <c r="J179" s="32">
        <f>IF($B179&gt;0,(GETPIVOTDATA(" New Life Insurance",'$ Pivot Table'!$A$3,"State","KY","Category",5,"Category2","Four-Year"))/$B179)*100</f>
        <v>0</v>
      </c>
      <c r="K179" s="32"/>
      <c r="L179" s="32">
        <f>IF($B179&gt;0,(GETPIVOTDATA(" New Worker's Comp",'$ Pivot Table'!$A$3,"State","KY","Category",5,"Category2","Four-Year"))/$B179)*100</f>
        <v>0</v>
      </c>
      <c r="M179" s="32">
        <f>IF($B179&gt;0,(GETPIVOTDATA(" New Tuition Plans",'$ Pivot Table'!$A$3,"State","KY","Category",5,"Category2","Four-Year"))/$B179)*100</f>
        <v>0</v>
      </c>
      <c r="N179" s="32">
        <f>IF($B179&gt;0,(GETPIVOTDATA(" New Other",'$ Pivot Table'!$A$3,"State","KY","Category",5,"Category2","Four-Year"))/$B179)*100</f>
        <v>0</v>
      </c>
      <c r="O179" s="90">
        <f>IF($B179&gt;0,(GETPIVOTDATA(" New Total",'$ Pivot Table'!$A$3,"State","KY","Category",5,"Category2","Four-Year"))/$B179)*100</f>
        <v>0</v>
      </c>
    </row>
    <row r="180" spans="1:15">
      <c r="A180" s="149" t="s">
        <v>484</v>
      </c>
      <c r="B180" s="617">
        <f>+'[2]NEW Tables 143-162'!J17</f>
        <v>0</v>
      </c>
      <c r="C180" s="32">
        <f>IF($B180&gt;0,(GETPIVOTDATA(" New Retirement",'$ Pivot Table'!$A$3,"State","LA","Category",5,"Category2","Four-Year"))/$B180)*100</f>
        <v>0</v>
      </c>
      <c r="D180" s="32">
        <f>IF($B180&gt;0,(GETPIVOTDATA(" New Health",'$ Pivot Table'!$A$3,"State","LA","Category",5,"Category2","Four-Year"))/$B180)*100</f>
        <v>0</v>
      </c>
      <c r="E180" s="32">
        <f>IF($B180&gt;0,(GETPIVOTDATA(" New Disability",'$ Pivot Table'!$A$3,"State","LA","Category",5,"Category2","Four-Year"))/$B180)*100</f>
        <v>0</v>
      </c>
      <c r="F180" s="32"/>
      <c r="G180" s="90">
        <f>IF($B180&gt;0,(GETPIVOTDATA(" New Social Security",'$ Pivot Table'!$A$3,"State","LA","Category",5,"Category2","Four-Year"))/$B180)*100</f>
        <v>0</v>
      </c>
      <c r="H180" s="91"/>
      <c r="I180" s="32">
        <f>IF($B180&gt;0,(GETPIVOTDATA(" New Unemployment",'$ Pivot Table'!$A$3,"State","LA","Category",5,"Category2","Four-Year"))/$B180)*100</f>
        <v>0</v>
      </c>
      <c r="J180" s="56">
        <f>IF($B180&gt;0,(GETPIVOTDATA(" New Life Insurance",'$ Pivot Table'!$A$3,"State","LA","Category",5,"Category2","Four-Year"))/$B180)*100</f>
        <v>0</v>
      </c>
      <c r="K180" s="32"/>
      <c r="L180" s="32">
        <f>IF($B180&gt;0,(GETPIVOTDATA(" New Worker's Comp",'$ Pivot Table'!$A$3,"State","LA","Category",5,"Category2","Four-Year"))/$B180)*100</f>
        <v>0</v>
      </c>
      <c r="M180" s="32">
        <f>IF($B180&gt;0,(GETPIVOTDATA(" New Tuition Plans",'$ Pivot Table'!$A$3,"State","LA","Category",5,"Category2","Four-Year"))/$B180)*100</f>
        <v>0</v>
      </c>
      <c r="N180" s="32">
        <f>IF($B180&gt;0,(GETPIVOTDATA(" New Other",'$ Pivot Table'!$A$3,"State","LA","Category",5,"Category2","Four-Year"))/$B180)*100</f>
        <v>0</v>
      </c>
      <c r="O180" s="90">
        <f>IF($B180&gt;0,(GETPIVOTDATA(" New Total",'$ Pivot Table'!$A$3,"State","LA","Category",5,"Category2","Four-Year"))/$B180)*100</f>
        <v>0</v>
      </c>
    </row>
    <row r="181" spans="1:15">
      <c r="A181" s="149" t="s">
        <v>485</v>
      </c>
      <c r="B181" s="617">
        <f>+'[2]NEW Tables 143-162'!J18</f>
        <v>0</v>
      </c>
      <c r="C181" s="32">
        <f>IF($B181&gt;0,(GETPIVOTDATA(" New Retirement",'$ Pivot Table'!$A$3,"State","MD","Category",5,"Category2","Four-Year"))/$B181)*100</f>
        <v>0</v>
      </c>
      <c r="D181" s="32">
        <f>IF($B181&gt;0,(GETPIVOTDATA(" New Health",'$ Pivot Table'!$A$3,"State","MD","Category",5,"Category2","Four-Year"))/$B181)*100</f>
        <v>0</v>
      </c>
      <c r="E181" s="32">
        <f>IF($B181&gt;0,(GETPIVOTDATA(" New Disability",'$ Pivot Table'!$A$3,"State","MD","Category",5,"Category2","Four-Year"))/$B181)*100</f>
        <v>0</v>
      </c>
      <c r="F181" s="32"/>
      <c r="G181" s="32">
        <f>IF($B181&gt;0,(GETPIVOTDATA(" New Social Security",'$ Pivot Table'!$A$3,"State","MD","Category",5,"Category2","Four-Year"))/$B181)*100</f>
        <v>0</v>
      </c>
      <c r="H181" s="32"/>
      <c r="I181" s="32">
        <f>IF($B181&gt;0,(GETPIVOTDATA(" New Unemployment",'$ Pivot Table'!$A$3,"State","MD","Category",5,"Category2","Four-Year"))/$B181)*100</f>
        <v>0</v>
      </c>
      <c r="J181" s="32">
        <f>IF($B181&gt;0,(GETPIVOTDATA(" New Life Insurance",'$ Pivot Table'!$A$3,"State","MD","Category",5,"Category2","Four-Year"))/$B181)*100</f>
        <v>0</v>
      </c>
      <c r="K181" s="32"/>
      <c r="L181" s="32">
        <f>IF($B181&gt;0,(GETPIVOTDATA(" New Worker's Comp",'$ Pivot Table'!$A$3,"State","MD","Category",5,"Category2","Four-Year"))/$B181)*100</f>
        <v>0</v>
      </c>
      <c r="M181" s="32">
        <f>IF($B181&gt;0,(GETPIVOTDATA(" New Tuition Plans",'$ Pivot Table'!$A$3,"State","MD","Category",5,"Category2","Four-Year"))/$B181)*100</f>
        <v>0</v>
      </c>
      <c r="N181" s="32">
        <f>IF($B181&gt;0,(GETPIVOTDATA(" New Other",'$ Pivot Table'!$A$3,"State","MD","Category",5,"Category2","Four-Year"))/$B181)*100</f>
        <v>0</v>
      </c>
      <c r="O181" s="90">
        <f>IF($B181&gt;0,(GETPIVOTDATA(" New Total",'$ Pivot Table'!$A$3,"State","MD","Category",5,"Category2","Four-Year"))/$B181)*100</f>
        <v>0</v>
      </c>
    </row>
    <row r="182" spans="1:15">
      <c r="A182" s="149"/>
      <c r="B182" s="617">
        <f>+'[2]NEW Tables 143-162'!J19</f>
        <v>0</v>
      </c>
      <c r="C182" s="32"/>
      <c r="D182" s="34"/>
      <c r="E182" s="32"/>
      <c r="F182" s="32"/>
      <c r="G182" s="32"/>
      <c r="H182" s="32"/>
      <c r="I182" s="32"/>
      <c r="J182" s="32"/>
      <c r="K182" s="32"/>
      <c r="L182" s="32"/>
      <c r="M182" s="32"/>
      <c r="N182" s="32"/>
      <c r="O182" s="90"/>
    </row>
    <row r="183" spans="1:15">
      <c r="A183" s="149" t="s">
        <v>486</v>
      </c>
      <c r="B183" s="617">
        <f>+'[2]NEW Tables 143-162'!J20</f>
        <v>49360.614268676931</v>
      </c>
      <c r="C183" s="32">
        <f>IF($B183&gt;0,(GETPIVOTDATA(" New Retirement",'$ Pivot Table'!$A$3,"State","MS","Category",5,"Category2","Four-Year"))/$B183)*100</f>
        <v>11.999993539050607</v>
      </c>
      <c r="D183" s="32">
        <f>IF($B183&gt;0,(GETPIVOTDATA(" New Health",'$ Pivot Table'!$A$3,"State","MS","Category",5,"Category2","Four-Year"))/$B183)*100</f>
        <v>2.156071223520708</v>
      </c>
      <c r="E183" s="32">
        <f>IF($B183&gt;0,(GETPIVOTDATA(" New Disability",'$ Pivot Table'!$A$3,"State","MS","Category",5,"Category2","Four-Year"))/$B183)*100</f>
        <v>0</v>
      </c>
      <c r="F183" s="32"/>
      <c r="G183" s="32">
        <f>IF($B183&gt;0,(GETPIVOTDATA(" New Social Security",'$ Pivot Table'!$A$3,"State","MS","Category",5,"Category2","Four-Year"))/$B183)*100</f>
        <v>7.7984603158136396</v>
      </c>
      <c r="H183" s="32"/>
      <c r="I183" s="32">
        <f>IF($B183&gt;0,(GETPIVOTDATA(" New Unemployment",'$ Pivot Table'!$A$3,"State","MS","Category",5,"Category2","Four-Year"))/$B183)*100</f>
        <v>0.15459226640158599</v>
      </c>
      <c r="J183" s="32">
        <f>IF($B183&gt;0,(GETPIVOTDATA(" New Life Insurance",'$ Pivot Table'!$A$3,"State","MS","Category",5,"Category2","Four-Year"))/$B183)*100</f>
        <v>0.25961636148144657</v>
      </c>
      <c r="K183" s="32"/>
      <c r="L183" s="32">
        <f>IF($B183&gt;0,(GETPIVOTDATA(" New Worker's Comp",'$ Pivot Table'!$A$3,"State","MS","Category",5,"Category2","Four-Year"))/$B183)*100</f>
        <v>0.62311790627173336</v>
      </c>
      <c r="M183" s="32">
        <f>IF($B183&gt;0,(GETPIVOTDATA(" New Tuition Plans",'$ Pivot Table'!$A$3,"State","MS","Category",5,"Category2","Four-Year"))/$B183)*100</f>
        <v>1.9603179869948089</v>
      </c>
      <c r="N183" s="32">
        <f>IF($B183&gt;0,(GETPIVOTDATA(" New Other",'$ Pivot Table'!$A$3,"State","MS","Category",5,"Category2","Four-Year"))/$B183)*100</f>
        <v>0</v>
      </c>
      <c r="O183" s="90">
        <f>IF($B183&gt;0,(GETPIVOTDATA(" New Total",'$ Pivot Table'!$A$3,"State","MS","Category",5,"Category2","Four-Year"))/$B183)*100</f>
        <v>22.381655155613238</v>
      </c>
    </row>
    <row r="184" spans="1:15">
      <c r="A184" s="149" t="s">
        <v>487</v>
      </c>
      <c r="B184" s="617">
        <f>+'[2]NEW Tables 143-162'!J21</f>
        <v>65902.714320238098</v>
      </c>
      <c r="C184" s="32">
        <f>IF($B184&gt;0,(GETPIVOTDATA(" New Retirement",'$ Pivot Table'!$A$3,"State","NC","Category",5,"Category2","Four-Year"))/$B184)*100</f>
        <v>10.235575865131075</v>
      </c>
      <c r="D184" s="32">
        <f>IF($B184&gt;0,(GETPIVOTDATA(" New Health",'$ Pivot Table'!$A$3,"State","NC","Category",5,"Category2","Four-Year"))/$B184)*100</f>
        <v>7.4807237468913224</v>
      </c>
      <c r="E184" s="32">
        <f>IF($B184&gt;0,(GETPIVOTDATA(" New Disability",'$ Pivot Table'!$A$3,"State","NC","Category",5,"Category2","Four-Year"))/$B184)*100</f>
        <v>0.52000125337925895</v>
      </c>
      <c r="F184" s="32"/>
      <c r="G184" s="32">
        <f>IF($B184&gt;0,(GETPIVOTDATA(" New Social Security",'$ Pivot Table'!$A$3,"State","NC","Category",5,"Category2","Four-Year"))/$B184)*100</f>
        <v>7.6161280621278751</v>
      </c>
      <c r="H184" s="32"/>
      <c r="I184" s="32">
        <f>IF($B184&gt;0,(GETPIVOTDATA(" New Unemployment",'$ Pivot Table'!$A$3,"State","NC","Category",5,"Category2","Four-Year"))/$B184)*100</f>
        <v>9.0024924860188524E-2</v>
      </c>
      <c r="J184" s="32">
        <f>IF($B184&gt;0,(GETPIVOTDATA(" New Life Insurance",'$ Pivot Table'!$A$3,"State","NC","Category",5,"Category2","Four-Year"))/$B184)*100</f>
        <v>0.16429823327005741</v>
      </c>
      <c r="K184" s="32"/>
      <c r="L184" s="32">
        <f>IF($B184&gt;0,(GETPIVOTDATA(" New Worker's Comp",'$ Pivot Table'!$A$3,"State","NC","Category",5,"Category2","Four-Year"))/$B184)*100</f>
        <v>0.87003019195627318</v>
      </c>
      <c r="M184" s="32">
        <f>IF($B184&gt;0,(GETPIVOTDATA(" New Tuition Plans",'$ Pivot Table'!$A$3,"State","NC","Category",5,"Category2","Four-Year"))/$B184)*100</f>
        <v>0</v>
      </c>
      <c r="N184" s="32">
        <f>IF($B184&gt;0,(GETPIVOTDATA(" New Other",'$ Pivot Table'!$A$3,"State","NC","Category",5,"Category2","Four-Year"))/$B184)*100</f>
        <v>0</v>
      </c>
      <c r="O184" s="90">
        <f>IF($B184&gt;0,(GETPIVOTDATA(" New Total",'$ Pivot Table'!$A$3,"State","NC","Category",5,"Category2","Four-Year"))/$B184)*100</f>
        <v>26.916637388651115</v>
      </c>
    </row>
    <row r="185" spans="1:15">
      <c r="A185" s="149" t="s">
        <v>488</v>
      </c>
      <c r="B185" s="617">
        <f>+'[2]NEW Tables 143-162'!J22</f>
        <v>53598.031679351348</v>
      </c>
      <c r="C185" s="32">
        <f>IF($B185&gt;0,(GETPIVOTDATA(" New Retirement",'$ Pivot Table'!$A$3,"State","OK","Category",5,"Category2","Four-Year"))/$B185)*100</f>
        <v>17.569024445402846</v>
      </c>
      <c r="D185" s="32">
        <f>IF($B185&gt;0,(GETPIVOTDATA(" New Health",'$ Pivot Table'!$A$3,"State","OK","Category",5,"Category2","Four-Year"))/$B185)*100</f>
        <v>10.320621031053271</v>
      </c>
      <c r="E185" s="32">
        <f>IF($B185&gt;0,(GETPIVOTDATA(" New Disability",'$ Pivot Table'!$A$3,"State","OK","Category",5,"Category2","Four-Year"))/$B185)*100</f>
        <v>0</v>
      </c>
      <c r="F185" s="32"/>
      <c r="G185" s="32">
        <f>IF($B185&gt;0,(GETPIVOTDATA(" New Social Security",'$ Pivot Table'!$A$3,"State","OK","Category",5,"Category2","Four-Year"))/$B185)*100</f>
        <v>7.4139564159991762</v>
      </c>
      <c r="H185" s="32"/>
      <c r="I185" s="32">
        <f>IF($B185&gt;0,(GETPIVOTDATA(" New Unemployment",'$ Pivot Table'!$A$3,"State","OK","Category",5,"Category2","Four-Year"))/$B185)*100</f>
        <v>0.44743071068119555</v>
      </c>
      <c r="J185" s="32">
        <f>IF($B185&gt;0,(GETPIVOTDATA(" New Life Insurance",'$ Pivot Table'!$A$3,"State","OK","Category",5,"Category2","Four-Year"))/$B185)*100</f>
        <v>0.72526699094684366</v>
      </c>
      <c r="K185" s="32"/>
      <c r="L185" s="32">
        <f>IF($B185&gt;0,(GETPIVOTDATA(" New Worker's Comp",'$ Pivot Table'!$A$3,"State","OK","Category",5,"Category2","Four-Year"))/$B185)*100</f>
        <v>1.096379300808094</v>
      </c>
      <c r="M185" s="32">
        <f>IF($B185&gt;0,(GETPIVOTDATA(" New Tuition Plans",'$ Pivot Table'!$A$3,"State","OK","Category",5,"Category2","Four-Year"))/$B185)*100</f>
        <v>0</v>
      </c>
      <c r="N185" s="32">
        <f>IF($B185&gt;0,(GETPIVOTDATA(" New Other",'$ Pivot Table'!$A$3,"State","OK","Category",5,"Category2","Four-Year"))/$B185)*100</f>
        <v>0.70721233600434941</v>
      </c>
      <c r="O185" s="90">
        <f>IF($B185&gt;0,(GETPIVOTDATA(" New Total",'$ Pivot Table'!$A$3,"State","OK","Category",5,"Category2","Four-Year"))/$B185)*100</f>
        <v>38.042799320640938</v>
      </c>
    </row>
    <row r="186" spans="1:15">
      <c r="A186" s="149" t="s">
        <v>489</v>
      </c>
      <c r="B186" s="617">
        <f>+'[2]NEW Tables 143-162'!J23</f>
        <v>60257.635737696328</v>
      </c>
      <c r="C186" s="32">
        <f>IF($B186&gt;0,(GETPIVOTDATA(" New Retirement",'$ Pivot Table'!$A$3,"State","SC","Category",5,"Category2","Four-Year"))/$B186)*100</f>
        <v>11.843696783592234</v>
      </c>
      <c r="D186" s="32">
        <f>IF($B186&gt;0,(GETPIVOTDATA(" New Health",'$ Pivot Table'!$A$3,"State","SC","Category",5,"Category2","Four-Year"))/$B186)*100</f>
        <v>7.6934727112179164</v>
      </c>
      <c r="E186" s="32">
        <f>IF($B186&gt;0,(GETPIVOTDATA(" New Disability",'$ Pivot Table'!$A$3,"State","SC","Category",5,"Category2","Four-Year"))/$B186)*100</f>
        <v>5.9538864891645865E-2</v>
      </c>
      <c r="F186" s="32"/>
      <c r="G186" s="32">
        <f>IF($B186&gt;0,(GETPIVOTDATA(" New Social Security",'$ Pivot Table'!$A$3,"State","SC","Category",5,"Category2","Four-Year"))/$B186)*100</f>
        <v>6.8028851294850643</v>
      </c>
      <c r="H186" s="32"/>
      <c r="I186" s="32">
        <f>IF($B186&gt;0,(GETPIVOTDATA(" New Unemployment",'$ Pivot Table'!$A$3,"State","SC","Category",5,"Category2","Four-Year"))/$B186)*100</f>
        <v>0.36726216320009408</v>
      </c>
      <c r="J186" s="32">
        <f>IF($B186&gt;0,(GETPIVOTDATA(" New Life Insurance",'$ Pivot Table'!$A$3,"State","SC","Category",5,"Category2","Four-Year"))/$B186)*100</f>
        <v>1.2281248497624442</v>
      </c>
      <c r="K186" s="32"/>
      <c r="L186" s="32">
        <f>IF($B186&gt;0,(GETPIVOTDATA(" New Worker's Comp",'$ Pivot Table'!$A$3,"State","SC","Category",5,"Category2","Four-Year"))/$B186)*100</f>
        <v>1.3116062020634842</v>
      </c>
      <c r="M186" s="32">
        <f>IF($B186&gt;0,(GETPIVOTDATA(" New Tuition Plans",'$ Pivot Table'!$A$3,"State","SC","Category",5,"Category2","Four-Year"))/$B186)*100</f>
        <v>0.16595407167201784</v>
      </c>
      <c r="N186" s="32">
        <f>IF($B186&gt;0,(GETPIVOTDATA(" New Other",'$ Pivot Table'!$A$3,"State","SC","Category",5,"Category2","Four-Year"))/$B186)*100</f>
        <v>0</v>
      </c>
      <c r="O186" s="90">
        <f>IF($B186&gt;0,(GETPIVOTDATA(" New Total",'$ Pivot Table'!$A$3,"State","SC","Category",5,"Category2","Four-Year"))/$B186)*100</f>
        <v>28.507406077177873</v>
      </c>
    </row>
    <row r="187" spans="1:15">
      <c r="A187" s="149"/>
      <c r="B187" s="617">
        <f>+'[2]NEW Tables 143-162'!J24</f>
        <v>0</v>
      </c>
      <c r="C187" s="32"/>
      <c r="D187" s="34"/>
      <c r="E187" s="32"/>
      <c r="F187" s="32"/>
      <c r="G187" s="32"/>
      <c r="H187" s="32"/>
      <c r="I187" s="32"/>
      <c r="J187" s="32"/>
      <c r="K187" s="32"/>
      <c r="L187" s="32"/>
      <c r="M187" s="32"/>
      <c r="N187" s="32"/>
      <c r="O187" s="90"/>
    </row>
    <row r="188" spans="1:15">
      <c r="A188" s="149" t="s">
        <v>490</v>
      </c>
      <c r="B188" s="617">
        <f>+'[2]NEW Tables 143-162'!J25</f>
        <v>57751.886990647479</v>
      </c>
      <c r="C188" s="28">
        <f>IF($B188&gt;0,(GETPIVOTDATA(" New Retirement",'$ Pivot Table'!$A$3,"State","TN","Category",5,"Category2","Four-Year"))/$B188)*100</f>
        <v>11.954422050206867</v>
      </c>
      <c r="D188" s="28">
        <f>IF($B188&gt;0,(GETPIVOTDATA(" New Health",'$ Pivot Table'!$A$3,"State","TN","Category",5,"Category2","Four-Year"))/$B188)*100</f>
        <v>15.765048133283187</v>
      </c>
      <c r="E188" s="28">
        <f>IF($B188&gt;0,(GETPIVOTDATA(" New Disability",'$ Pivot Table'!$A$3,"State","TN","Category",5,"Category2","Four-Year"))/$B188)*100</f>
        <v>0</v>
      </c>
      <c r="F188" s="28"/>
      <c r="G188" s="28">
        <f>IF($B188&gt;0,(GETPIVOTDATA(" New Social Security",'$ Pivot Table'!$A$3,"State","TN","Category",5,"Category2","Four-Year"))/$B188)*100</f>
        <v>7.6092197243678124</v>
      </c>
      <c r="H188" s="28"/>
      <c r="I188" s="28">
        <f>IF($B188&gt;0,(GETPIVOTDATA(" New Unemployment",'$ Pivot Table'!$A$3,"State","TN","Category",5,"Category2","Four-Year"))/$B188)*100</f>
        <v>2.9028476171415976E-2</v>
      </c>
      <c r="J188" s="28">
        <f>IF($B188&gt;0,(GETPIVOTDATA(" New Life Insurance",'$ Pivot Table'!$A$3,"State","TN","Category",5,"Category2","Four-Year"))/$B188)*100</f>
        <v>0.10026528873416524</v>
      </c>
      <c r="K188" s="28"/>
      <c r="L188" s="28">
        <f>IF($B188&gt;0,(GETPIVOTDATA(" New Worker's Comp",'$ Pivot Table'!$A$3,"State","TN","Category",5,"Category2","Four-Year"))/$B188)*100</f>
        <v>0.20041542391364403</v>
      </c>
      <c r="M188" s="28">
        <f>IF($B188&gt;0,(GETPIVOTDATA(" New Tuition Plans",'$ Pivot Table'!$A$3,"State","TN","Category",5,"Category2","Four-Year"))/$B188)*100</f>
        <v>3.681028875658912</v>
      </c>
      <c r="N188" s="28">
        <f>IF($B188&gt;0,(GETPIVOTDATA(" New Other",'$ Pivot Table'!$A$3,"State","TN","Category",5,"Category2","Four-Year"))/$B188)*100</f>
        <v>0</v>
      </c>
      <c r="O188" s="86">
        <f>IF($B188&gt;0,(GETPIVOTDATA(" New Total",'$ Pivot Table'!$A$3,"State","TN","Category",5,"Category2","Four-Year"))/$B188)*100</f>
        <v>34.934681251832906</v>
      </c>
    </row>
    <row r="189" spans="1:15">
      <c r="A189" s="149" t="s">
        <v>491</v>
      </c>
      <c r="B189" s="617">
        <f>+'[2]NEW Tables 143-162'!J26</f>
        <v>66023.013969759457</v>
      </c>
      <c r="C189" s="28">
        <f>IF($B189&gt;0,(GETPIVOTDATA(" New Retirement",'$ Pivot Table'!$A$3,"State","TX","Category",5,"Category2","Four-Year"))/$B189)*100</f>
        <v>6.9454638558634292</v>
      </c>
      <c r="D189" s="28">
        <f>IF($B189&gt;0,(GETPIVOTDATA(" New Health",'$ Pivot Table'!$A$3,"State","TX","Category",5,"Category2","Four-Year"))/$B189)*100</f>
        <v>8.7955192893703273</v>
      </c>
      <c r="E189" s="28">
        <f>IF($B189&gt;0,(GETPIVOTDATA(" New Disability",'$ Pivot Table'!$A$3,"State","TX","Category",5,"Category2","Four-Year"))/$B189)*100</f>
        <v>0</v>
      </c>
      <c r="F189" s="28"/>
      <c r="G189" s="28">
        <f>IF($B189&gt;0,(GETPIVOTDATA(" New Social Security",'$ Pivot Table'!$A$3,"State","TX","Category",5,"Category2","Four-Year"))/$B189)*100</f>
        <v>7.6234697623956933</v>
      </c>
      <c r="H189" s="28"/>
      <c r="I189" s="28">
        <f>IF($B189&gt;0,(GETPIVOTDATA(" New Unemployment",'$ Pivot Table'!$A$3,"State","TX","Category",5,"Category2","Four-Year"))/$B189)*100</f>
        <v>0.20239219859679403</v>
      </c>
      <c r="J189" s="58">
        <f>IF($B189&gt;0,(GETPIVOTDATA(" New Life Insurance",'$ Pivot Table'!$A$3,"State","TX","Category",5,"Category2","Four-Year"))/$B189)*100</f>
        <v>3.9918554888963009E-2</v>
      </c>
      <c r="K189" s="58"/>
      <c r="L189" s="28">
        <f>IF($B189&gt;0,(GETPIVOTDATA(" New Worker's Comp",'$ Pivot Table'!$A$3,"State","TX","Category",5,"Category2","Four-Year"))/$B189)*100</f>
        <v>0.19957521460874003</v>
      </c>
      <c r="M189" s="28">
        <f>IF($B189&gt;0,(GETPIVOTDATA(" New Tuition Plans",'$ Pivot Table'!$A$3,"State","TX","Category",5,"Category2","Four-Year"))/$B189)*100</f>
        <v>0</v>
      </c>
      <c r="N189" s="28">
        <f>IF($B189&gt;0,(GETPIVOTDATA(" New Other",'$ Pivot Table'!$A$3,"State","TX","Category",5,"Category2","Four-Year"))/$B189)*100</f>
        <v>0</v>
      </c>
      <c r="O189" s="86">
        <f>IF($B189&gt;0,(GETPIVOTDATA(" New Total",'$ Pivot Table'!$A$3,"State","TX","Category",5,"Category2","Four-Year"))/$B189)*100</f>
        <v>22.569415047271814</v>
      </c>
    </row>
    <row r="190" spans="1:15">
      <c r="A190" s="149" t="s">
        <v>492</v>
      </c>
      <c r="B190" s="617">
        <f>+'[2]NEW Tables 143-162'!J27</f>
        <v>64675.395548637011</v>
      </c>
      <c r="C190" s="28">
        <f>IF($B190&gt;0,(GETPIVOTDATA(" New Retirement",'$ Pivot Table'!$A$3,"State","VA","Category",5,"Category2","Four-Year"))/$B190)*100</f>
        <v>11.676046287931777</v>
      </c>
      <c r="D190" s="28">
        <f>IF($B190&gt;0,(GETPIVOTDATA(" New Health",'$ Pivot Table'!$A$3,"State","VA","Category",5,"Category2","Four-Year"))/$B190)*100</f>
        <v>12.72885660200323</v>
      </c>
      <c r="E190" s="28">
        <f>IF($B190&gt;0,(GETPIVOTDATA(" New Disability",'$ Pivot Table'!$A$3,"State","VA","Category",5,"Category2","Four-Year"))/$B190)*100</f>
        <v>1.8015364700979888</v>
      </c>
      <c r="F190" s="28"/>
      <c r="G190" s="28">
        <f>IF($B190&gt;0,(GETPIVOTDATA(" New Social Security",'$ Pivot Table'!$A$3,"State","VA","Category",5,"Category2","Four-Year"))/$B190)*100</f>
        <v>7.8491642817328104</v>
      </c>
      <c r="H190" s="28"/>
      <c r="I190" s="28">
        <f>IF($B190&gt;0,(GETPIVOTDATA(" New Unemployment",'$ Pivot Table'!$A$3,"State","VA","Category",5,"Category2","Four-Year"))/$B190)*100</f>
        <v>0</v>
      </c>
      <c r="J190" s="28">
        <f>IF($B190&gt;0,(GETPIVOTDATA(" New Life Insurance",'$ Pivot Table'!$A$3,"State","VA","Category",5,"Category2","Four-Year"))/$B190)*100</f>
        <v>1.048960210278181</v>
      </c>
      <c r="K190" s="28"/>
      <c r="L190" s="28">
        <f>IF($B190&gt;0,(GETPIVOTDATA(" New Worker's Comp",'$ Pivot Table'!$A$3,"State","VA","Category",5,"Category2","Four-Year"))/$B190)*100</f>
        <v>0</v>
      </c>
      <c r="M190" s="28">
        <f>IF($B190&gt;0,(GETPIVOTDATA(" New Tuition Plans",'$ Pivot Table'!$A$3,"State","VA","Category",5,"Category2","Four-Year"))/$B190)*100</f>
        <v>0</v>
      </c>
      <c r="N190" s="28">
        <f>IF($B190&gt;0,(GETPIVOTDATA(" New Other",'$ Pivot Table'!$A$3,"State","VA","Category",5,"Category2","Four-Year"))/$B190)*100</f>
        <v>0</v>
      </c>
      <c r="O190" s="86">
        <f>IF($B190&gt;0,(GETPIVOTDATA(" New Total",'$ Pivot Table'!$A$3,"State","VA","Category",5,"Category2","Four-Year"))/$B190)*100</f>
        <v>33.393226087830762</v>
      </c>
    </row>
    <row r="191" spans="1:15">
      <c r="A191" s="630" t="s">
        <v>493</v>
      </c>
      <c r="B191" s="618">
        <f>+'[2]NEW Tables 143-162'!J28</f>
        <v>59307.394686111104</v>
      </c>
      <c r="C191" s="30">
        <f>IF($B191&gt;0,(GETPIVOTDATA(" New Retirement",'$ Pivot Table'!$A$3,"State","WV","Category",5,"Category2","Four-Year"))/$B191)*100</f>
        <v>6.4132439262093053</v>
      </c>
      <c r="D191" s="30">
        <f>IF($B191&gt;0,(GETPIVOTDATA(" New Health",'$ Pivot Table'!$A$3,"State","WV","Category",5,"Category2","Four-Year"))/$B191)*100</f>
        <v>9.5583218528973966</v>
      </c>
      <c r="E191" s="30">
        <f>IF($B191&gt;0,(GETPIVOTDATA(" New Disability",'$ Pivot Table'!$A$3,"State","WV","Category",5,"Category2","Four-Year"))/$B191)*100</f>
        <v>0</v>
      </c>
      <c r="F191" s="30"/>
      <c r="G191" s="30">
        <f>IF($B191&gt;0,(GETPIVOTDATA(" New Social Security",'$ Pivot Table'!$A$3,"State","WV","Category",5,"Category2","Four-Year"))/$B191)*100</f>
        <v>7.6499891287375981</v>
      </c>
      <c r="H191" s="30"/>
      <c r="I191" s="30">
        <f>IF($B191&gt;0,(GETPIVOTDATA(" New Unemployment",'$ Pivot Table'!$A$3,"State","WV","Category",5,"Category2","Four-Year"))/$B191)*100</f>
        <v>0</v>
      </c>
      <c r="J191" s="30">
        <f>IF($B191&gt;0,(GETPIVOTDATA(" New Life Insurance",'$ Pivot Table'!$A$3,"State","WV","Category",5,"Category2","Four-Year"))/$B191)*100</f>
        <v>0.10721389396133908</v>
      </c>
      <c r="K191" s="30"/>
      <c r="L191" s="30">
        <f>IF($B191&gt;0,(GETPIVOTDATA(" New Worker's Comp",'$ Pivot Table'!$A$3,"State","WV","Category",5,"Category2","Four-Year"))/$B191)*100</f>
        <v>0.56999918998437005</v>
      </c>
      <c r="M191" s="30">
        <f>IF($B191&gt;0,(GETPIVOTDATA(" New Tuition Plans",'$ Pivot Table'!$A$3,"State","WV","Category",5,"Category2","Four-Year"))/$B191)*100</f>
        <v>0</v>
      </c>
      <c r="N191" s="30">
        <f>IF($B191&gt;0,(GETPIVOTDATA(" New Other",'$ Pivot Table'!$A$3,"State","WV","Category",5,"Category2","Four-Year"))/$B191)*100</f>
        <v>0</v>
      </c>
      <c r="O191" s="115">
        <f>IF($B191&gt;0,(GETPIVOTDATA(" New Total",'$ Pivot Table'!$A$3,"State","WV","Category",5,"Category2","Four-Year"))/$B191)*100</f>
        <v>24.1589838865819</v>
      </c>
    </row>
    <row r="192" spans="1:15" ht="18" customHeight="1">
      <c r="A192" s="628" t="s">
        <v>14</v>
      </c>
      <c r="B192" s="45"/>
      <c r="C192" s="47"/>
      <c r="D192" s="47"/>
      <c r="E192" s="47"/>
      <c r="F192" s="47"/>
      <c r="G192" s="47"/>
      <c r="H192" s="47"/>
      <c r="I192" s="47"/>
      <c r="J192" s="47"/>
      <c r="K192" s="47"/>
      <c r="L192" s="47"/>
      <c r="M192" s="47"/>
      <c r="N192" s="47"/>
      <c r="O192" s="77"/>
    </row>
    <row r="193" spans="1:15" ht="18" customHeight="1">
      <c r="A193" s="628"/>
      <c r="B193" s="45"/>
      <c r="C193" s="54"/>
      <c r="D193" s="54"/>
      <c r="E193" s="54"/>
      <c r="F193" s="54"/>
      <c r="G193" s="54"/>
      <c r="H193" s="54"/>
      <c r="I193" s="54"/>
      <c r="J193" s="54"/>
      <c r="K193" s="54"/>
      <c r="L193" s="54"/>
      <c r="M193" s="54"/>
      <c r="N193" s="54"/>
      <c r="O193" s="145"/>
    </row>
    <row r="194" spans="1:15">
      <c r="A194" s="629"/>
      <c r="B194" s="45"/>
      <c r="C194" s="47"/>
      <c r="D194" s="47"/>
      <c r="E194" s="47"/>
      <c r="F194" s="47"/>
      <c r="G194" s="47"/>
      <c r="H194" s="47"/>
      <c r="I194" s="47"/>
      <c r="J194" s="47"/>
      <c r="K194" s="47"/>
      <c r="L194" s="47"/>
      <c r="M194" s="47"/>
      <c r="N194" s="47"/>
      <c r="O194" s="637" t="s">
        <v>1321</v>
      </c>
    </row>
    <row r="195" spans="1:15" ht="18">
      <c r="A195" s="595" t="s">
        <v>1106</v>
      </c>
      <c r="B195" s="48"/>
      <c r="C195" s="48"/>
      <c r="D195" s="48"/>
      <c r="E195" s="48"/>
      <c r="F195" s="48"/>
      <c r="G195" s="48"/>
      <c r="H195" s="48"/>
      <c r="I195" s="48"/>
      <c r="J195" s="48"/>
      <c r="K195" s="48"/>
      <c r="L195" s="48"/>
      <c r="M195" s="48"/>
      <c r="N195" s="48"/>
      <c r="O195" s="48"/>
    </row>
    <row r="196" spans="1:15">
      <c r="A196" s="622"/>
      <c r="B196" s="45"/>
      <c r="C196" s="54"/>
      <c r="D196" s="54"/>
      <c r="E196" s="54"/>
      <c r="F196" s="54"/>
      <c r="G196" s="54"/>
      <c r="H196" s="54"/>
      <c r="I196" s="54"/>
      <c r="J196" s="54"/>
      <c r="K196" s="54"/>
      <c r="L196" s="54"/>
      <c r="M196" s="54"/>
      <c r="N196" s="54"/>
      <c r="O196" s="145"/>
    </row>
    <row r="197" spans="1:15" ht="15.75">
      <c r="A197" s="640" t="s">
        <v>466</v>
      </c>
      <c r="B197" s="641"/>
      <c r="C197" s="641"/>
      <c r="D197" s="641"/>
      <c r="E197" s="641"/>
      <c r="F197" s="641"/>
      <c r="G197" s="641"/>
      <c r="H197" s="641"/>
      <c r="I197" s="641"/>
      <c r="J197" s="641"/>
      <c r="K197" s="641"/>
      <c r="L197" s="641"/>
      <c r="M197" s="641"/>
      <c r="N197" s="641"/>
      <c r="O197" s="641"/>
    </row>
    <row r="198" spans="1:15" ht="15.75">
      <c r="A198" s="640" t="s">
        <v>1158</v>
      </c>
      <c r="B198" s="641"/>
      <c r="C198" s="641"/>
      <c r="D198" s="641"/>
      <c r="E198" s="641"/>
      <c r="F198" s="641"/>
      <c r="G198" s="641"/>
      <c r="H198" s="641"/>
      <c r="I198" s="641"/>
      <c r="J198" s="641"/>
      <c r="K198" s="641"/>
      <c r="L198" s="641"/>
      <c r="M198" s="641"/>
      <c r="N198" s="641"/>
      <c r="O198" s="641"/>
    </row>
    <row r="199" spans="1:15">
      <c r="A199" s="148"/>
      <c r="B199" s="45"/>
      <c r="C199" s="54"/>
      <c r="D199" s="54"/>
      <c r="E199" s="54"/>
      <c r="F199" s="54"/>
      <c r="G199" s="54"/>
      <c r="H199" s="54"/>
      <c r="I199" s="54"/>
      <c r="J199" s="54"/>
      <c r="K199" s="54"/>
      <c r="L199" s="54"/>
      <c r="M199" s="54"/>
      <c r="N199" s="54"/>
      <c r="O199" s="145"/>
    </row>
    <row r="200" spans="1:15">
      <c r="A200" s="623"/>
      <c r="B200" s="2" t="s">
        <v>473</v>
      </c>
      <c r="C200" s="643" t="s">
        <v>593</v>
      </c>
      <c r="D200" s="643"/>
      <c r="E200" s="643"/>
      <c r="F200" s="643"/>
      <c r="G200" s="643"/>
      <c r="H200" s="643"/>
      <c r="I200" s="643"/>
      <c r="J200" s="643"/>
      <c r="K200" s="643"/>
      <c r="L200" s="643"/>
      <c r="M200" s="643"/>
      <c r="N200" s="643"/>
      <c r="O200" s="643"/>
    </row>
    <row r="201" spans="1:15">
      <c r="A201" s="624"/>
      <c r="B201" s="4" t="s">
        <v>474</v>
      </c>
      <c r="C201" s="3" t="s">
        <v>660</v>
      </c>
      <c r="D201" s="3"/>
      <c r="E201" s="53"/>
      <c r="F201" s="53"/>
      <c r="G201" s="3" t="s">
        <v>661</v>
      </c>
      <c r="H201" s="3"/>
      <c r="I201" s="3" t="s">
        <v>662</v>
      </c>
      <c r="J201" s="3" t="s">
        <v>663</v>
      </c>
      <c r="K201" s="3"/>
      <c r="L201" s="3" t="s">
        <v>664</v>
      </c>
      <c r="M201" s="3" t="s">
        <v>665</v>
      </c>
      <c r="N201" s="3"/>
      <c r="O201" s="124" t="s">
        <v>475</v>
      </c>
    </row>
    <row r="202" spans="1:15">
      <c r="A202" s="625"/>
      <c r="B202" s="15" t="s">
        <v>476</v>
      </c>
      <c r="C202" s="16" t="s">
        <v>667</v>
      </c>
      <c r="D202" s="16" t="s">
        <v>708</v>
      </c>
      <c r="E202" s="17" t="s">
        <v>709</v>
      </c>
      <c r="F202" s="17"/>
      <c r="G202" s="16" t="s">
        <v>668</v>
      </c>
      <c r="H202" s="16"/>
      <c r="I202" s="16" t="s">
        <v>667</v>
      </c>
      <c r="J202" s="16" t="s">
        <v>669</v>
      </c>
      <c r="K202" s="16"/>
      <c r="L202" s="16" t="s">
        <v>670</v>
      </c>
      <c r="M202" s="16" t="s">
        <v>671</v>
      </c>
      <c r="N202" s="16" t="s">
        <v>701</v>
      </c>
      <c r="O202" s="146" t="s">
        <v>15</v>
      </c>
    </row>
    <row r="203" spans="1:15">
      <c r="A203" s="149" t="s">
        <v>600</v>
      </c>
      <c r="B203" s="33">
        <f>+'[2]NEW Tables 143-162'!L8</f>
        <v>57514.557974258933</v>
      </c>
      <c r="C203" s="32">
        <f>IF($B203&gt;0,(GETPIVOTDATA(" New Retirement",'$ Pivot Table'!$A$3,"Category",6,"Category2","Four-Year"))/$B203)*100</f>
        <v>10.144249831901114</v>
      </c>
      <c r="D203" s="32">
        <f>IF($B203&gt;0,(GETPIVOTDATA(" New Health",'$ Pivot Table'!$A$3,"Category",6,"Category2","Four-Year"))/$B203)*100</f>
        <v>9.8934567469120598</v>
      </c>
      <c r="E203" s="32">
        <f>IF($B203&gt;0,(GETPIVOTDATA(" New Disability",'$ Pivot Table'!$A$3,"Category",6,"Category2","Four-Year"))/$B203)*100</f>
        <v>0.5654316158546201</v>
      </c>
      <c r="F203" s="32"/>
      <c r="G203" s="32">
        <f>IF($B203&gt;0,(GETPIVOTDATA(" New Social Security",'$ Pivot Table'!$A$3,"Category",6,"Category2","Four-Year"))/$B203)*100</f>
        <v>7.2129225521935254</v>
      </c>
      <c r="H203" s="32"/>
      <c r="I203" s="32">
        <f>IF($B203&gt;0,(GETPIVOTDATA(" New Unemployment",'$ Pivot Table'!$A$3,"Category",6,"Category2","Four-Year"))/$B203)*100</f>
        <v>0.28345803730728619</v>
      </c>
      <c r="J203" s="32">
        <f>IF($B203&gt;0,(GETPIVOTDATA(" New Life Insurance",'$ Pivot Table'!$A$3,"Category",6,"Category2","Four-Year"))/$B203)*100</f>
        <v>0.25840076303116682</v>
      </c>
      <c r="K203" s="32"/>
      <c r="L203" s="32">
        <f>IF($B203&gt;0,(GETPIVOTDATA(" New Worker's Comp",'$ Pivot Table'!$A$3,"Category",6,"Category2","Four-Year"))/$B203)*100</f>
        <v>0.70697431110404751</v>
      </c>
      <c r="M203" s="32">
        <f>IF($B203&gt;0,(GETPIVOTDATA(" New Tuition Plans",'$ Pivot Table'!$A$3,"Category",6,"Category2","Four-Year"))/$B203)*100</f>
        <v>1.0284038485970204</v>
      </c>
      <c r="N203" s="32">
        <f>IF($B203&gt;0,(GETPIVOTDATA(" New Other",'$ Pivot Table'!$A$3,"Category",6,"Category2","Four-Year"))/$B203)*100</f>
        <v>0.46599358559505566</v>
      </c>
      <c r="O203" s="90">
        <f>IF($B203&gt;0,(GETPIVOTDATA(" New Total",'$ Pivot Table'!$A$3,"Category",6,"Category2","Four-Year"))/$B203)*100</f>
        <v>28.161494503544066</v>
      </c>
    </row>
    <row r="204" spans="1:15">
      <c r="A204" s="149"/>
      <c r="B204" s="31">
        <f>+'[3]NEW Tables 144-163'!L9</f>
        <v>0</v>
      </c>
      <c r="C204" s="32"/>
      <c r="D204" s="34"/>
      <c r="E204" s="32"/>
      <c r="F204" s="32"/>
      <c r="G204" s="32"/>
      <c r="H204" s="32"/>
      <c r="I204" s="32"/>
      <c r="J204" s="32"/>
      <c r="K204" s="32"/>
      <c r="L204" s="32"/>
      <c r="M204" s="32"/>
      <c r="N204" s="32"/>
      <c r="O204" s="90"/>
    </row>
    <row r="205" spans="1:15">
      <c r="A205" s="149" t="s">
        <v>479</v>
      </c>
      <c r="B205" s="617">
        <f>+'[2]NEW Tables 143-162'!L10</f>
        <v>68725.878179069769</v>
      </c>
      <c r="C205" s="32">
        <f>IF($B205&gt;0,(GETPIVOTDATA(" New Retirement",'$ Pivot Table'!$A$3,"State","AL","Category",6,"Category2","Four-Year"))/$B205)*100</f>
        <v>12.510004311409711</v>
      </c>
      <c r="D205" s="32">
        <f>IF($B205&gt;0,(GETPIVOTDATA(" New Health",'$ Pivot Table'!$A$3,"State","AL","Category",6,"Category2","Four-Year"))/$B205)*100</f>
        <v>13.130425160210216</v>
      </c>
      <c r="E205" s="32">
        <f>IF($B205&gt;0,(GETPIVOTDATA(" New Disability",'$ Pivot Table'!$A$3,"State","AL","Category",6,"Category2","Four-Year"))/$B205)*100</f>
        <v>0</v>
      </c>
      <c r="F205" s="32"/>
      <c r="G205" s="32">
        <f>IF($B205&gt;0,(GETPIVOTDATA(" New Social Security",'$ Pivot Table'!$A$3,"State","AL","Category",6,"Category2","Four-Year"))/$B205)*100</f>
        <v>7.6481004558867127</v>
      </c>
      <c r="H205" s="32"/>
      <c r="I205" s="32">
        <f>IF($B205&gt;0,(GETPIVOTDATA(" New Unemployment",'$ Pivot Table'!$A$3,"State","AL","Category",6,"Category2","Four-Year"))/$B205)*100</f>
        <v>0</v>
      </c>
      <c r="J205" s="32">
        <f>IF($B205&gt;0,(GETPIVOTDATA(" New Life Insurance",'$ Pivot Table'!$A$3,"State","AL","Category",6,"Category2","Four-Year"))/$B205)*100</f>
        <v>0</v>
      </c>
      <c r="K205" s="32"/>
      <c r="L205" s="32">
        <f>IF($B205&gt;0,(GETPIVOTDATA(" New Worker's Comp",'$ Pivot Table'!$A$3,"State","AL","Category",6,"Category2","Four-Year"))/$B205)*100</f>
        <v>0</v>
      </c>
      <c r="M205" s="32">
        <f>IF($B205&gt;0,(GETPIVOTDATA(" New Tuition Plans",'$ Pivot Table'!$A$3,"State","AL","Category",6,"Category2","Four-Year"))/$B205)*100</f>
        <v>0</v>
      </c>
      <c r="N205" s="32">
        <f>IF($B205&gt;0,(GETPIVOTDATA(" New Other",'$ Pivot Table'!$A$3,"State","AL","Category",6,"Category2","Four-Year"))/$B205)*100</f>
        <v>8.7536167734734764</v>
      </c>
      <c r="O205" s="90">
        <f>IF($B205&gt;0,(GETPIVOTDATA(" New Total",'$ Pivot Table'!$A$3,"State","AL","Category",6,"Category2","Four-Year"))/$B205)*100</f>
        <v>33.12189508064143</v>
      </c>
    </row>
    <row r="206" spans="1:15">
      <c r="A206" s="149" t="s">
        <v>480</v>
      </c>
      <c r="B206" s="617">
        <f>+'[2]NEW Tables 143-162'!L11</f>
        <v>52019.414833838382</v>
      </c>
      <c r="C206" s="32">
        <f>IF($B206&gt;0,(GETPIVOTDATA(" New Retirement",'$ Pivot Table'!$A$3,"State","AR","Category",6,"Category2","Four-Year"))/$B206)*100</f>
        <v>9.8665312393607998</v>
      </c>
      <c r="D206" s="32">
        <f>IF($B206&gt;0,(GETPIVOTDATA(" New Health",'$ Pivot Table'!$A$3,"State","AR","Category",6,"Category2","Four-Year"))/$B206)*100</f>
        <v>10.093677316001761</v>
      </c>
      <c r="E206" s="32">
        <f>IF($B206&gt;0,(GETPIVOTDATA(" New Disability",'$ Pivot Table'!$A$3,"State","AR","Category",6,"Category2","Four-Year"))/$B206)*100</f>
        <v>0.74747813751968639</v>
      </c>
      <c r="F206" s="32"/>
      <c r="G206" s="32">
        <f>IF($B206&gt;0,(GETPIVOTDATA(" New Social Security",'$ Pivot Table'!$A$3,"State","AR","Category",6,"Category2","Four-Year"))/$B206)*100</f>
        <v>7.0374034907134249</v>
      </c>
      <c r="H206" s="32"/>
      <c r="I206" s="32">
        <f>IF($B206&gt;0,(GETPIVOTDATA(" New Unemployment",'$ Pivot Table'!$A$3,"State","AR","Category",6,"Category2","Four-Year"))/$B206)*100</f>
        <v>0.70774776692008268</v>
      </c>
      <c r="J206" s="32">
        <f>IF($B206&gt;0,(GETPIVOTDATA(" New Life Insurance",'$ Pivot Table'!$A$3,"State","AR","Category",6,"Category2","Four-Year"))/$B206)*100</f>
        <v>0.40224623576340351</v>
      </c>
      <c r="K206" s="32"/>
      <c r="L206" s="32">
        <f>IF($B206&gt;0,(GETPIVOTDATA(" New Worker's Comp",'$ Pivot Table'!$A$3,"State","AR","Category",6,"Category2","Four-Year"))/$B206)*100</f>
        <v>0.85744090448282084</v>
      </c>
      <c r="M206" s="32">
        <f>IF($B206&gt;0,(GETPIVOTDATA(" New Tuition Plans",'$ Pivot Table'!$A$3,"State","AR","Category",6,"Category2","Four-Year"))/$B206)*100</f>
        <v>1.1370407175862485</v>
      </c>
      <c r="N206" s="32">
        <f>IF($B206&gt;0,(GETPIVOTDATA(" New Other",'$ Pivot Table'!$A$3,"State","AR","Category",6,"Category2","Four-Year"))/$B206)*100</f>
        <v>0</v>
      </c>
      <c r="O206" s="90">
        <f>IF($B206&gt;0,(GETPIVOTDATA(" New Total",'$ Pivot Table'!$A$3,"State","AR","Category",6,"Category2","Four-Year"))/$B206)*100</f>
        <v>29.114066588947008</v>
      </c>
    </row>
    <row r="207" spans="1:15">
      <c r="A207" s="149" t="s">
        <v>494</v>
      </c>
      <c r="B207" s="617">
        <f>+'[2]NEW Tables 143-162'!L12</f>
        <v>0</v>
      </c>
      <c r="C207" s="32">
        <f>IF($B207&gt;0,(GETPIVOTDATA(" New Retirement",'$ Pivot Table'!$A$3,"State","DE","Category",6,"Category2","Four-Year"))/$B207)*100</f>
        <v>0</v>
      </c>
      <c r="D207" s="32">
        <f>IF($B207&gt;0,(GETPIVOTDATA(" New Health",'$ Pivot Table'!$A$3,"State","DE","Category",6,"Category2","Four-Year"))/$B207)*100</f>
        <v>0</v>
      </c>
      <c r="E207" s="32">
        <f>IF($B207&gt;0,(GETPIVOTDATA(" New Disability",'$ Pivot Table'!$A$3,"State","DE","Category",6,"Category2","Four-Year"))/$B207)*100</f>
        <v>0</v>
      </c>
      <c r="F207" s="32"/>
      <c r="G207" s="32">
        <f>IF($B207&gt;0,(GETPIVOTDATA(" New Social Security",'$ Pivot Table'!$A$3,"State","DE","Category",6,"Category2","Four-Year"))/$B207)*100</f>
        <v>0</v>
      </c>
      <c r="H207" s="32"/>
      <c r="I207" s="32">
        <f>IF($B207&gt;0,(GETPIVOTDATA(" New Unemployment",'$ Pivot Table'!$A$3,"State","DE","Category",6,"Category2","Four-Year"))/$B207)*100</f>
        <v>0</v>
      </c>
      <c r="J207" s="32">
        <f>IF($B207&gt;0,(GETPIVOTDATA(" New Life Insurance",'$ Pivot Table'!$A$3,"State","DE","Category",6,"Category2","Four-Year"))/$B207)*100</f>
        <v>0</v>
      </c>
      <c r="K207" s="32"/>
      <c r="L207" s="32">
        <f>IF($B207&gt;0,(GETPIVOTDATA(" New Worker's Comp",'$ Pivot Table'!$A$3,"State","DE","Category",6,"Category2","Four-Year"))/$B207)*100</f>
        <v>0</v>
      </c>
      <c r="M207" s="32">
        <f>IF($B207&gt;0,(GETPIVOTDATA(" New Tuition Plans",'$ Pivot Table'!$A$3,"State","DE","Category",6,"Category2","Four-Year"))/$B207)*100</f>
        <v>0</v>
      </c>
      <c r="N207" s="32">
        <f>IF($B207&gt;0,(GETPIVOTDATA(" New Other",'$ Pivot Table'!$A$3,"State","DE","Category",6,"Category2","Four-Year"))/$B207)*100</f>
        <v>0</v>
      </c>
      <c r="O207" s="90">
        <f>IF($B207&gt;0,(GETPIVOTDATA(" New Total",'$ Pivot Table'!$A$3,"State","DE","Category",6,"Category2","Four-Year"))/$B207)*100</f>
        <v>0</v>
      </c>
    </row>
    <row r="208" spans="1:15">
      <c r="A208" s="149" t="s">
        <v>481</v>
      </c>
      <c r="B208" s="617">
        <f>+'[2]NEW Tables 143-162'!L13</f>
        <v>68274.343258591558</v>
      </c>
      <c r="C208" s="32">
        <f>IF($B208&gt;0,(GETPIVOTDATA(" New Retirement",'$ Pivot Table'!$A$3,"State","FL","Category",6,"Category2","Four-Year"))/$B208)*100</f>
        <v>10.473129306411186</v>
      </c>
      <c r="D208" s="32">
        <f>IF($B208&gt;0,(GETPIVOTDATA(" New Health",'$ Pivot Table'!$A$3,"State","FL","Category",6,"Category2","Four-Year"))/$B208)*100</f>
        <v>14.727822288347859</v>
      </c>
      <c r="E208" s="32">
        <f>IF($B208&gt;0,(GETPIVOTDATA(" New Disability",'$ Pivot Table'!$A$3,"State","FL","Category",6,"Category2","Four-Year"))/$B208)*100</f>
        <v>0</v>
      </c>
      <c r="F208" s="32"/>
      <c r="G208" s="32">
        <f>IF($B208&gt;0,(GETPIVOTDATA(" New Social Security",'$ Pivot Table'!$A$3,"State","FL","Category",6,"Category2","Four-Year"))/$B208)*100</f>
        <v>7.6416635048360897</v>
      </c>
      <c r="H208" s="32"/>
      <c r="I208" s="32">
        <f>IF($B208&gt;0,(GETPIVOTDATA(" New Unemployment",'$ Pivot Table'!$A$3,"State","FL","Category",6,"Category2","Four-Year"))/$B208)*100</f>
        <v>0</v>
      </c>
      <c r="J208" s="32">
        <f>IF($B208&gt;0,(GETPIVOTDATA(" New Life Insurance",'$ Pivot Table'!$A$3,"State","FL","Category",6,"Category2","Four-Year"))/$B208)*100</f>
        <v>0.11966171740596668</v>
      </c>
      <c r="K208" s="32"/>
      <c r="L208" s="32">
        <f>IF($B208&gt;0,(GETPIVOTDATA(" New Worker's Comp",'$ Pivot Table'!$A$3,"State","FL","Category",6,"Category2","Four-Year"))/$B208)*100</f>
        <v>0</v>
      </c>
      <c r="M208" s="32">
        <f>IF($B208&gt;0,(GETPIVOTDATA(" New Tuition Plans",'$ Pivot Table'!$A$3,"State","FL","Category",6,"Category2","Four-Year"))/$B208)*100</f>
        <v>0</v>
      </c>
      <c r="N208" s="32">
        <f>IF($B208&gt;0,(GETPIVOTDATA(" New Other",'$ Pivot Table'!$A$3,"State","FL","Category",6,"Category2","Four-Year"))/$B208)*100</f>
        <v>0</v>
      </c>
      <c r="O208" s="90">
        <f>IF($B208&gt;0,(GETPIVOTDATA(" New Total",'$ Pivot Table'!$A$3,"State","FL","Category",6,"Category2","Four-Year"))/$B208)*100</f>
        <v>32.962276817001104</v>
      </c>
    </row>
    <row r="209" spans="1:15">
      <c r="A209" s="149"/>
      <c r="B209" s="617">
        <f>+'[2]NEW Tables 143-162'!L14</f>
        <v>0</v>
      </c>
      <c r="C209" s="32"/>
      <c r="D209" s="34"/>
      <c r="E209" s="32"/>
      <c r="F209" s="32"/>
      <c r="G209" s="32"/>
      <c r="H209" s="32"/>
      <c r="I209" s="32"/>
      <c r="J209" s="32"/>
      <c r="K209" s="32"/>
      <c r="L209" s="32"/>
      <c r="M209" s="32"/>
      <c r="N209" s="32"/>
      <c r="O209" s="90"/>
    </row>
    <row r="210" spans="1:15">
      <c r="A210" s="149" t="s">
        <v>482</v>
      </c>
      <c r="B210" s="617">
        <f>+'[2]NEW Tables 143-162'!L15</f>
        <v>57771.364113622047</v>
      </c>
      <c r="C210" s="32">
        <f>IF($B210&gt;0,(GETPIVOTDATA(" New Retirement",'$ Pivot Table'!$A$3,"State","GA","Category",6,"Category2","Four-Year"))/$B210)*100</f>
        <v>9.4132380782931229</v>
      </c>
      <c r="D210" s="32">
        <f>IF($B210&gt;0,(GETPIVOTDATA(" New Health",'$ Pivot Table'!$A$3,"State","GA","Category",6,"Category2","Four-Year"))/$B210)*100</f>
        <v>11.180154467119072</v>
      </c>
      <c r="E210" s="32">
        <f>IF($B210&gt;0,(GETPIVOTDATA(" New Disability",'$ Pivot Table'!$A$3,"State","GA","Category",6,"Category2","Four-Year"))/$B210)*100</f>
        <v>0</v>
      </c>
      <c r="F210" s="32"/>
      <c r="G210" s="32">
        <f>IF($B210&gt;0,(GETPIVOTDATA(" New Social Security",'$ Pivot Table'!$A$3,"State","GA","Category",6,"Category2","Four-Year"))/$B210)*100</f>
        <v>6.7816426100635523</v>
      </c>
      <c r="H210" s="32"/>
      <c r="I210" s="32">
        <f>IF($B210&gt;0,(GETPIVOTDATA(" New Unemployment",'$ Pivot Table'!$A$3,"State","GA","Category",6,"Category2","Four-Year"))/$B210)*100</f>
        <v>0.24406555421244291</v>
      </c>
      <c r="J210" s="32">
        <f>IF($B210&gt;0,(GETPIVOTDATA(" New Life Insurance",'$ Pivot Table'!$A$3,"State","GA","Category",6,"Category2","Four-Year"))/$B210)*100</f>
        <v>0.30711289201630448</v>
      </c>
      <c r="K210" s="32"/>
      <c r="L210" s="32">
        <f>IF($B210&gt;0,(GETPIVOTDATA(" New Worker's Comp",'$ Pivot Table'!$A$3,"State","GA","Category",6,"Category2","Four-Year"))/$B210)*100</f>
        <v>0.22009757261168494</v>
      </c>
      <c r="M210" s="32">
        <f>IF($B210&gt;0,(GETPIVOTDATA(" New Tuition Plans",'$ Pivot Table'!$A$3,"State","GA","Category",6,"Category2","Four-Year"))/$B210)*100</f>
        <v>0</v>
      </c>
      <c r="N210" s="32">
        <f>IF($B210&gt;0,(GETPIVOTDATA(" New Other",'$ Pivot Table'!$A$3,"State","GA","Category",6,"Category2","Four-Year"))/$B210)*100</f>
        <v>0</v>
      </c>
      <c r="O210" s="90">
        <f>IF($B210&gt;0,(GETPIVOTDATA(" New Total",'$ Pivot Table'!$A$3,"State","GA","Category",6,"Category2","Four-Year"))/$B210)*100</f>
        <v>26.857168425639237</v>
      </c>
    </row>
    <row r="211" spans="1:15">
      <c r="A211" s="149" t="s">
        <v>483</v>
      </c>
      <c r="B211" s="617">
        <f>+'[2]NEW Tables 143-162'!L16</f>
        <v>0</v>
      </c>
      <c r="C211" s="32">
        <f>IF($B211&gt;0,(GETPIVOTDATA(" New Retirement",'$ Pivot Table'!$A$3,"State","KY","Category",6,"Category2","Four-Year"))/$B211)*100</f>
        <v>0</v>
      </c>
      <c r="D211" s="32">
        <f>IF($B211&gt;0,(GETPIVOTDATA(" New Health",'$ Pivot Table'!$A$3,"State","KY","Category",6,"Category2","Four-Year"))/$B211)*100</f>
        <v>0</v>
      </c>
      <c r="E211" s="32">
        <f>IF($B211&gt;0,(GETPIVOTDATA(" New Disability",'$ Pivot Table'!$A$3,"State","KY","Category",6,"Category2","Four-Year"))/$B211)*100</f>
        <v>0</v>
      </c>
      <c r="F211" s="32"/>
      <c r="G211" s="32">
        <f>IF($B211&gt;0,(GETPIVOTDATA(" New Social Security",'$ Pivot Table'!$A$3,"State","KY","Category",6,"Category2","Four-Year"))/$B211)*100</f>
        <v>0</v>
      </c>
      <c r="H211" s="32"/>
      <c r="I211" s="32">
        <f>IF($B211&gt;0,(GETPIVOTDATA(" New Unemployment",'$ Pivot Table'!$A$3,"State","KY","Category",6,"Category2","Four-Year"))/$B211)*100</f>
        <v>0</v>
      </c>
      <c r="J211" s="32">
        <f>IF($B211&gt;0,(GETPIVOTDATA(" New Life Insurance",'$ Pivot Table'!$A$3,"State","KY","Category",6,"Category2","Four-Year"))/$B211)*100</f>
        <v>0</v>
      </c>
      <c r="K211" s="32"/>
      <c r="L211" s="32">
        <f>IF($B211&gt;0,(GETPIVOTDATA(" New Worker's Comp",'$ Pivot Table'!$A$3,"State","KY","Category",6,"Category2","Four-Year"))/$B211)*100</f>
        <v>0</v>
      </c>
      <c r="M211" s="32">
        <f>IF($B211&gt;0,(GETPIVOTDATA(" New Tuition Plans",'$ Pivot Table'!$A$3,"State","KY","Category",6,"Category2","Four-Year"))/$B211)*100</f>
        <v>0</v>
      </c>
      <c r="N211" s="32">
        <f>IF($B211&gt;0,(GETPIVOTDATA(" New Other",'$ Pivot Table'!$A$3,"State","KY","Category",6,"Category2","Four-Year"))/$B211)*100</f>
        <v>0</v>
      </c>
      <c r="O211" s="90">
        <f>IF($B211&gt;0,(GETPIVOTDATA(" New Total",'$ Pivot Table'!$A$3,"State","KY","Category",6,"Category2","Four-Year"))/$B211)*100</f>
        <v>0</v>
      </c>
    </row>
    <row r="212" spans="1:15">
      <c r="A212" s="149" t="s">
        <v>484</v>
      </c>
      <c r="B212" s="617">
        <f>+'[2]NEW Tables 143-162'!L17</f>
        <v>0</v>
      </c>
      <c r="C212" s="32">
        <f>IF($B212&gt;0,(GETPIVOTDATA(" New Retirement",'$ Pivot Table'!$A$3,"State","LA","Category",6,"Category2","Four-Year"))/$B212)*100</f>
        <v>0</v>
      </c>
      <c r="D212" s="32">
        <f>IF($B212&gt;0,(GETPIVOTDATA(" New Health",'$ Pivot Table'!$A$3,"State","LA","Category",6,"Category2","Four-Year"))/$B212)*100</f>
        <v>0</v>
      </c>
      <c r="E212" s="32">
        <f>IF($B212&gt;0,(GETPIVOTDATA(" New Disability",'$ Pivot Table'!$A$3,"State","LA","Category",6,"Category2","Four-Year"))/$B212)*100</f>
        <v>0</v>
      </c>
      <c r="F212" s="32"/>
      <c r="G212" s="32">
        <f>IF($B212&gt;0,(GETPIVOTDATA(" New Social Security",'$ Pivot Table'!$A$3,"State","LA","Category",6,"Category2","Four-Year"))/$B212)*100</f>
        <v>0</v>
      </c>
      <c r="H212" s="32"/>
      <c r="I212" s="32">
        <f>IF($B212&gt;0,(GETPIVOTDATA(" New Unemployment",'$ Pivot Table'!$A$3,"State","LA","Category",6,"Category2","Four-Year"))/$B212)*100</f>
        <v>0</v>
      </c>
      <c r="J212" s="32">
        <f>IF($B212&gt;0,(GETPIVOTDATA(" New Life Insurance",'$ Pivot Table'!$A$3,"State","LA","Category",6,"Category2","Four-Year"))/$B212)*100</f>
        <v>0</v>
      </c>
      <c r="K212" s="32"/>
      <c r="L212" s="32">
        <f>IF($B212&gt;0,(GETPIVOTDATA(" New Worker's Comp",'$ Pivot Table'!$A$3,"State","LA","Category",6,"Category2","Four-Year"))/$B212)*100</f>
        <v>0</v>
      </c>
      <c r="M212" s="32">
        <f>IF($B212&gt;0,(GETPIVOTDATA(" New Tuition Plans",'$ Pivot Table'!$A$3,"State","LA","Category",6,"Category2","Four-Year"))/$B212)*100</f>
        <v>0</v>
      </c>
      <c r="N212" s="32">
        <f>IF($B212&gt;0,(GETPIVOTDATA(" New Other",'$ Pivot Table'!$A$3,"State","LA","Category",6,"Category2","Four-Year"))/$B212)*100</f>
        <v>0</v>
      </c>
      <c r="O212" s="90">
        <f>IF($B212&gt;0,(GETPIVOTDATA(" New Total",'$ Pivot Table'!$A$3,"State","LA","Category",6,"Category2","Four-Year"))/$B212)*100</f>
        <v>0</v>
      </c>
    </row>
    <row r="213" spans="1:15">
      <c r="A213" s="149" t="s">
        <v>485</v>
      </c>
      <c r="B213" s="617">
        <f>+'[2]NEW Tables 143-162'!L18</f>
        <v>66948.006896551728</v>
      </c>
      <c r="C213" s="32">
        <f>IF($B213&gt;0,(GETPIVOTDATA(" New Retirement",'$ Pivot Table'!$A$3,"State","MD","Category",6,"Category2","Four-Year"))/$B213)*100</f>
        <v>0</v>
      </c>
      <c r="D213" s="32">
        <f>IF($B213&gt;0,(GETPIVOTDATA(" New Health",'$ Pivot Table'!$A$3,"State","MD","Category",6,"Category2","Four-Year"))/$B213)*100</f>
        <v>0</v>
      </c>
      <c r="E213" s="32">
        <f>IF($B213&gt;0,(GETPIVOTDATA(" New Disability",'$ Pivot Table'!$A$3,"State","MD","Category",6,"Category2","Four-Year"))/$B213)*100</f>
        <v>0</v>
      </c>
      <c r="F213" s="32"/>
      <c r="G213" s="32">
        <f>IF($B213&gt;0,(GETPIVOTDATA(" New Social Security",'$ Pivot Table'!$A$3,"State","MD","Category",6,"Category2","Four-Year"))/$B213)*100</f>
        <v>0</v>
      </c>
      <c r="H213" s="32"/>
      <c r="I213" s="32">
        <f>IF($B213&gt;0,(GETPIVOTDATA(" New Unemployment",'$ Pivot Table'!$A$3,"State","MD","Category",6,"Category2","Four-Year"))/$B213)*100</f>
        <v>0</v>
      </c>
      <c r="J213" s="32">
        <f>IF($B213&gt;0,(GETPIVOTDATA(" New Life Insurance",'$ Pivot Table'!$A$3,"State","MD","Category",6,"Category2","Four-Year"))/$B213)*100</f>
        <v>0</v>
      </c>
      <c r="K213" s="32"/>
      <c r="L213" s="32">
        <f>IF($B213&gt;0,(GETPIVOTDATA(" New Worker's Comp",'$ Pivot Table'!$A$3,"State","MD","Category",6,"Category2","Four-Year"))/$B213)*100</f>
        <v>0</v>
      </c>
      <c r="M213" s="32">
        <f>IF($B213&gt;0,(GETPIVOTDATA(" New Tuition Plans",'$ Pivot Table'!$A$3,"State","MD","Category",6,"Category2","Four-Year"))/$B213)*100</f>
        <v>0</v>
      </c>
      <c r="N213" s="32">
        <f>IF($B213&gt;0,(GETPIVOTDATA(" New Other",'$ Pivot Table'!$A$3,"State","MD","Category",6,"Category2","Four-Year"))/$B213)*100</f>
        <v>0</v>
      </c>
      <c r="O213" s="90">
        <f>IF($B213&gt;0,(GETPIVOTDATA(" New Total",'$ Pivot Table'!$A$3,"State","MD","Category",6,"Category2","Four-Year"))/$B213)*100</f>
        <v>0</v>
      </c>
    </row>
    <row r="214" spans="1:15">
      <c r="A214" s="149"/>
      <c r="B214" s="617">
        <f>+'[2]NEW Tables 143-162'!L19</f>
        <v>0</v>
      </c>
      <c r="C214" s="32"/>
      <c r="D214" s="34"/>
      <c r="E214" s="32"/>
      <c r="F214" s="32"/>
      <c r="G214" s="32"/>
      <c r="H214" s="32"/>
      <c r="I214" s="32"/>
      <c r="J214" s="32"/>
      <c r="K214" s="32"/>
      <c r="L214" s="32"/>
      <c r="M214" s="32"/>
      <c r="N214" s="32"/>
      <c r="O214" s="90"/>
    </row>
    <row r="215" spans="1:15">
      <c r="A215" s="149" t="s">
        <v>486</v>
      </c>
      <c r="B215" s="617">
        <f>+'[2]NEW Tables 143-162'!L20</f>
        <v>0</v>
      </c>
      <c r="C215" s="32">
        <f>IF($B215&gt;0,(GETPIVOTDATA(" New Retirement",'$ Pivot Table'!$A$3,"State","MS","Category",6,"Category2","Four-Year"))/$B215)*100</f>
        <v>0</v>
      </c>
      <c r="D215" s="32">
        <f>IF($B215&gt;0,(GETPIVOTDATA(" New Health",'$ Pivot Table'!$A$3,"State","MS","Category",6,"Category2","Four-Year"))/$B215)*100</f>
        <v>0</v>
      </c>
      <c r="E215" s="32">
        <f>IF($B215&gt;0,(GETPIVOTDATA(" New Disability",'$ Pivot Table'!$A$3,"State","MS","Category",6,"Category2","Four-Year"))/$B215)*100</f>
        <v>0</v>
      </c>
      <c r="F215" s="32"/>
      <c r="G215" s="32">
        <f>IF($B215&gt;0,(GETPIVOTDATA(" New Social Security",'$ Pivot Table'!$A$3,"State","MS","Category",6,"Category2","Four-Year"))/$B215)*100</f>
        <v>0</v>
      </c>
      <c r="H215" s="32"/>
      <c r="I215" s="32">
        <f>IF($B215&gt;0,(GETPIVOTDATA(" New Unemployment",'$ Pivot Table'!$A$3,"State","MS","Category",6,"Category2","Four-Year"))/$B215)*100</f>
        <v>0</v>
      </c>
      <c r="J215" s="32">
        <f>IF($B215&gt;0,(GETPIVOTDATA(" New Life Insurance",'$ Pivot Table'!$A$3,"State","MS","Category",6,"Category2","Four-Year"))/$B215)*100</f>
        <v>0</v>
      </c>
      <c r="K215" s="32"/>
      <c r="L215" s="32">
        <f>IF($B215&gt;0,(GETPIVOTDATA(" New Worker's Comp",'$ Pivot Table'!$A$3,"State","MS","Category",6,"Category2","Four-Year"))/$B215)*100</f>
        <v>0</v>
      </c>
      <c r="M215" s="32">
        <f>IF($B215&gt;0,(GETPIVOTDATA(" New Tuition Plans",'$ Pivot Table'!$A$3,"State","MS","Category",6,"Category2","Four-Year"))/$B215)*100</f>
        <v>0</v>
      </c>
      <c r="N215" s="32">
        <f>IF($B215&gt;0,(GETPIVOTDATA(" New Other",'$ Pivot Table'!$A$3,"State","MS","Category",6,"Category2","Four-Year"))/$B215)*100</f>
        <v>0</v>
      </c>
      <c r="O215" s="90">
        <f>IF($B215&gt;0,(GETPIVOTDATA(" New Total",'$ Pivot Table'!$A$3,"State","MS","Category",6,"Category2","Four-Year"))/$B215)*100</f>
        <v>0</v>
      </c>
    </row>
    <row r="216" spans="1:15">
      <c r="A216" s="149" t="s">
        <v>487</v>
      </c>
      <c r="B216" s="617">
        <f>+'[2]NEW Tables 143-162'!L21</f>
        <v>67903.819857881128</v>
      </c>
      <c r="C216" s="32">
        <f>IF($B216&gt;0,(GETPIVOTDATA(" New Retirement",'$ Pivot Table'!$A$3,"State","NC","Category",6,"Category2","Four-Year"))/$B216)*100</f>
        <v>9.9831429435114636</v>
      </c>
      <c r="D216" s="32">
        <f>IF($B216&gt;0,(GETPIVOTDATA(" New Health",'$ Pivot Table'!$A$3,"State","NC","Category",6,"Category2","Four-Year"))/$B216)*100</f>
        <v>7.2602690250978696</v>
      </c>
      <c r="E216" s="32">
        <f>IF($B216&gt;0,(GETPIVOTDATA(" New Disability",'$ Pivot Table'!$A$3,"State","NC","Category",6,"Category2","Four-Year"))/$B216)*100</f>
        <v>0.52002417508885346</v>
      </c>
      <c r="F216" s="32"/>
      <c r="G216" s="32">
        <f>IF($B216&gt;0,(GETPIVOTDATA(" New Social Security",'$ Pivot Table'!$A$3,"State","NC","Category",6,"Category2","Four-Year"))/$B216)*100</f>
        <v>7.6203961169041854</v>
      </c>
      <c r="H216" s="32"/>
      <c r="I216" s="32">
        <f>IF($B216&gt;0,(GETPIVOTDATA(" New Unemployment",'$ Pivot Table'!$A$3,"State","NC","Category",6,"Category2","Four-Year"))/$B216)*100</f>
        <v>9.0057459077192425E-2</v>
      </c>
      <c r="J216" s="32">
        <f>IF($B216&gt;0,(GETPIVOTDATA(" New Life Insurance",'$ Pivot Table'!$A$3,"State","NC","Category",6,"Category2","Four-Year"))/$B216)*100</f>
        <v>0.16078749515467489</v>
      </c>
      <c r="K216" s="32"/>
      <c r="L216" s="32">
        <f>IF($B216&gt;0,(GETPIVOTDATA(" New Worker's Comp",'$ Pivot Table'!$A$3,"State","NC","Category",6,"Category2","Four-Year"))/$B216)*100</f>
        <v>0.86997575580024733</v>
      </c>
      <c r="M216" s="32">
        <f>IF($B216&gt;0,(GETPIVOTDATA(" New Tuition Plans",'$ Pivot Table'!$A$3,"State","NC","Category",6,"Category2","Four-Year"))/$B216)*100</f>
        <v>0</v>
      </c>
      <c r="N216" s="32">
        <f>IF($B216&gt;0,(GETPIVOTDATA(" New Other",'$ Pivot Table'!$A$3,"State","NC","Category",6,"Category2","Four-Year"))/$B216)*100</f>
        <v>0</v>
      </c>
      <c r="O216" s="90">
        <f>IF($B216&gt;0,(GETPIVOTDATA(" New Total",'$ Pivot Table'!$A$3,"State","NC","Category",6,"Category2","Four-Year"))/$B216)*100</f>
        <v>26.461028456445234</v>
      </c>
    </row>
    <row r="217" spans="1:15">
      <c r="A217" s="149" t="s">
        <v>488</v>
      </c>
      <c r="B217" s="617">
        <f>+'[2]NEW Tables 143-162'!L22</f>
        <v>47440.789301869176</v>
      </c>
      <c r="C217" s="32">
        <f>IF($B217&gt;0,(GETPIVOTDATA(" New Retirement",'$ Pivot Table'!$A$3,"State","OK","Category",6,"Category2","Four-Year"))/$B217)*100</f>
        <v>19.672692955954631</v>
      </c>
      <c r="D217" s="32">
        <f>IF($B217&gt;0,(GETPIVOTDATA(" New Health",'$ Pivot Table'!$A$3,"State","OK","Category",6,"Category2","Four-Year"))/$B217)*100</f>
        <v>11.369099366940691</v>
      </c>
      <c r="E217" s="32">
        <f>IF($B217&gt;0,(GETPIVOTDATA(" New Disability",'$ Pivot Table'!$A$3,"State","OK","Category",6,"Category2","Four-Year"))/$B217)*100</f>
        <v>0</v>
      </c>
      <c r="F217" s="32"/>
      <c r="G217" s="32">
        <f>IF($B217&gt;0,(GETPIVOTDATA(" New Social Security",'$ Pivot Table'!$A$3,"State","OK","Category",6,"Category2","Four-Year"))/$B217)*100</f>
        <v>7.7564651549412345</v>
      </c>
      <c r="H217" s="32"/>
      <c r="I217" s="32">
        <f>IF($B217&gt;0,(GETPIVOTDATA(" New Unemployment",'$ Pivot Table'!$A$3,"State","OK","Category",6,"Category2","Four-Year"))/$B217)*100</f>
        <v>0.3335486141076085</v>
      </c>
      <c r="J217" s="32">
        <f>IF($B217&gt;0,(GETPIVOTDATA(" New Life Insurance",'$ Pivot Table'!$A$3,"State","OK","Category",6,"Category2","Four-Year"))/$B217)*100</f>
        <v>0.64144934329029302</v>
      </c>
      <c r="K217" s="32"/>
      <c r="L217" s="32">
        <f>IF($B217&gt;0,(GETPIVOTDATA(" New Worker's Comp",'$ Pivot Table'!$A$3,"State","OK","Category",6,"Category2","Four-Year"))/$B217)*100</f>
        <v>0.6187729157923797</v>
      </c>
      <c r="M217" s="32">
        <f>IF($B217&gt;0,(GETPIVOTDATA(" New Tuition Plans",'$ Pivot Table'!$A$3,"State","OK","Category",6,"Category2","Four-Year"))/$B217)*100</f>
        <v>0</v>
      </c>
      <c r="N217" s="32">
        <f>IF($B217&gt;0,(GETPIVOTDATA(" New Other",'$ Pivot Table'!$A$3,"State","OK","Category",6,"Category2","Four-Year"))/$B217)*100</f>
        <v>0.44955286728972199</v>
      </c>
      <c r="O217" s="90">
        <f>IF($B217&gt;0,(GETPIVOTDATA(" New Total",'$ Pivot Table'!$A$3,"State","OK","Category",6,"Category2","Four-Year"))/$B217)*100</f>
        <v>40.554714185591905</v>
      </c>
    </row>
    <row r="218" spans="1:15">
      <c r="A218" s="149" t="s">
        <v>489</v>
      </c>
      <c r="B218" s="617">
        <f>+'[2]NEW Tables 143-162'!L23</f>
        <v>53949.894314937759</v>
      </c>
      <c r="C218" s="32">
        <f>IF($B218&gt;0,(GETPIVOTDATA(" New Retirement",'$ Pivot Table'!$A$3,"State","SC","Category",6,"Category2","Four-Year"))/$B218)*100</f>
        <v>13.146472793079244</v>
      </c>
      <c r="D218" s="32">
        <f>IF($B218&gt;0,(GETPIVOTDATA(" New Health",'$ Pivot Table'!$A$3,"State","SC","Category",6,"Category2","Four-Year"))/$B218)*100</f>
        <v>9.6921920835798918</v>
      </c>
      <c r="E218" s="32">
        <f>IF($B218&gt;0,(GETPIVOTDATA(" New Disability",'$ Pivot Table'!$A$3,"State","SC","Category",6,"Category2","Four-Year"))/$B218)*100</f>
        <v>7.2289298237237884E-2</v>
      </c>
      <c r="F218" s="32"/>
      <c r="G218" s="32">
        <f>IF($B218&gt;0,(GETPIVOTDATA(" New Social Security",'$ Pivot Table'!$A$3,"State","SC","Category",6,"Category2","Four-Year"))/$B218)*100</f>
        <v>6.5488812917032746</v>
      </c>
      <c r="H218" s="32"/>
      <c r="I218" s="32">
        <f>IF($B218&gt;0,(GETPIVOTDATA(" New Unemployment",'$ Pivot Table'!$A$3,"State","SC","Category",6,"Category2","Four-Year"))/$B218)*100</f>
        <v>0.1593994793027721</v>
      </c>
      <c r="J218" s="32">
        <f>IF($B218&gt;0,(GETPIVOTDATA(" New Life Insurance",'$ Pivot Table'!$A$3,"State","SC","Category",6,"Category2","Four-Year"))/$B218)*100</f>
        <v>0.15007611723270076</v>
      </c>
      <c r="K218" s="32"/>
      <c r="L218" s="32">
        <f>IF($B218&gt;0,(GETPIVOTDATA(" New Worker's Comp",'$ Pivot Table'!$A$3,"State","SC","Category",6,"Category2","Four-Year"))/$B218)*100</f>
        <v>1.1705989959408771</v>
      </c>
      <c r="M218" s="32">
        <f>IF($B218&gt;0,(GETPIVOTDATA(" New Tuition Plans",'$ Pivot Table'!$A$3,"State","SC","Category",6,"Category2","Four-Year"))/$B218)*100</f>
        <v>0</v>
      </c>
      <c r="N218" s="32">
        <f>IF($B218&gt;0,(GETPIVOTDATA(" New Other",'$ Pivot Table'!$A$3,"State","SC","Category",6,"Category2","Four-Year"))/$B218)*100</f>
        <v>0</v>
      </c>
      <c r="O218" s="90">
        <f>IF($B218&gt;0,(GETPIVOTDATA(" New Total",'$ Pivot Table'!$A$3,"State","SC","Category",6,"Category2","Four-Year"))/$B218)*100</f>
        <v>30.65871549948659</v>
      </c>
    </row>
    <row r="219" spans="1:15">
      <c r="A219" s="149"/>
      <c r="B219" s="617">
        <f>+'[2]NEW Tables 143-162'!L24</f>
        <v>0</v>
      </c>
      <c r="C219" s="32"/>
      <c r="D219" s="34"/>
      <c r="E219" s="32"/>
      <c r="F219" s="32"/>
      <c r="G219" s="32"/>
      <c r="H219" s="32"/>
      <c r="I219" s="32"/>
      <c r="J219" s="32"/>
      <c r="K219" s="32"/>
      <c r="L219" s="32"/>
      <c r="M219" s="32"/>
      <c r="N219" s="32"/>
      <c r="O219" s="90"/>
    </row>
    <row r="220" spans="1:15">
      <c r="A220" s="149" t="s">
        <v>490</v>
      </c>
      <c r="B220" s="617">
        <f>+'[2]NEW Tables 143-162'!L25</f>
        <v>0</v>
      </c>
      <c r="C220" s="28">
        <f>IF($B220&gt;0,(GETPIVOTDATA(" New Retirement",'$ Pivot Table'!$A$3,"State","TN","Category",6,"Category2","Four-Year"))/$B220)*100</f>
        <v>0</v>
      </c>
      <c r="D220" s="28">
        <f>IF($B220&gt;0,(GETPIVOTDATA(" New Health",'$ Pivot Table'!$A$3,"State","TN","Category",6,"Category2","Four-Year"))/$B220)*100</f>
        <v>0</v>
      </c>
      <c r="E220" s="28">
        <f>IF($B220&gt;0,(GETPIVOTDATA(" New Disability",'$ Pivot Table'!$A$3,"State","TN","Category",6,"Category2","Four-Year"))/$B220)*100</f>
        <v>0</v>
      </c>
      <c r="F220" s="28"/>
      <c r="G220" s="28">
        <f>IF($B220&gt;0,(GETPIVOTDATA(" New Social Security",'$ Pivot Table'!$A$3,"State","TN","Category",6,"Category2","Four-Year"))/$B220)*100</f>
        <v>0</v>
      </c>
      <c r="H220" s="28"/>
      <c r="I220" s="28">
        <f>IF($B220&gt;0,(GETPIVOTDATA(" New Unemployment",'$ Pivot Table'!$A$3,"State","TN","Category",6,"Category2","Four-Year"))/$B220)*100</f>
        <v>0</v>
      </c>
      <c r="J220" s="28">
        <f>IF($B220&gt;0,(GETPIVOTDATA(" New Life Insurance",'$ Pivot Table'!$A$3,"State","TN","Category",6,"Category2","Four-Year"))/$B220)*100</f>
        <v>0</v>
      </c>
      <c r="K220" s="28"/>
      <c r="L220" s="28">
        <f>IF($B220&gt;0,(GETPIVOTDATA(" New Worker's Comp",'$ Pivot Table'!$A$3,"State","TN","Category",6,"Category2","Four-Year"))/$B220)*100</f>
        <v>0</v>
      </c>
      <c r="M220" s="28">
        <f>IF($B220&gt;0,(GETPIVOTDATA(" New Tuition Plans",'$ Pivot Table'!$A$3,"State","TN","Category",6,"Category2","Four-Year"))/$B220)*100</f>
        <v>0</v>
      </c>
      <c r="N220" s="28">
        <f>IF($B220&gt;0,(GETPIVOTDATA(" New Other",'$ Pivot Table'!$A$3,"State","TN","Category",6,"Category2","Four-Year"))/$B220)*100</f>
        <v>0</v>
      </c>
      <c r="O220" s="86">
        <f>IF($B220&gt;0,(GETPIVOTDATA(" New Total",'$ Pivot Table'!$A$3,"State","TN","Category",6,"Category2","Four-Year"))/$B220)*100</f>
        <v>0</v>
      </c>
    </row>
    <row r="221" spans="1:15">
      <c r="A221" s="149" t="s">
        <v>491</v>
      </c>
      <c r="B221" s="617">
        <f>+'[2]NEW Tables 143-162'!L26</f>
        <v>66184.392401999998</v>
      </c>
      <c r="C221" s="28">
        <f>IF($B221&gt;0,(GETPIVOTDATA(" New Retirement",'$ Pivot Table'!$A$3,"State","TX","Category",6,"Category2","Four-Year"))/$B221)*100</f>
        <v>6.4683526835106715</v>
      </c>
      <c r="D221" s="28">
        <f>IF($B221&gt;0,(GETPIVOTDATA(" New Health",'$ Pivot Table'!$A$3,"State","TX","Category",6,"Category2","Four-Year"))/$B221)*100</f>
        <v>9.2604914505716458</v>
      </c>
      <c r="E221" s="28">
        <f>IF($B221&gt;0,(GETPIVOTDATA(" New Disability",'$ Pivot Table'!$A$3,"State","TX","Category",6,"Category2","Four-Year"))/$B221)*100</f>
        <v>0</v>
      </c>
      <c r="F221" s="28"/>
      <c r="G221" s="28">
        <f>IF($B221&gt;0,(GETPIVOTDATA(" New Social Security",'$ Pivot Table'!$A$3,"State","TX","Category",6,"Category2","Four-Year"))/$B221)*100</f>
        <v>7.6499951004264277</v>
      </c>
      <c r="H221" s="28"/>
      <c r="I221" s="28">
        <f>IF($B221&gt;0,(GETPIVOTDATA(" New Unemployment",'$ Pivot Table'!$A$3,"State","TX","Category",6,"Category2","Four-Year"))/$B221)*100</f>
        <v>0.31457567629450428</v>
      </c>
      <c r="J221" s="28">
        <f>IF($B221&gt;0,(GETPIVOTDATA(" New Life Insurance",'$ Pivot Table'!$A$3,"State","TX","Category",6,"Category2","Four-Year"))/$B221)*100</f>
        <v>8.2132767173403884E-2</v>
      </c>
      <c r="K221" s="58"/>
      <c r="L221" s="28">
        <f>IF($B221&gt;0,(GETPIVOTDATA(" New Worker's Comp",'$ Pivot Table'!$A$3,"State","TX","Category",6,"Category2","Four-Year"))/$B221)*100</f>
        <v>0.49999259642670701</v>
      </c>
      <c r="M221" s="28">
        <f>IF($B221&gt;0,(GETPIVOTDATA(" New Tuition Plans",'$ Pivot Table'!$A$3,"State","TX","Category",6,"Category2","Four-Year"))/$B221)*100</f>
        <v>0</v>
      </c>
      <c r="N221" s="28">
        <f>IF($B221&gt;0,(GETPIVOTDATA(" New Other",'$ Pivot Table'!$A$3,"State","TX","Category",6,"Category2","Four-Year"))/$B221)*100</f>
        <v>0</v>
      </c>
      <c r="O221" s="86">
        <f>IF($B221&gt;0,(GETPIVOTDATA(" New Total",'$ Pivot Table'!$A$3,"State","TX","Category",6,"Category2","Four-Year"))/$B221)*100</f>
        <v>23.22139835846793</v>
      </c>
    </row>
    <row r="222" spans="1:15">
      <c r="A222" s="149" t="s">
        <v>492</v>
      </c>
      <c r="B222" s="617">
        <f>+'[2]NEW Tables 143-162'!L27</f>
        <v>57569.831777777785</v>
      </c>
      <c r="C222" s="28">
        <f>IF($B222&gt;0,(GETPIVOTDATA(" New Retirement",'$ Pivot Table'!$A$3,"State","VA","Category",6,"Category2","Four-Year"))/$B222)*100</f>
        <v>10.506434978314292</v>
      </c>
      <c r="D222" s="28">
        <f>IF($B222&gt;0,(GETPIVOTDATA(" New Health",'$ Pivot Table'!$A$3,"State","VA","Category",6,"Category2","Four-Year"))/$B222)*100</f>
        <v>14.625797572807405</v>
      </c>
      <c r="E222" s="28">
        <f>IF($B222&gt;0,(GETPIVOTDATA(" New Disability",'$ Pivot Table'!$A$3,"State","VA","Category",6,"Category2","Four-Year"))/$B222)*100</f>
        <v>0</v>
      </c>
      <c r="F222" s="28"/>
      <c r="G222" s="28">
        <f>IF($B222&gt;0,(GETPIVOTDATA(" New Social Security",'$ Pivot Table'!$A$3,"State","VA","Category",6,"Category2","Four-Year"))/$B222)*100</f>
        <v>7.7033311161194247</v>
      </c>
      <c r="H222" s="28"/>
      <c r="I222" s="28">
        <f>IF($B222&gt;0,(GETPIVOTDATA(" New Unemployment",'$ Pivot Table'!$A$3,"State","VA","Category",6,"Category2","Four-Year"))/$B222)*100</f>
        <v>0</v>
      </c>
      <c r="J222" s="28">
        <f>IF($B222&gt;0,(GETPIVOTDATA(" New Life Insurance",'$ Pivot Table'!$A$3,"State","VA","Category",6,"Category2","Four-Year"))/$B222)*100</f>
        <v>1.0069729302245307</v>
      </c>
      <c r="K222" s="28"/>
      <c r="L222" s="28">
        <f>IF($B222&gt;0,(GETPIVOTDATA(" New Worker's Comp",'$ Pivot Table'!$A$3,"State","VA","Category",6,"Category2","Four-Year"))/$B222)*100</f>
        <v>0</v>
      </c>
      <c r="M222" s="28">
        <f>IF($B222&gt;0,(GETPIVOTDATA(" New Tuition Plans",'$ Pivot Table'!$A$3,"State","VA","Category",6,"Category2","Four-Year"))/$B222)*100</f>
        <v>0</v>
      </c>
      <c r="N222" s="28">
        <f>IF($B222&gt;0,(GETPIVOTDATA(" New Other",'$ Pivot Table'!$A$3,"State","VA","Category",6,"Category2","Four-Year"))/$B222)*100</f>
        <v>0</v>
      </c>
      <c r="O222" s="86">
        <f>IF($B222&gt;0,(GETPIVOTDATA(" New Total",'$ Pivot Table'!$A$3,"State","VA","Category",6,"Category2","Four-Year"))/$B222)*100</f>
        <v>32.797057245673308</v>
      </c>
    </row>
    <row r="223" spans="1:15">
      <c r="A223" s="630" t="s">
        <v>493</v>
      </c>
      <c r="B223" s="618">
        <f>+'[2]NEW Tables 143-162'!L28</f>
        <v>54021.619901543745</v>
      </c>
      <c r="C223" s="30">
        <f>IF($B223&gt;0,(GETPIVOTDATA(" New Retirement",'$ Pivot Table'!$A$3,"State","WV","Category",6,"Category2","Four-Year"))/$B223)*100</f>
        <v>6.1207137500697142</v>
      </c>
      <c r="D223" s="30">
        <f>IF($B223&gt;0,(GETPIVOTDATA(" New Health",'$ Pivot Table'!$A$3,"State","WV","Category",6,"Category2","Four-Year"))/$B223)*100</f>
        <v>9.3028855436524385</v>
      </c>
      <c r="E223" s="30">
        <f>IF($B223&gt;0,(GETPIVOTDATA(" New Disability",'$ Pivot Table'!$A$3,"State","WV","Category",6,"Category2","Four-Year"))/$B223)*100</f>
        <v>0</v>
      </c>
      <c r="F223" s="30"/>
      <c r="G223" s="30">
        <f>IF($B223&gt;0,(GETPIVOTDATA(" New Social Security",'$ Pivot Table'!$A$3,"State","WV","Category",6,"Category2","Four-Year"))/$B223)*100</f>
        <v>7.6499732369786519</v>
      </c>
      <c r="H223" s="30"/>
      <c r="I223" s="30">
        <f>IF($B223&gt;0,(GETPIVOTDATA(" New Unemployment",'$ Pivot Table'!$A$3,"State","WV","Category",6,"Category2","Four-Year"))/$B223)*100</f>
        <v>0</v>
      </c>
      <c r="J223" s="30">
        <f>IF($B223&gt;0,(GETPIVOTDATA(" New Life Insurance",'$ Pivot Table'!$A$3,"State","WV","Category",6,"Category2","Four-Year"))/$B223)*100</f>
        <v>0.11813245396703109</v>
      </c>
      <c r="K223" s="30"/>
      <c r="L223" s="30">
        <f>IF($B223&gt;0,(GETPIVOTDATA(" New Worker's Comp",'$ Pivot Table'!$A$3,"State","WV","Category",6,"Category2","Four-Year"))/$B223)*100</f>
        <v>0.56999800589252692</v>
      </c>
      <c r="M223" s="30">
        <f>IF($B223&gt;0,(GETPIVOTDATA(" New Tuition Plans",'$ Pivot Table'!$A$3,"State","WV","Category",6,"Category2","Four-Year"))/$B223)*100</f>
        <v>0</v>
      </c>
      <c r="N223" s="30">
        <f>IF($B223&gt;0,(GETPIVOTDATA(" New Other",'$ Pivot Table'!$A$3,"State","WV","Category",6,"Category2","Four-Year"))/$B223)*100</f>
        <v>0</v>
      </c>
      <c r="O223" s="115">
        <f>IF($B223&gt;0,(GETPIVOTDATA(" New Total",'$ Pivot Table'!$A$3,"State","WV","Category",6,"Category2","Four-Year"))/$B223)*100</f>
        <v>23.674304685042152</v>
      </c>
    </row>
    <row r="224" spans="1:15" ht="18" customHeight="1">
      <c r="A224" s="628" t="s">
        <v>14</v>
      </c>
      <c r="B224" s="45"/>
      <c r="C224" s="54"/>
      <c r="D224" s="54"/>
      <c r="E224" s="54"/>
      <c r="F224" s="54"/>
      <c r="G224" s="54"/>
      <c r="H224" s="54"/>
      <c r="I224" s="54"/>
      <c r="J224" s="54"/>
      <c r="K224" s="54"/>
      <c r="L224" s="54"/>
      <c r="M224" s="54"/>
      <c r="N224" s="54"/>
      <c r="O224" s="145"/>
    </row>
    <row r="225" spans="1:27">
      <c r="A225" s="629"/>
      <c r="O225" s="637" t="s">
        <v>1321</v>
      </c>
    </row>
    <row r="226" spans="1:27" ht="18">
      <c r="A226" s="595" t="s">
        <v>1107</v>
      </c>
      <c r="B226" s="48"/>
      <c r="C226" s="48"/>
      <c r="D226" s="48"/>
      <c r="E226" s="48"/>
      <c r="F226" s="48"/>
      <c r="G226" s="48"/>
      <c r="H226" s="48"/>
      <c r="I226" s="48"/>
      <c r="J226" s="48"/>
      <c r="K226" s="48"/>
      <c r="L226" s="48"/>
      <c r="M226" s="48"/>
      <c r="N226" s="48"/>
      <c r="O226" s="48"/>
    </row>
    <row r="227" spans="1:27">
      <c r="A227" s="622"/>
      <c r="B227" s="45"/>
      <c r="C227" s="54"/>
      <c r="D227" s="54"/>
      <c r="E227" s="54"/>
      <c r="F227" s="54"/>
      <c r="G227" s="54"/>
      <c r="H227" s="54"/>
      <c r="I227" s="54"/>
      <c r="J227" s="54"/>
      <c r="K227" s="54"/>
      <c r="L227" s="54"/>
      <c r="M227" s="54"/>
      <c r="N227" s="54"/>
      <c r="O227" s="145"/>
    </row>
    <row r="228" spans="1:27" ht="15.75">
      <c r="A228" s="640" t="s">
        <v>466</v>
      </c>
      <c r="B228" s="641"/>
      <c r="C228" s="641"/>
      <c r="D228" s="641"/>
      <c r="E228" s="641"/>
      <c r="F228" s="641"/>
      <c r="G228" s="641"/>
      <c r="H228" s="641"/>
      <c r="I228" s="641"/>
      <c r="J228" s="641"/>
      <c r="K228" s="641"/>
      <c r="L228" s="641"/>
      <c r="M228" s="641"/>
      <c r="N228" s="641"/>
      <c r="O228" s="641"/>
    </row>
    <row r="229" spans="1:27" ht="15.75">
      <c r="A229" s="640" t="s">
        <v>1157</v>
      </c>
      <c r="B229" s="641"/>
      <c r="C229" s="641"/>
      <c r="D229" s="641"/>
      <c r="E229" s="641"/>
      <c r="F229" s="641"/>
      <c r="G229" s="641"/>
      <c r="H229" s="641"/>
      <c r="I229" s="641"/>
      <c r="J229" s="641"/>
      <c r="K229" s="641"/>
      <c r="L229" s="641"/>
      <c r="M229" s="641"/>
      <c r="N229" s="641"/>
      <c r="O229" s="641"/>
    </row>
    <row r="230" spans="1:27">
      <c r="A230" s="148"/>
      <c r="B230" s="45"/>
      <c r="C230" s="54"/>
      <c r="D230" s="54"/>
      <c r="E230" s="54"/>
      <c r="F230" s="54"/>
      <c r="G230" s="54"/>
      <c r="H230" s="54"/>
      <c r="I230" s="54"/>
      <c r="J230" s="54"/>
      <c r="K230" s="54"/>
      <c r="L230" s="54"/>
      <c r="M230" s="54"/>
      <c r="N230" s="54"/>
      <c r="O230" s="145"/>
    </row>
    <row r="231" spans="1:27">
      <c r="A231" s="623"/>
      <c r="B231" s="2" t="s">
        <v>473</v>
      </c>
      <c r="C231" s="643" t="s">
        <v>593</v>
      </c>
      <c r="D231" s="643"/>
      <c r="E231" s="643"/>
      <c r="F231" s="643"/>
      <c r="G231" s="643"/>
      <c r="H231" s="643"/>
      <c r="I231" s="643"/>
      <c r="J231" s="643"/>
      <c r="K231" s="643"/>
      <c r="L231" s="643"/>
      <c r="M231" s="643"/>
      <c r="N231" s="643"/>
      <c r="O231" s="643"/>
    </row>
    <row r="232" spans="1:27">
      <c r="A232" s="624"/>
      <c r="B232" s="4" t="s">
        <v>474</v>
      </c>
      <c r="C232" s="3" t="s">
        <v>660</v>
      </c>
      <c r="D232" s="3"/>
      <c r="E232" s="53"/>
      <c r="F232" s="53"/>
      <c r="G232" s="3" t="s">
        <v>661</v>
      </c>
      <c r="H232" s="3"/>
      <c r="I232" s="3" t="s">
        <v>662</v>
      </c>
      <c r="J232" s="3" t="s">
        <v>663</v>
      </c>
      <c r="K232" s="3"/>
      <c r="L232" s="3" t="s">
        <v>664</v>
      </c>
      <c r="M232" s="3" t="s">
        <v>665</v>
      </c>
      <c r="N232" s="3"/>
      <c r="O232" s="124" t="s">
        <v>475</v>
      </c>
    </row>
    <row r="233" spans="1:27">
      <c r="A233" s="625"/>
      <c r="B233" s="15" t="s">
        <v>476</v>
      </c>
      <c r="C233" s="16" t="s">
        <v>667</v>
      </c>
      <c r="D233" s="16" t="s">
        <v>708</v>
      </c>
      <c r="E233" s="17" t="s">
        <v>709</v>
      </c>
      <c r="F233" s="17"/>
      <c r="G233" s="16" t="s">
        <v>668</v>
      </c>
      <c r="H233" s="16"/>
      <c r="I233" s="16" t="s">
        <v>667</v>
      </c>
      <c r="J233" s="16" t="s">
        <v>669</v>
      </c>
      <c r="K233" s="16"/>
      <c r="L233" s="16" t="s">
        <v>670</v>
      </c>
      <c r="M233" s="16" t="s">
        <v>671</v>
      </c>
      <c r="N233" s="16" t="s">
        <v>701</v>
      </c>
      <c r="O233" s="146" t="s">
        <v>15</v>
      </c>
      <c r="Q233" s="100" t="s">
        <v>679</v>
      </c>
      <c r="R233" s="100" t="s">
        <v>681</v>
      </c>
      <c r="S233" s="100" t="s">
        <v>680</v>
      </c>
      <c r="T233" s="100" t="s">
        <v>682</v>
      </c>
      <c r="X233" s="117"/>
      <c r="Y233" s="117"/>
      <c r="Z233" s="117"/>
      <c r="AA233" s="117"/>
    </row>
    <row r="234" spans="1:27">
      <c r="A234" s="149" t="s">
        <v>600</v>
      </c>
      <c r="B234" s="33">
        <f>+'[2]NEW Tables 143-162'!J38</f>
        <v>51830.606228565914</v>
      </c>
      <c r="C234" s="32">
        <f>IF($B234&gt;0,(GETPIVOTDATA(" New Retirement",'$ Pivot Table'!$A$3,"Category2","Two-Year"))/$B234)*100</f>
        <v>10.336884183214826</v>
      </c>
      <c r="D234" s="32">
        <f>IF($B234&gt;0,(GETPIVOTDATA(" New Health",'$ Pivot Table'!$A$3,"Category2","Two-Year"))/$B234)*100</f>
        <v>11.553869992225767</v>
      </c>
      <c r="E234" s="32">
        <f>IF($B234&gt;0,(GETPIVOTDATA(" New Disability",'$ Pivot Table'!$A$3,"Category2","Two-Year"))/$B234)*100</f>
        <v>0.53708772377326408</v>
      </c>
      <c r="F234" s="32"/>
      <c r="G234" s="32">
        <f>IF($B234&gt;0,(GETPIVOTDATA(" New Social Security",'$ Pivot Table'!$A$3,"Category2","Two-Year"))/$B234)*100</f>
        <v>6.8694268227322457</v>
      </c>
      <c r="H234" s="32"/>
      <c r="I234" s="32">
        <f>IF($B234&gt;0,(GETPIVOTDATA(" New Unemployment",'$ Pivot Table'!$A$3,"Category2","Two-Year"))/$B234)*100</f>
        <v>0.35277473006989818</v>
      </c>
      <c r="J234" s="32">
        <f>IF($B234&gt;0,(GETPIVOTDATA(" New Life Insurance",'$ Pivot Table'!$A$3,"Category2","Two-Year"))/$B234)*100</f>
        <v>0.33511989761071354</v>
      </c>
      <c r="K234" s="32"/>
      <c r="L234" s="32">
        <f>IF($B234&gt;0,(GETPIVOTDATA(" New Worker's Comp",'$ Pivot Table'!$A$3,"Category2","Two-Year"))/$B234)*100</f>
        <v>0.57619384887948544</v>
      </c>
      <c r="M234" s="32">
        <f>IF($B234&gt;0,(GETPIVOTDATA(" New Tuition Plans",'$ Pivot Table'!$A$3,"Category2","Two-Year"))/$B234)*100</f>
        <v>1.158205993555538</v>
      </c>
      <c r="N234" s="32">
        <f>IF($B234&gt;0,(GETPIVOTDATA(" New Other",'$ Pivot Table'!$A$3,"Category2","Two-Year"))/$B234)*100</f>
        <v>0.61949612213391936</v>
      </c>
      <c r="O234" s="90">
        <f>IF($B234&gt;0,(GETPIVOTDATA(" New Total",'$ Pivot Table'!$A$3,"Category2","Two-Year"))/$B234)*100</f>
        <v>27.074732724815178</v>
      </c>
      <c r="P234" s="6" t="s">
        <v>600</v>
      </c>
      <c r="Q234" s="165">
        <f>+'[2]OLD Tables'!J38</f>
        <v>51671.338241047022</v>
      </c>
      <c r="R234" s="165">
        <f>+GETPIVOTDATA(" Old Total",'$ Pivot Table'!$A$3,"Category2","Two-Year")</f>
        <v>13464.922267971971</v>
      </c>
      <c r="S234" s="167">
        <f>+R234/Q234*100</f>
        <v>26.058783701629807</v>
      </c>
      <c r="T234" s="168">
        <f>+O234-S234</f>
        <v>1.0159490231853709</v>
      </c>
      <c r="U234" s="6" t="s">
        <v>600</v>
      </c>
      <c r="X234" s="117"/>
      <c r="Y234" s="117"/>
      <c r="Z234" s="117"/>
      <c r="AA234" s="117"/>
    </row>
    <row r="235" spans="1:27">
      <c r="A235" s="149"/>
      <c r="B235" s="31">
        <f>+'[3]NEW Tables 144-163'!L39</f>
        <v>0</v>
      </c>
      <c r="C235" s="32"/>
      <c r="D235" s="34"/>
      <c r="E235" s="32"/>
      <c r="F235" s="32"/>
      <c r="G235" s="32"/>
      <c r="H235" s="32"/>
      <c r="I235" s="32"/>
      <c r="J235" s="32"/>
      <c r="K235" s="32"/>
      <c r="L235" s="32"/>
      <c r="M235" s="32"/>
      <c r="N235" s="32"/>
      <c r="O235" s="90"/>
      <c r="P235" s="6"/>
      <c r="Q235" s="165">
        <f>+'[3]NEW Tables 144-163'!S39</f>
        <v>0</v>
      </c>
      <c r="R235" s="165"/>
      <c r="S235" s="167"/>
      <c r="T235" s="168"/>
      <c r="U235" s="6"/>
      <c r="X235" s="117"/>
      <c r="Y235" s="117"/>
      <c r="Z235" s="117"/>
      <c r="AA235" s="117"/>
    </row>
    <row r="236" spans="1:27">
      <c r="A236" s="149" t="s">
        <v>479</v>
      </c>
      <c r="B236" s="617">
        <f>+'[2]NEW Tables 143-162'!J40</f>
        <v>53018.942272532433</v>
      </c>
      <c r="C236" s="32">
        <f>IF($B236&gt;0,(GETPIVOTDATA(" New Retirement",'$ Pivot Table'!$A$3,"State","AL","Category2","Two-Year"))/$B236)*100</f>
        <v>12.49811024901517</v>
      </c>
      <c r="D236" s="32">
        <f>IF($B236&gt;0,(GETPIVOTDATA(" New Health",'$ Pivot Table'!$A$3,"State","AL","Category2","Two-Year"))/$B236)*100</f>
        <v>17.025805697035025</v>
      </c>
      <c r="E236" s="32">
        <f>IF($B236&gt;0,(GETPIVOTDATA(" New Disability",'$ Pivot Table'!$A$3,"State","AL","Category2","Two-Year"))/$B236)*100</f>
        <v>0</v>
      </c>
      <c r="F236" s="32"/>
      <c r="G236" s="32">
        <f>IF($B236&gt;0,(GETPIVOTDATA(" New Social Security",'$ Pivot Table'!$A$3,"State","AL","Category2","Two-Year"))/$B236)*100</f>
        <v>7.6049223683371112</v>
      </c>
      <c r="H236" s="32"/>
      <c r="I236" s="32">
        <f>IF($B236&gt;0,(GETPIVOTDATA(" New Unemployment",'$ Pivot Table'!$A$3,"State","AL","Category2","Two-Year"))/$B236)*100</f>
        <v>0.29861895912871628</v>
      </c>
      <c r="J236" s="32">
        <f>IF($B236&gt;0,(GETPIVOTDATA(" New Life Insurance",'$ Pivot Table'!$A$3,"State","AL","Category2","Two-Year"))/$B236)*100</f>
        <v>0</v>
      </c>
      <c r="K236" s="32"/>
      <c r="L236" s="32">
        <f>IF($B236&gt;0,(GETPIVOTDATA(" New Worker's Comp",'$ Pivot Table'!$A$3,"State","AL","Category2","Two-Year"))/$B236)*100</f>
        <v>0</v>
      </c>
      <c r="M236" s="32">
        <f>IF($B236&gt;0,(GETPIVOTDATA(" New Tuition Plans",'$ Pivot Table'!$A$3,"State","AL","Category2","Two-Year"))/$B236)*100</f>
        <v>2.4750854971756802</v>
      </c>
      <c r="N236" s="32">
        <f>IF($B236&gt;0,(GETPIVOTDATA(" New Other",'$ Pivot Table'!$A$3,"State","AL","Category2","Two-Year"))/$B236)*100</f>
        <v>0</v>
      </c>
      <c r="O236" s="90">
        <f>IF($B236&gt;0,(GETPIVOTDATA(" New Total",'$ Pivot Table'!$A$3,"State","AL","Category2","Two-Year"))/$B236)*100</f>
        <v>37.324809248264231</v>
      </c>
      <c r="P236" s="6" t="s">
        <v>479</v>
      </c>
      <c r="Q236" s="165">
        <f>+'[2]OLD Tables'!J40</f>
        <v>53422.743054463281</v>
      </c>
      <c r="R236" s="165">
        <f>+GETPIVOTDATA(" Old Total",'$ Pivot Table'!$A$3,"State","AL","Category2","Two-Year")</f>
        <v>19850.168518847458</v>
      </c>
      <c r="S236" s="167">
        <f t="shared" ref="S236:S254" si="2">+R236/Q236*100</f>
        <v>37.156775155874456</v>
      </c>
      <c r="T236" s="168">
        <f t="shared" ref="T236:T254" si="3">+O236-S236</f>
        <v>0.16803409238977451</v>
      </c>
      <c r="U236" s="6" t="s">
        <v>479</v>
      </c>
      <c r="X236" s="117"/>
      <c r="Y236" s="117"/>
      <c r="Z236" s="117"/>
      <c r="AA236" s="117"/>
    </row>
    <row r="237" spans="1:27">
      <c r="A237" s="149" t="s">
        <v>480</v>
      </c>
      <c r="B237" s="617">
        <f>+'[2]NEW Tables 143-162'!J41</f>
        <v>43576.138634502102</v>
      </c>
      <c r="C237" s="32">
        <f>IF($B237&gt;0,(GETPIVOTDATA(" New Retirement",'$ Pivot Table'!$A$3,"State","AR","Category2","Two-Year"))/$B237)*100</f>
        <v>11.96432183322402</v>
      </c>
      <c r="D237" s="32">
        <f>IF($B237&gt;0,(GETPIVOTDATA(" New Health",'$ Pivot Table'!$A$3,"State","AR","Category2","Two-Year"))/$B237)*100</f>
        <v>11.903246475348205</v>
      </c>
      <c r="E237" s="32">
        <f>IF($B237&gt;0,(GETPIVOTDATA(" New Disability",'$ Pivot Table'!$A$3,"State","AR","Category2","Two-Year"))/$B237)*100</f>
        <v>0.37707087024909236</v>
      </c>
      <c r="F237" s="32"/>
      <c r="G237" s="32">
        <f>IF($B237&gt;0,(GETPIVOTDATA(" New Social Security",'$ Pivot Table'!$A$3,"State","AR","Category2","Two-Year"))/$B237)*100</f>
        <v>7.4168846001175837</v>
      </c>
      <c r="H237" s="32"/>
      <c r="I237" s="32">
        <f>IF($B237&gt;0,(GETPIVOTDATA(" New Unemployment",'$ Pivot Table'!$A$3,"State","AR","Category2","Two-Year"))/$B237)*100</f>
        <v>0.52055592434501952</v>
      </c>
      <c r="J237" s="32">
        <f>IF($B237&gt;0,(GETPIVOTDATA(" New Life Insurance",'$ Pivot Table'!$A$3,"State","AR","Category2","Two-Year"))/$B237)*100</f>
        <v>0.28074230658623434</v>
      </c>
      <c r="K237" s="32"/>
      <c r="L237" s="32">
        <f>IF($B237&gt;0,(GETPIVOTDATA(" New Worker's Comp",'$ Pivot Table'!$A$3,"State","AR","Category2","Two-Year"))/$B237)*100</f>
        <v>9.5969612108771529E-2</v>
      </c>
      <c r="M237" s="32">
        <f>IF($B237&gt;0,(GETPIVOTDATA(" New Tuition Plans",'$ Pivot Table'!$A$3,"State","AR","Category2","Two-Year"))/$B237)*100</f>
        <v>1.9885172821002717</v>
      </c>
      <c r="N237" s="32">
        <f>IF($B237&gt;0,(GETPIVOTDATA(" New Other",'$ Pivot Table'!$A$3,"State","AR","Category2","Two-Year"))/$B237)*100</f>
        <v>0</v>
      </c>
      <c r="O237" s="90">
        <f>IF($B237&gt;0,(GETPIVOTDATA(" New Total",'$ Pivot Table'!$A$3,"State","AR","Category2","Two-Year"))/$B237)*100</f>
        <v>30.466273398934362</v>
      </c>
      <c r="P237" s="6" t="s">
        <v>480</v>
      </c>
      <c r="Q237" s="165">
        <f>+'[2]OLD Tables'!J41</f>
        <v>43555.944535703915</v>
      </c>
      <c r="R237" s="165">
        <f>+GETPIVOTDATA(" Old Total",'$ Pivot Table'!$A$3,"State","AR","Category2","Two-Year")</f>
        <v>14274.386880174419</v>
      </c>
      <c r="S237" s="167">
        <f t="shared" si="2"/>
        <v>32.772534340228447</v>
      </c>
      <c r="T237" s="168">
        <f t="shared" si="3"/>
        <v>-2.3062609412940844</v>
      </c>
      <c r="U237" s="6" t="s">
        <v>480</v>
      </c>
      <c r="X237" s="117"/>
      <c r="Y237" s="117"/>
      <c r="Z237" s="117"/>
      <c r="AA237" s="117"/>
    </row>
    <row r="238" spans="1:27">
      <c r="A238" s="149" t="s">
        <v>494</v>
      </c>
      <c r="B238" s="617">
        <f>+'[2]NEW Tables 143-162'!J42</f>
        <v>63804.420643749996</v>
      </c>
      <c r="C238" s="32">
        <f>IF($B238&gt;0,(GETPIVOTDATA(" New Retirement",'$ Pivot Table'!$A$3,"State","DE","Category2","Two-Year"))/$B238)*100</f>
        <v>17.543009118046808</v>
      </c>
      <c r="D238" s="32">
        <f>IF($B238&gt;0,(GETPIVOTDATA(" New Health",'$ Pivot Table'!$A$3,"State","DE","Category2","Two-Year"))/$B238)*100</f>
        <v>18.685511493801208</v>
      </c>
      <c r="E238" s="56">
        <f>IF($B238&gt;0,(GETPIVOTDATA(" New Disability",'$ Pivot Table'!$A$3,"State","DE","Category2","Two-Year"))/$B238)*100</f>
        <v>3.2212153280935775E-2</v>
      </c>
      <c r="F238" s="32"/>
      <c r="G238" s="32">
        <f>IF($B238&gt;0,(GETPIVOTDATA(" New Social Security",'$ Pivot Table'!$A$3,"State","DE","Category2","Two-Year"))/$B238)*100</f>
        <v>7.8025629423481444</v>
      </c>
      <c r="H238" s="32"/>
      <c r="I238" s="32">
        <f>IF($B238&gt;0,(GETPIVOTDATA(" New Unemployment",'$ Pivot Table'!$A$3,"State","DE","Category2","Two-Year"))/$B238)*100</f>
        <v>0.18489118592373852</v>
      </c>
      <c r="J238" s="32">
        <f>IF($B238&gt;0,(GETPIVOTDATA(" New Life Insurance",'$ Pivot Table'!$A$3,"State","DE","Category2","Two-Year"))/$B238)*100</f>
        <v>0.32268357315192964</v>
      </c>
      <c r="K238" s="32"/>
      <c r="L238" s="32">
        <f>IF($B238&gt;0,(GETPIVOTDATA(" New Worker's Comp",'$ Pivot Table'!$A$3,"State","DE","Category2","Two-Year"))/$B238)*100</f>
        <v>1.9888902374250652</v>
      </c>
      <c r="M238" s="32">
        <f>IF($B238&gt;0,(GETPIVOTDATA(" New Tuition Plans",'$ Pivot Table'!$A$3,"State","DE","Category2","Two-Year"))/$B238)*100</f>
        <v>0</v>
      </c>
      <c r="N238" s="32">
        <f>IF($B238&gt;0,(GETPIVOTDATA(" New Other",'$ Pivot Table'!$A$3,"State","DE","Category2","Two-Year"))/$B238)*100</f>
        <v>0</v>
      </c>
      <c r="O238" s="90">
        <f>IF($B238&gt;0,(GETPIVOTDATA(" New Total",'$ Pivot Table'!$A$3,"State","DE","Category2","Two-Year"))/$B238)*100</f>
        <v>43.39325725401298</v>
      </c>
      <c r="P238" s="6" t="s">
        <v>494</v>
      </c>
      <c r="Q238" s="166">
        <f>+'[2]OLD Tables'!J42</f>
        <v>62779.514551595748</v>
      </c>
      <c r="R238" s="166">
        <f>+GETPIVOTDATA(" Old Total",'$ Pivot Table'!$A$3,"State","DE","Category2","Two-Year")</f>
        <v>24754.056912180848</v>
      </c>
      <c r="S238" s="167">
        <f t="shared" si="2"/>
        <v>39.430150247237997</v>
      </c>
      <c r="T238" s="168">
        <f t="shared" si="3"/>
        <v>3.9631070067749832</v>
      </c>
      <c r="U238" s="6" t="s">
        <v>494</v>
      </c>
      <c r="X238" s="117"/>
      <c r="Y238" s="117"/>
      <c r="Z238" s="117"/>
      <c r="AA238" s="117"/>
    </row>
    <row r="239" spans="1:27">
      <c r="A239" s="149" t="s">
        <v>481</v>
      </c>
      <c r="B239" s="617">
        <f>+'[2]NEW Tables 143-162'!J43</f>
        <v>54243.92208265065</v>
      </c>
      <c r="C239" s="32">
        <f>IF($B239&gt;0,(GETPIVOTDATA(" New Retirement",'$ Pivot Table'!$A$3,"State","FL","Category2","Two-Year"))/$B239)*100</f>
        <v>11.167899834562821</v>
      </c>
      <c r="D239" s="32">
        <f>IF($B239&gt;0,(GETPIVOTDATA(" New Health",'$ Pivot Table'!$A$3,"State","FL","Category2","Two-Year"))/$B239)*100</f>
        <v>11.249961571641407</v>
      </c>
      <c r="E239" s="32">
        <f>IF($B239&gt;0,(GETPIVOTDATA(" New Disability",'$ Pivot Table'!$A$3,"State","FL","Category2","Two-Year"))/$B239)*100</f>
        <v>0.33999044109569315</v>
      </c>
      <c r="F239" s="32"/>
      <c r="G239" s="32">
        <f>IF($B239&gt;0,(GETPIVOTDATA(" New Social Security",'$ Pivot Table'!$A$3,"State","FL","Category2","Two-Year"))/$B239)*100</f>
        <v>7.9918723191299552</v>
      </c>
      <c r="H239" s="32"/>
      <c r="I239" s="32">
        <f>IF($B239&gt;0,(GETPIVOTDATA(" New Unemployment",'$ Pivot Table'!$A$3,"State","FL","Category2","Two-Year"))/$B239)*100</f>
        <v>0.45270526225686913</v>
      </c>
      <c r="J239" s="32">
        <f>IF($B239&gt;0,(GETPIVOTDATA(" New Life Insurance",'$ Pivot Table'!$A$3,"State","FL","Category2","Two-Year"))/$B239)*100</f>
        <v>0.3088604627943618</v>
      </c>
      <c r="K239" s="32"/>
      <c r="L239" s="32">
        <f>IF($B239&gt;0,(GETPIVOTDATA(" New Worker's Comp",'$ Pivot Table'!$A$3,"State","FL","Category2","Two-Year"))/$B239)*100</f>
        <v>0.98036178181008793</v>
      </c>
      <c r="M239" s="32">
        <f>IF($B239&gt;0,(GETPIVOTDATA(" New Tuition Plans",'$ Pivot Table'!$A$3,"State","FL","Category2","Two-Year"))/$B239)*100</f>
        <v>0.54419526798426598</v>
      </c>
      <c r="N239" s="32">
        <f>IF($B239&gt;0,(GETPIVOTDATA(" New Other",'$ Pivot Table'!$A$3,"State","FL","Category2","Two-Year"))/$B239)*100</f>
        <v>0.17950466454473663</v>
      </c>
      <c r="O239" s="90">
        <f>IF($B239&gt;0,(GETPIVOTDATA(" New Total",'$ Pivot Table'!$A$3,"State","FL","Category2","Two-Year"))/$B239)*100</f>
        <v>31.380516725034408</v>
      </c>
      <c r="P239" s="6" t="s">
        <v>481</v>
      </c>
      <c r="Q239" s="165">
        <f>+'[2]OLD Tables'!J43</f>
        <v>53625.516518784214</v>
      </c>
      <c r="R239" s="165">
        <f>+GETPIVOTDATA(" Old Total",'$ Pivot Table'!$A$3,"State","FL","Category2","Two-Year")</f>
        <v>16423.787145903316</v>
      </c>
      <c r="S239" s="167">
        <f t="shared" si="2"/>
        <v>30.626813897727789</v>
      </c>
      <c r="T239" s="168">
        <f t="shared" si="3"/>
        <v>0.75370282730661842</v>
      </c>
      <c r="U239" s="6" t="s">
        <v>481</v>
      </c>
      <c r="X239" s="117"/>
      <c r="Y239" s="117"/>
      <c r="Z239" s="117"/>
      <c r="AA239" s="117"/>
    </row>
    <row r="240" spans="1:27">
      <c r="A240" s="149"/>
      <c r="B240" s="617">
        <f>+'[2]NEW Tables 143-162'!J44</f>
        <v>0</v>
      </c>
      <c r="C240" s="32"/>
      <c r="D240" s="32"/>
      <c r="E240" s="32"/>
      <c r="F240" s="32"/>
      <c r="G240" s="32"/>
      <c r="H240" s="32"/>
      <c r="I240" s="32"/>
      <c r="J240" s="32"/>
      <c r="K240" s="32"/>
      <c r="L240" s="32"/>
      <c r="M240" s="32"/>
      <c r="N240" s="32"/>
      <c r="O240" s="90"/>
      <c r="P240" s="6"/>
      <c r="Q240" s="165">
        <f>+'[2]OLD Tables'!J44</f>
        <v>0</v>
      </c>
      <c r="R240" s="165"/>
      <c r="S240" s="167"/>
      <c r="T240" s="168"/>
      <c r="U240" s="6"/>
      <c r="X240" s="117"/>
      <c r="Y240" s="117"/>
      <c r="Z240" s="117"/>
      <c r="AA240" s="117"/>
    </row>
    <row r="241" spans="1:27">
      <c r="A241" s="149" t="s">
        <v>482</v>
      </c>
      <c r="B241" s="617">
        <f>+'[2]NEW Tables 143-162'!J45</f>
        <v>47971.754367968664</v>
      </c>
      <c r="C241" s="32">
        <f>IF($B241&gt;0,(GETPIVOTDATA(" New Retirement",'$ Pivot Table'!$A$3,"State","GA","Category2","Two-Year"))/$B241)*100</f>
        <v>9.8226967621146883</v>
      </c>
      <c r="D241" s="32">
        <f>IF($B241&gt;0,(GETPIVOTDATA(" New Health",'$ Pivot Table'!$A$3,"State","GA","Category2","Two-Year"))/$B241)*100</f>
        <v>13.147041190473537</v>
      </c>
      <c r="E241" s="32">
        <f>IF($B241&gt;0,(GETPIVOTDATA(" New Disability",'$ Pivot Table'!$A$3,"State","GA","Category2","Two-Year"))/$B241)*100</f>
        <v>0</v>
      </c>
      <c r="F241" s="32"/>
      <c r="G241" s="32">
        <f>IF($B241&gt;0,(GETPIVOTDATA(" New Social Security",'$ Pivot Table'!$A$3,"State","GA","Category2","Two-Year"))/$B241)*100</f>
        <v>7.4035725799910788</v>
      </c>
      <c r="H241" s="32"/>
      <c r="I241" s="32">
        <f>IF($B241&gt;0,(GETPIVOTDATA(" New Unemployment",'$ Pivot Table'!$A$3,"State","GA","Category2","Two-Year"))/$B241)*100</f>
        <v>0.29392295916145911</v>
      </c>
      <c r="J241" s="32">
        <f>IF($B241&gt;0,(GETPIVOTDATA(" New Life Insurance",'$ Pivot Table'!$A$3,"State","GA","Category2","Two-Year"))/$B241)*100</f>
        <v>0.36219239139758985</v>
      </c>
      <c r="K241" s="32"/>
      <c r="L241" s="32">
        <f>IF($B241&gt;0,(GETPIVOTDATA(" New Worker's Comp",'$ Pivot Table'!$A$3,"State","GA","Category2","Two-Year"))/$B241)*100</f>
        <v>0.26391160558062632</v>
      </c>
      <c r="M241" s="32">
        <f>IF($B241&gt;0,(GETPIVOTDATA(" New Tuition Plans",'$ Pivot Table'!$A$3,"State","GA","Category2","Two-Year"))/$B241)*100</f>
        <v>0</v>
      </c>
      <c r="N241" s="32">
        <f>IF($B241&gt;0,(GETPIVOTDATA(" New Other",'$ Pivot Table'!$A$3,"State","GA","Category2","Two-Year"))/$B241)*100</f>
        <v>0</v>
      </c>
      <c r="O241" s="90">
        <f>IF($B241&gt;0,(GETPIVOTDATA(" New Total",'$ Pivot Table'!$A$3,"State","GA","Category2","Two-Year"))/$B241)*100</f>
        <v>29.151729409744696</v>
      </c>
      <c r="P241" s="6" t="s">
        <v>482</v>
      </c>
      <c r="Q241" s="165">
        <f>+'[2]OLD Tables'!J45</f>
        <v>48163.168765206508</v>
      </c>
      <c r="R241" s="165">
        <f>+GETPIVOTDATA(" Old Total",'$ Pivot Table'!$A$3,"State","GA","Category2","Two-Year")</f>
        <v>13231.801172286416</v>
      </c>
      <c r="S241" s="167">
        <f t="shared" si="2"/>
        <v>27.472862586743219</v>
      </c>
      <c r="T241" s="168">
        <f t="shared" si="3"/>
        <v>1.6788668230014778</v>
      </c>
      <c r="U241" s="6" t="s">
        <v>482</v>
      </c>
      <c r="X241" s="117"/>
      <c r="Y241" s="117"/>
      <c r="Z241" s="117"/>
      <c r="AA241" s="117"/>
    </row>
    <row r="242" spans="1:27">
      <c r="A242" s="149" t="s">
        <v>483</v>
      </c>
      <c r="B242" s="617">
        <f>+'[2]NEW Tables 143-162'!J46</f>
        <v>48603.485888788731</v>
      </c>
      <c r="C242" s="32">
        <f>IF($B242&gt;0,(GETPIVOTDATA(" New Retirement",'$ Pivot Table'!$A$3,"State","KY","Category2","Two-Year"))/$B242)*100</f>
        <v>11.22411872907254</v>
      </c>
      <c r="D242" s="32">
        <f>IF($B242&gt;0,(GETPIVOTDATA(" New Health",'$ Pivot Table'!$A$3,"State","KY","Category2","Two-Year"))/$B242)*100</f>
        <v>15.211968662434922</v>
      </c>
      <c r="E242" s="32">
        <f>IF($B242&gt;0,(GETPIVOTDATA(" New Disability",'$ Pivot Table'!$A$3,"State","KY","Category2","Two-Year"))/$B242)*100</f>
        <v>0</v>
      </c>
      <c r="F242" s="32"/>
      <c r="G242" s="32">
        <f>IF($B242&gt;0,(GETPIVOTDATA(" New Social Security",'$ Pivot Table'!$A$3,"State","KY","Category2","Two-Year"))/$B242)*100</f>
        <v>6.3399138464451052</v>
      </c>
      <c r="H242" s="32"/>
      <c r="I242" s="32">
        <f>IF($B242&gt;0,(GETPIVOTDATA(" New Unemployment",'$ Pivot Table'!$A$3,"State","KY","Category2","Two-Year"))/$B242)*100</f>
        <v>0</v>
      </c>
      <c r="J242" s="56">
        <f>IF($B242&gt;0,(GETPIVOTDATA(" New Life Insurance",'$ Pivot Table'!$A$3,"State","KY","Category2","Two-Year"))/$B242)*100</f>
        <v>3.415719322999989E-2</v>
      </c>
      <c r="K242" s="32"/>
      <c r="L242" s="32">
        <f>IF($B242&gt;0,(GETPIVOTDATA(" New Worker's Comp",'$ Pivot Table'!$A$3,"State","KY","Category2","Two-Year"))/$B242)*100</f>
        <v>0</v>
      </c>
      <c r="M242" s="32">
        <f>IF($B242&gt;0,(GETPIVOTDATA(" New Tuition Plans",'$ Pivot Table'!$A$3,"State","KY","Category2","Two-Year"))/$B242)*100</f>
        <v>2.0000148246592127</v>
      </c>
      <c r="N242" s="32">
        <f>IF($B242&gt;0,(GETPIVOTDATA(" New Other",'$ Pivot Table'!$A$3,"State","KY","Category2","Two-Year"))/$B242)*100</f>
        <v>0</v>
      </c>
      <c r="O242" s="90">
        <f>IF($B242&gt;0,(GETPIVOTDATA(" New Total",'$ Pivot Table'!$A$3,"State","KY","Category2","Two-Year"))/$B242)*100</f>
        <v>32.102754840666478</v>
      </c>
      <c r="P242" s="6" t="s">
        <v>483</v>
      </c>
      <c r="Q242" s="165">
        <f>+'[2]OLD Tables'!J46</f>
        <v>48895.956974046676</v>
      </c>
      <c r="R242" s="165">
        <f>+GETPIVOTDATA(" Old Total",'$ Pivot Table'!$A$3,"State","KY","Category2","Two-Year")</f>
        <v>14963.029663699488</v>
      </c>
      <c r="S242" s="167">
        <f t="shared" si="2"/>
        <v>30.601772804327492</v>
      </c>
      <c r="T242" s="168">
        <f t="shared" si="3"/>
        <v>1.5009820363389856</v>
      </c>
      <c r="U242" s="6" t="s">
        <v>483</v>
      </c>
      <c r="X242" s="117"/>
      <c r="Y242" s="117"/>
      <c r="Z242" s="117"/>
      <c r="AA242" s="117"/>
    </row>
    <row r="243" spans="1:27">
      <c r="A243" s="149" t="s">
        <v>484</v>
      </c>
      <c r="B243" s="617">
        <f>+'[2]NEW Tables 143-162'!J47</f>
        <v>49808.065047129392</v>
      </c>
      <c r="C243" s="32">
        <f>IF($B243&gt;0,(GETPIVOTDATA(" New Retirement",'$ Pivot Table'!$A$3,"State","LA","Category2","Two-Year"))/$B243)*100</f>
        <v>13.629654815919642</v>
      </c>
      <c r="D243" s="32">
        <f>IF($B243&gt;0,(GETPIVOTDATA(" New Health",'$ Pivot Table'!$A$3,"State","LA","Category2","Two-Year"))/$B243)*100</f>
        <v>7.7711278124525416</v>
      </c>
      <c r="E243" s="32">
        <f>IF($B243&gt;0,(GETPIVOTDATA(" New Disability",'$ Pivot Table'!$A$3,"State","LA","Category2","Two-Year"))/$B243)*100</f>
        <v>0</v>
      </c>
      <c r="F243" s="32"/>
      <c r="G243" s="90">
        <f>IF($B243&gt;0,(GETPIVOTDATA(" New Social Security",'$ Pivot Table'!$A$3,"State","LA","Category2","Two-Year"))/$B243)*100</f>
        <v>1.2688895778580627</v>
      </c>
      <c r="H243" s="91">
        <v>2</v>
      </c>
      <c r="I243" s="32">
        <f>IF($B243&gt;0,(GETPIVOTDATA(" New Unemployment",'$ Pivot Table'!$A$3,"State","LA","Category2","Two-Year"))/$B243)*100</f>
        <v>0.39489861298281326</v>
      </c>
      <c r="J243" s="32">
        <f>IF($B243&gt;0,(GETPIVOTDATA(" New Life Insurance",'$ Pivot Table'!$A$3,"State","LA","Category2","Two-Year"))/$B243)*100</f>
        <v>0.26054759425222823</v>
      </c>
      <c r="K243" s="32"/>
      <c r="L243" s="32">
        <f>IF($B243&gt;0,(GETPIVOTDATA(" New Worker's Comp",'$ Pivot Table'!$A$3,"State","LA","Category2","Two-Year"))/$B243)*100</f>
        <v>0.58250343509739266</v>
      </c>
      <c r="M243" s="32">
        <f>IF($B243&gt;0,(GETPIVOTDATA(" New Tuition Plans",'$ Pivot Table'!$A$3,"State","LA","Category2","Two-Year"))/$B243)*100</f>
        <v>0.70470515099889286</v>
      </c>
      <c r="N243" s="32">
        <f>IF($B243&gt;0,(GETPIVOTDATA(" New Other",'$ Pivot Table'!$A$3,"State","LA","Category2","Two-Year"))/$B243)*100</f>
        <v>0</v>
      </c>
      <c r="O243" s="90">
        <f>IF($B243&gt;0,(GETPIVOTDATA(" New Total",'$ Pivot Table'!$A$3,"State","LA","Category2","Two-Year"))/$B243)*100</f>
        <v>20.611686378634843</v>
      </c>
      <c r="P243" s="6" t="s">
        <v>484</v>
      </c>
      <c r="Q243" s="165">
        <f>+'[2]OLD Tables'!J47</f>
        <v>50586.574676866359</v>
      </c>
      <c r="R243" s="165">
        <f>+GETPIVOTDATA(" Old Total",'$ Pivot Table'!$A$3,"State","LA","Category2","Two-Year")</f>
        <v>10745.491057579251</v>
      </c>
      <c r="S243" s="167">
        <f t="shared" si="2"/>
        <v>21.241784260386478</v>
      </c>
      <c r="T243" s="168">
        <f t="shared" si="3"/>
        <v>-0.6300978817516345</v>
      </c>
      <c r="U243" s="6" t="s">
        <v>484</v>
      </c>
      <c r="X243" s="117"/>
      <c r="Y243" s="117"/>
      <c r="Z243" s="117"/>
      <c r="AA243" s="117"/>
    </row>
    <row r="244" spans="1:27">
      <c r="A244" s="149" t="s">
        <v>485</v>
      </c>
      <c r="B244" s="617">
        <f>+'[2]NEW Tables 143-162'!J48</f>
        <v>65473.636499280561</v>
      </c>
      <c r="C244" s="32">
        <f>IF($B244&gt;0,(GETPIVOTDATA(" New Retirement",'$ Pivot Table'!$A$3,"State","MD","Category2","Two-Year"))/$B244)*100</f>
        <v>9.3634139739496263</v>
      </c>
      <c r="D244" s="32">
        <f>IF($B244&gt;0,(GETPIVOTDATA(" New Health",'$ Pivot Table'!$A$3,"State","MD","Category2","Two-Year"))/$B244)*100</f>
        <v>11.795752567665952</v>
      </c>
      <c r="E244" s="32">
        <f>IF($B244&gt;0,(GETPIVOTDATA(" New Disability",'$ Pivot Table'!$A$3,"State","MD","Category2","Two-Year"))/$B244)*100</f>
        <v>0.54774588586839301</v>
      </c>
      <c r="F244" s="32"/>
      <c r="G244" s="32">
        <f>IF($B244&gt;0,(GETPIVOTDATA(" New Social Security",'$ Pivot Table'!$A$3,"State","MD","Category2","Two-Year"))/$B244)*100</f>
        <v>7.6473349234248662</v>
      </c>
      <c r="H244" s="32"/>
      <c r="I244" s="32">
        <f>IF($B244&gt;0,(GETPIVOTDATA(" New Unemployment",'$ Pivot Table'!$A$3,"State","MD","Category2","Two-Year"))/$B244)*100</f>
        <v>0.19590533027301041</v>
      </c>
      <c r="J244" s="32">
        <f>IF($B244&gt;0,(GETPIVOTDATA(" New Life Insurance",'$ Pivot Table'!$A$3,"State","MD","Category2","Two-Year"))/$B244)*100</f>
        <v>0.31483900556396321</v>
      </c>
      <c r="K244" s="32"/>
      <c r="L244" s="32">
        <f>IF($B244&gt;0,(GETPIVOTDATA(" New Worker's Comp",'$ Pivot Table'!$A$3,"State","MD","Category2","Two-Year"))/$B244)*100</f>
        <v>0.37003893921269981</v>
      </c>
      <c r="M244" s="32">
        <f>IF($B244&gt;0,(GETPIVOTDATA(" New Tuition Plans",'$ Pivot Table'!$A$3,"State","MD","Category2","Two-Year"))/$B244)*100</f>
        <v>1.3982642063907373</v>
      </c>
      <c r="N244" s="32">
        <f>IF($B244&gt;0,(GETPIVOTDATA(" New Other",'$ Pivot Table'!$A$3,"State","MD","Category2","Two-Year"))/$B244)*100</f>
        <v>0.72444643971568701</v>
      </c>
      <c r="O244" s="90">
        <f>IF($B244&gt;0,(GETPIVOTDATA(" New Total",'$ Pivot Table'!$A$3,"State","MD","Category2","Two-Year"))/$B244)*100</f>
        <v>27.124625153382674</v>
      </c>
      <c r="P244" s="6" t="s">
        <v>485</v>
      </c>
      <c r="Q244" s="165">
        <f>+'[2]OLD Tables'!J48</f>
        <v>66025.461728139242</v>
      </c>
      <c r="R244" s="165">
        <f>+GETPIVOTDATA(" Old Total",'$ Pivot Table'!$A$3,"State","MD","Category2","Two-Year")</f>
        <v>18496.968024548794</v>
      </c>
      <c r="S244" s="167">
        <f t="shared" si="2"/>
        <v>28.01490143410177</v>
      </c>
      <c r="T244" s="168">
        <f t="shared" si="3"/>
        <v>-0.89027628071909604</v>
      </c>
      <c r="U244" s="6" t="s">
        <v>485</v>
      </c>
      <c r="X244" s="117"/>
      <c r="Y244" s="117"/>
      <c r="Z244" s="117"/>
      <c r="AA244" s="117"/>
    </row>
    <row r="245" spans="1:27">
      <c r="A245" s="149"/>
      <c r="B245" s="617">
        <f>+'[2]NEW Tables 143-162'!J49</f>
        <v>0</v>
      </c>
      <c r="C245" s="32"/>
      <c r="D245" s="32"/>
      <c r="E245" s="32"/>
      <c r="F245" s="32"/>
      <c r="G245" s="32"/>
      <c r="H245" s="32"/>
      <c r="I245" s="32"/>
      <c r="J245" s="32"/>
      <c r="K245" s="32"/>
      <c r="L245" s="32"/>
      <c r="M245" s="32"/>
      <c r="N245" s="32"/>
      <c r="O245" s="90"/>
      <c r="P245" s="6"/>
      <c r="Q245" s="165">
        <f>+'[2]OLD Tables'!J49</f>
        <v>0</v>
      </c>
      <c r="R245" s="165"/>
      <c r="S245" s="167"/>
      <c r="T245" s="168"/>
      <c r="U245" s="6"/>
      <c r="X245" s="117"/>
      <c r="Y245" s="117"/>
      <c r="Z245" s="117"/>
      <c r="AA245" s="117"/>
    </row>
    <row r="246" spans="1:27">
      <c r="A246" s="149" t="s">
        <v>486</v>
      </c>
      <c r="B246" s="617">
        <f>+'[2]NEW Tables 143-162'!J50</f>
        <v>49309.383603560455</v>
      </c>
      <c r="C246" s="32">
        <f>IF($B246&gt;0,(GETPIVOTDATA(" New Retirement",'$ Pivot Table'!$A$3,"State","MS","Category2","Two-Year"))/$B246)*100</f>
        <v>11.999998588381558</v>
      </c>
      <c r="D246" s="32">
        <f>IF($B246&gt;0,(GETPIVOTDATA(" New Health",'$ Pivot Table'!$A$3,"State","MS","Category2","Two-Year"))/$B246)*100</f>
        <v>8.4463399028087274</v>
      </c>
      <c r="E246" s="32">
        <f>IF($B246&gt;0,(GETPIVOTDATA(" New Disability",'$ Pivot Table'!$A$3,"State","MS","Category2","Two-Year"))/$B246)*100</f>
        <v>0</v>
      </c>
      <c r="F246" s="32"/>
      <c r="G246" s="32">
        <f>IF($B246&gt;0,(GETPIVOTDATA(" New Social Security",'$ Pivot Table'!$A$3,"State","MS","Category2","Two-Year"))/$B246)*100</f>
        <v>7.6500009288370645</v>
      </c>
      <c r="H246" s="32"/>
      <c r="I246" s="32">
        <f>IF($B246&gt;0,(GETPIVOTDATA(" New Unemployment",'$ Pivot Table'!$A$3,"State","MS","Category2","Two-Year"))/$B246)*100</f>
        <v>0.10266506071924392</v>
      </c>
      <c r="J246" s="32">
        <f>IF($B246&gt;0,(GETPIVOTDATA(" New Life Insurance",'$ Pivot Table'!$A$3,"State","MS","Category2","Two-Year"))/$B246)*100</f>
        <v>0.24999969461641261</v>
      </c>
      <c r="K246" s="32"/>
      <c r="L246" s="32">
        <f>IF($B246&gt;0,(GETPIVOTDATA(" New Worker's Comp",'$ Pivot Table'!$A$3,"State","MS","Category2","Two-Year"))/$B246)*100</f>
        <v>0.66029281765663073</v>
      </c>
      <c r="M246" s="32">
        <f>IF($B246&gt;0,(GETPIVOTDATA(" New Tuition Plans",'$ Pivot Table'!$A$3,"State","MS","Category2","Two-Year"))/$B246)*100</f>
        <v>0</v>
      </c>
      <c r="N246" s="32">
        <f>IF($B246&gt;0,(GETPIVOTDATA(" New Other",'$ Pivot Table'!$A$3,"State","MS","Category2","Two-Year"))/$B246)*100</f>
        <v>0.54733978088821655</v>
      </c>
      <c r="O246" s="90">
        <f>IF($B246&gt;0,(GETPIVOTDATA(" New Total",'$ Pivot Table'!$A$3,"State","MS","Category2","Two-Year"))/$B246)*100</f>
        <v>28.970915994888983</v>
      </c>
      <c r="P246" s="6" t="s">
        <v>486</v>
      </c>
      <c r="Q246" s="165">
        <f>+'[2]OLD Tables'!J50</f>
        <v>48815.648814470456</v>
      </c>
      <c r="R246" s="165">
        <f>+GETPIVOTDATA(" Old Total",'$ Pivot Table'!$A$3,"State","MS","Category2","Two-Year")</f>
        <v>13371.314528012495</v>
      </c>
      <c r="S246" s="167">
        <f t="shared" si="2"/>
        <v>27.391451005458784</v>
      </c>
      <c r="T246" s="168">
        <f t="shared" si="3"/>
        <v>1.5794649894301998</v>
      </c>
      <c r="U246" s="6" t="s">
        <v>486</v>
      </c>
      <c r="X246" s="117"/>
      <c r="Y246" s="117"/>
      <c r="Z246" s="117"/>
      <c r="AA246" s="117"/>
    </row>
    <row r="247" spans="1:27">
      <c r="A247" s="149" t="s">
        <v>487</v>
      </c>
      <c r="B247" s="617">
        <f>+'[2]NEW Tables 143-162'!J51</f>
        <v>47284.192889672398</v>
      </c>
      <c r="C247" s="32">
        <f>IF($B247&gt;0,(GETPIVOTDATA(" New Retirement",'$ Pivot Table'!$A$3,"State","NC","Category2","Two-Year"))/$B247)*100</f>
        <v>10.438486635164674</v>
      </c>
      <c r="D247" s="32">
        <f>IF($B247&gt;0,(GETPIVOTDATA(" New Health",'$ Pivot Table'!$A$3,"State","NC","Category2","Two-Year"))/$B247)*100</f>
        <v>9.6603122055368313</v>
      </c>
      <c r="E247" s="32">
        <f>IF($B247&gt;0,(GETPIVOTDATA(" New Disability",'$ Pivot Table'!$A$3,"State","NC","Category2","Two-Year"))/$B247)*100</f>
        <v>0.50374727410548681</v>
      </c>
      <c r="F247" s="32"/>
      <c r="G247" s="32">
        <f>IF($B247&gt;0,(GETPIVOTDATA(" New Social Security",'$ Pivot Table'!$A$3,"State","NC","Category2","Two-Year"))/$B247)*100</f>
        <v>7.6883956391640877</v>
      </c>
      <c r="H247" s="32"/>
      <c r="I247" s="32">
        <f>IF($B247&gt;0,(GETPIVOTDATA(" New Unemployment",'$ Pivot Table'!$A$3,"State","NC","Category2","Two-Year"))/$B247)*100</f>
        <v>0.59859508798541616</v>
      </c>
      <c r="J247" s="32">
        <f>IF($B247&gt;0,(GETPIVOTDATA(" New Life Insurance",'$ Pivot Table'!$A$3,"State","NC","Category2","Two-Year"))/$B247)*100</f>
        <v>0.17696824122681382</v>
      </c>
      <c r="K247" s="32"/>
      <c r="L247" s="32">
        <f>IF($B247&gt;0,(GETPIVOTDATA(" New Worker's Comp",'$ Pivot Table'!$A$3,"State","NC","Category2","Two-Year"))/$B247)*100</f>
        <v>0.27305433501380205</v>
      </c>
      <c r="M247" s="32">
        <f>IF($B247&gt;0,(GETPIVOTDATA(" New Tuition Plans",'$ Pivot Table'!$A$3,"State","NC","Category2","Two-Year"))/$B247)*100</f>
        <v>0</v>
      </c>
      <c r="N247" s="32">
        <f>IF($B247&gt;0,(GETPIVOTDATA(" New Other",'$ Pivot Table'!$A$3,"State","NC","Category2","Two-Year"))/$B247)*100</f>
        <v>0.47584612583953712</v>
      </c>
      <c r="O247" s="90">
        <f>IF($B247&gt;0,(GETPIVOTDATA(" New Total",'$ Pivot Table'!$A$3,"State","NC","Category2","Two-Year"))/$B247)*100</f>
        <v>27.573411456876602</v>
      </c>
      <c r="P247" s="6" t="s">
        <v>487</v>
      </c>
      <c r="Q247" s="165">
        <f>+'[2]OLD Tables'!J51</f>
        <v>47092.319545949307</v>
      </c>
      <c r="R247" s="165">
        <f>+GETPIVOTDATA(" Old Total",'$ Pivot Table'!$A$3,"State","NC","Category2","Two-Year")</f>
        <v>11788.155904776722</v>
      </c>
      <c r="S247" s="167">
        <f t="shared" si="2"/>
        <v>25.032013751785332</v>
      </c>
      <c r="T247" s="168">
        <f t="shared" si="3"/>
        <v>2.5413977050912706</v>
      </c>
      <c r="U247" s="6" t="s">
        <v>487</v>
      </c>
      <c r="X247" s="117"/>
      <c r="Y247" s="117"/>
      <c r="Z247" s="117"/>
      <c r="AA247" s="117"/>
    </row>
    <row r="248" spans="1:27">
      <c r="A248" s="149" t="s">
        <v>488</v>
      </c>
      <c r="B248" s="617">
        <f>+'[2]NEW Tables 143-162'!J52</f>
        <v>48473.878839482204</v>
      </c>
      <c r="C248" s="32">
        <f>IF($B248&gt;0,(GETPIVOTDATA(" New Retirement",'$ Pivot Table'!$A$3,"State","OK","Category2","Two-Year"))/$B248)*100</f>
        <v>21.204495703140282</v>
      </c>
      <c r="D248" s="32">
        <f>IF($B248&gt;0,(GETPIVOTDATA(" New Health",'$ Pivot Table'!$A$3,"State","OK","Category2","Two-Year"))/$B248)*100</f>
        <v>11.538874007477695</v>
      </c>
      <c r="E248" s="32">
        <f>IF($B248&gt;0,(GETPIVOTDATA(" New Disability",'$ Pivot Table'!$A$3,"State","OK","Category2","Two-Year"))/$B248)*100</f>
        <v>0</v>
      </c>
      <c r="F248" s="32"/>
      <c r="G248" s="32">
        <f>IF($B248&gt;0,(GETPIVOTDATA(" New Social Security",'$ Pivot Table'!$A$3,"State","OK","Category2","Two-Year"))/$B248)*100</f>
        <v>7.3705958737557422</v>
      </c>
      <c r="H248" s="32"/>
      <c r="I248" s="32">
        <f>IF($B248&gt;0,(GETPIVOTDATA(" New Unemployment",'$ Pivot Table'!$A$3,"State","OK","Category2","Two-Year"))/$B248)*100</f>
        <v>0.20761356822262939</v>
      </c>
      <c r="J248" s="32">
        <f>IF($B248&gt;0,(GETPIVOTDATA(" New Life Insurance",'$ Pivot Table'!$A$3,"State","OK","Category2","Two-Year"))/$B248)*100</f>
        <v>0.54464248212413957</v>
      </c>
      <c r="K248" s="32"/>
      <c r="L248" s="32">
        <f>IF($B248&gt;0,(GETPIVOTDATA(" New Worker's Comp",'$ Pivot Table'!$A$3,"State","OK","Category2","Two-Year"))/$B248)*100</f>
        <v>0.67777208492765406</v>
      </c>
      <c r="M248" s="32">
        <f>IF($B248&gt;0,(GETPIVOTDATA(" New Tuition Plans",'$ Pivot Table'!$A$3,"State","OK","Category2","Two-Year"))/$B248)*100</f>
        <v>0</v>
      </c>
      <c r="N248" s="32">
        <f>IF($B248&gt;0,(GETPIVOTDATA(" New Other",'$ Pivot Table'!$A$3,"State","OK","Category2","Two-Year"))/$B248)*100</f>
        <v>0.5143546913762429</v>
      </c>
      <c r="O248" s="90">
        <f>IF($B248&gt;0,(GETPIVOTDATA(" New Total",'$ Pivot Table'!$A$3,"State","OK","Category2","Two-Year"))/$B248)*100</f>
        <v>41.800520849096287</v>
      </c>
      <c r="P248" s="6" t="s">
        <v>488</v>
      </c>
      <c r="Q248" s="165">
        <f>+'[2]OLD Tables'!J52</f>
        <v>48888.647740705128</v>
      </c>
      <c r="R248" s="165">
        <f>+GETPIVOTDATA(" Old Total",'$ Pivot Table'!$A$3,"State","OK","Category2","Two-Year")</f>
        <v>17244.018235625001</v>
      </c>
      <c r="S248" s="167">
        <f t="shared" si="2"/>
        <v>35.272029463943376</v>
      </c>
      <c r="T248" s="168">
        <f t="shared" si="3"/>
        <v>6.5284913851529112</v>
      </c>
      <c r="U248" s="6" t="s">
        <v>488</v>
      </c>
      <c r="X248" s="117"/>
      <c r="Y248" s="117"/>
      <c r="Z248" s="117"/>
      <c r="AA248" s="117"/>
    </row>
    <row r="249" spans="1:27">
      <c r="A249" s="149" t="s">
        <v>489</v>
      </c>
      <c r="B249" s="617">
        <f>+'[2]NEW Tables 143-162'!J53</f>
        <v>46503.61809042254</v>
      </c>
      <c r="C249" s="32">
        <f>IF($B249&gt;0,(GETPIVOTDATA(" New Retirement",'$ Pivot Table'!$A$3,"State","SC","Category2","Two-Year"))/$B249)*100</f>
        <v>12.935235290499723</v>
      </c>
      <c r="D249" s="32">
        <f>IF($B249&gt;0,(GETPIVOTDATA(" New Health",'$ Pivot Table'!$A$3,"State","SC","Category2","Two-Year"))/$B249)*100</f>
        <v>9.5152972155872479</v>
      </c>
      <c r="E249" s="32">
        <f>IF($B249&gt;0,(GETPIVOTDATA(" New Disability",'$ Pivot Table'!$A$3,"State","SC","Category2","Two-Year"))/$B249)*100</f>
        <v>7.4824428036824667E-2</v>
      </c>
      <c r="F249" s="32"/>
      <c r="G249" s="32">
        <f>IF($B249&gt;0,(GETPIVOTDATA(" New Social Security",'$ Pivot Table'!$A$3,"State","SC","Category2","Two-Year"))/$B249)*100</f>
        <v>7.4383699641514491</v>
      </c>
      <c r="H249" s="32"/>
      <c r="I249" s="32">
        <f>IF($B249&gt;0,(GETPIVOTDATA(" New Unemployment",'$ Pivot Table'!$A$3,"State","SC","Category2","Two-Year"))/$B249)*100</f>
        <v>0.30014049703572704</v>
      </c>
      <c r="J249" s="32">
        <f>IF($B249&gt;0,(GETPIVOTDATA(" New Life Insurance",'$ Pivot Table'!$A$3,"State","SC","Category2","Two-Year"))/$B249)*100</f>
        <v>8.5126244210068674E-2</v>
      </c>
      <c r="K249" s="32"/>
      <c r="L249" s="32">
        <f>IF($B249&gt;0,(GETPIVOTDATA(" New Worker's Comp",'$ Pivot Table'!$A$3,"State","SC","Category2","Two-Year"))/$B249)*100</f>
        <v>0.89979742865577483</v>
      </c>
      <c r="M249" s="32">
        <f>IF($B249&gt;0,(GETPIVOTDATA(" New Tuition Plans",'$ Pivot Table'!$A$3,"State","SC","Category2","Two-Year"))/$B249)*100</f>
        <v>0</v>
      </c>
      <c r="N249" s="32">
        <f>IF($B249&gt;0,(GETPIVOTDATA(" New Other",'$ Pivot Table'!$A$3,"State","SC","Category2","Two-Year"))/$B249)*100</f>
        <v>0</v>
      </c>
      <c r="O249" s="90">
        <f>IF($B249&gt;0,(GETPIVOTDATA(" New Total",'$ Pivot Table'!$A$3,"State","SC","Category2","Two-Year"))/$B249)*100</f>
        <v>31.00411780781846</v>
      </c>
      <c r="P249" s="6" t="s">
        <v>489</v>
      </c>
      <c r="Q249" s="165">
        <f>+'[2]OLD Tables'!J53</f>
        <v>46612.51484627225</v>
      </c>
      <c r="R249" s="165">
        <f>+GETPIVOTDATA(" Old Total",'$ Pivot Table'!$A$3,"State","SC","Category2","Two-Year")</f>
        <v>13941.968857566137</v>
      </c>
      <c r="S249" s="167">
        <f t="shared" si="2"/>
        <v>29.910355413233237</v>
      </c>
      <c r="T249" s="168">
        <f t="shared" si="3"/>
        <v>1.0937623945852231</v>
      </c>
      <c r="U249" s="6" t="s">
        <v>489</v>
      </c>
      <c r="X249" s="117"/>
      <c r="Y249" s="117"/>
      <c r="Z249" s="117"/>
      <c r="AA249" s="117"/>
    </row>
    <row r="250" spans="1:27">
      <c r="A250" s="149"/>
      <c r="B250" s="617">
        <f>+'[2]NEW Tables 143-162'!J54</f>
        <v>0</v>
      </c>
      <c r="C250" s="32"/>
      <c r="D250" s="32"/>
      <c r="E250" s="32"/>
      <c r="F250" s="32"/>
      <c r="G250" s="32"/>
      <c r="H250" s="32"/>
      <c r="I250" s="32"/>
      <c r="J250" s="32"/>
      <c r="K250" s="32"/>
      <c r="L250" s="32"/>
      <c r="M250" s="32"/>
      <c r="N250" s="32"/>
      <c r="O250" s="90"/>
      <c r="P250" s="6"/>
      <c r="Q250" s="165">
        <f>+'[2]OLD Tables'!J54</f>
        <v>0</v>
      </c>
      <c r="R250" s="165"/>
      <c r="S250" s="167"/>
      <c r="T250" s="168"/>
      <c r="U250" s="6"/>
      <c r="X250" s="117"/>
      <c r="Y250" s="117"/>
      <c r="Z250" s="117"/>
      <c r="AA250" s="117"/>
    </row>
    <row r="251" spans="1:27" ht="15.75" customHeight="1">
      <c r="A251" s="149" t="s">
        <v>490</v>
      </c>
      <c r="B251" s="617">
        <f>+'[2]NEW Tables 143-162'!J55</f>
        <v>46502.975476948588</v>
      </c>
      <c r="C251" s="28">
        <f>IF($B251&gt;0,(GETPIVOTDATA(" New Retirement",'$ Pivot Table'!$A$3,"State","TN","Category2","Two-Year"))/$B251)*100</f>
        <v>12.607384729758733</v>
      </c>
      <c r="D251" s="28">
        <f>IF($B251&gt;0,(GETPIVOTDATA(" New Health",'$ Pivot Table'!$A$3,"State","TN","Category2","Two-Year"))/$B251)*100</f>
        <v>19.655652555781419</v>
      </c>
      <c r="E251" s="28">
        <f>IF($B251&gt;0,(GETPIVOTDATA(" New Disability",'$ Pivot Table'!$A$3,"State","TN","Category2","Two-Year"))/$B251)*100</f>
        <v>0</v>
      </c>
      <c r="F251" s="28"/>
      <c r="G251" s="28">
        <f>IF($B251&gt;0,(GETPIVOTDATA(" New Social Security",'$ Pivot Table'!$A$3,"State","TN","Category2","Two-Year"))/$B251)*100</f>
        <v>7.7566522238243119</v>
      </c>
      <c r="H251" s="28"/>
      <c r="I251" s="28">
        <f>IF($B251&gt;0,(GETPIVOTDATA(" New Unemployment",'$ Pivot Table'!$A$3,"State","TN","Category2","Two-Year"))/$B251)*100</f>
        <v>0.57928468581144588</v>
      </c>
      <c r="J251" s="28">
        <f>IF($B251&gt;0,(GETPIVOTDATA(" New Life Insurance",'$ Pivot Table'!$A$3,"State","TN","Category2","Two-Year"))/$B251)*100</f>
        <v>0.11688723459085944</v>
      </c>
      <c r="K251" s="28"/>
      <c r="L251" s="28">
        <f>IF($B251&gt;0,(GETPIVOTDATA(" New Worker's Comp",'$ Pivot Table'!$A$3,"State","TN","Category2","Two-Year"))/$B251)*100</f>
        <v>0.33871877245873694</v>
      </c>
      <c r="M251" s="28">
        <f>IF($B251&gt;0,(GETPIVOTDATA(" New Tuition Plans",'$ Pivot Table'!$A$3,"State","TN","Category2","Two-Year"))/$B251)*100</f>
        <v>3.2628419332499008</v>
      </c>
      <c r="N251" s="28">
        <f>IF($B251&gt;0,(GETPIVOTDATA(" New Other",'$ Pivot Table'!$A$3,"State","TN","Category2","Two-Year"))/$B251)*100</f>
        <v>1.2306696516217428</v>
      </c>
      <c r="O251" s="86">
        <f>IF($B251&gt;0,(GETPIVOTDATA(" New Total",'$ Pivot Table'!$A$3,"State","TN","Category2","Two-Year"))/$B251)*100</f>
        <v>38.33293713950065</v>
      </c>
      <c r="P251" s="6" t="s">
        <v>490</v>
      </c>
      <c r="Q251" s="165">
        <f>+'[2]OLD Tables'!J55</f>
        <v>46851.42012072177</v>
      </c>
      <c r="R251" s="165">
        <f>+GETPIVOTDATA(" Old Total",'$ Pivot Table'!$A$3,"State","TN","Category2","Two-Year")</f>
        <v>16831.431217599998</v>
      </c>
      <c r="S251" s="167">
        <f t="shared" si="2"/>
        <v>35.925124946544955</v>
      </c>
      <c r="T251" s="168">
        <f t="shared" si="3"/>
        <v>2.4078121929556957</v>
      </c>
      <c r="U251" s="6" t="s">
        <v>490</v>
      </c>
      <c r="X251" s="117"/>
      <c r="Y251" s="117"/>
      <c r="Z251" s="117"/>
      <c r="AA251" s="117"/>
    </row>
    <row r="252" spans="1:27" ht="15.75" customHeight="1">
      <c r="A252" s="149" t="s">
        <v>491</v>
      </c>
      <c r="B252" s="617">
        <f>+'[2]NEW Tables 143-162'!J56</f>
        <v>53774.019832766913</v>
      </c>
      <c r="C252" s="28">
        <f>IF($B252&gt;0,(GETPIVOTDATA(" New Retirement",'$ Pivot Table'!$A$3,"State","TX","Category2","Two-Year"))/$B252)*100</f>
        <v>7.9042810860137411</v>
      </c>
      <c r="D252" s="28">
        <f>IF($B252&gt;0,(GETPIVOTDATA(" New Health",'$ Pivot Table'!$A$3,"State","TX","Category2","Two-Year"))/$B252)*100</f>
        <v>11.349524306077994</v>
      </c>
      <c r="E252" s="28">
        <f>IF($B252&gt;0,(GETPIVOTDATA(" New Disability",'$ Pivot Table'!$A$3,"State","TX","Category2","Two-Year"))/$B252)*100</f>
        <v>0.67735206627281885</v>
      </c>
      <c r="F252" s="28"/>
      <c r="G252" s="28">
        <f>IF($B252&gt;0,(GETPIVOTDATA(" New Social Security",'$ Pivot Table'!$A$3,"State","TX","Category2","Two-Year"))/$B252)*100</f>
        <v>5.1184970259668967</v>
      </c>
      <c r="H252" s="28"/>
      <c r="I252" s="28">
        <f>IF($B252&gt;0,(GETPIVOTDATA(" New Unemployment",'$ Pivot Table'!$A$3,"State","TX","Category2","Two-Year"))/$B252)*100</f>
        <v>0.38607749456934282</v>
      </c>
      <c r="J252" s="28">
        <f>IF($B252&gt;0,(GETPIVOTDATA(" New Life Insurance",'$ Pivot Table'!$A$3,"State","TX","Category2","Two-Year"))/$B252)*100</f>
        <v>0.4967534283779303</v>
      </c>
      <c r="K252" s="28"/>
      <c r="L252" s="28">
        <f>IF($B252&gt;0,(GETPIVOTDATA(" New Worker's Comp",'$ Pivot Table'!$A$3,"State","TX","Category2","Two-Year"))/$B252)*100</f>
        <v>0.40999192349009828</v>
      </c>
      <c r="M252" s="28">
        <f>IF($B252&gt;0,(GETPIVOTDATA(" New Tuition Plans",'$ Pivot Table'!$A$3,"State","TX","Category2","Two-Year"))/$B252)*100</f>
        <v>0.67787141599427503</v>
      </c>
      <c r="N252" s="28">
        <f>IF($B252&gt;0,(GETPIVOTDATA(" New Other",'$ Pivot Table'!$A$3,"State","TX","Category2","Two-Year"))/$B252)*100</f>
        <v>0.66946826947208415</v>
      </c>
      <c r="O252" s="86">
        <f>IF($B252&gt;0,(GETPIVOTDATA(" New Total",'$ Pivot Table'!$A$3,"State","TX","Category2","Two-Year"))/$B252)*100</f>
        <v>20.385799554301258</v>
      </c>
      <c r="P252" s="6" t="s">
        <v>491</v>
      </c>
      <c r="Q252" s="165">
        <f>+'[2]OLD Tables'!J56</f>
        <v>53284.073586265818</v>
      </c>
      <c r="R252" s="165">
        <f>+GETPIVOTDATA(" Old Total",'$ Pivot Table'!$A$3,"State","TX","Category2","Two-Year")</f>
        <v>10406.484642708101</v>
      </c>
      <c r="S252" s="167">
        <f t="shared" si="2"/>
        <v>19.530197190836425</v>
      </c>
      <c r="T252" s="168">
        <f t="shared" si="3"/>
        <v>0.85560236346483265</v>
      </c>
      <c r="U252" s="6" t="s">
        <v>491</v>
      </c>
    </row>
    <row r="253" spans="1:27" ht="15.75" customHeight="1">
      <c r="A253" s="149" t="s">
        <v>492</v>
      </c>
      <c r="B253" s="617">
        <f>+'[2]NEW Tables 143-162'!J57</f>
        <v>56975.266498981859</v>
      </c>
      <c r="C253" s="28">
        <f>IF($B253&gt;0,(GETPIVOTDATA(" New Retirement",'$ Pivot Table'!$A$3,"State","VA","Category2","Two-Year"))/$B253)*100</f>
        <v>0</v>
      </c>
      <c r="D253" s="28">
        <f>IF($B253&gt;0,(GETPIVOTDATA(" New Health",'$ Pivot Table'!$A$3,"State","VA","Category2","Two-Year"))/$B253)*100</f>
        <v>0</v>
      </c>
      <c r="E253" s="28">
        <f>IF($B253&gt;0,(GETPIVOTDATA(" New Disability",'$ Pivot Table'!$A$3,"State","VA","Category2","Two-Year"))/$B253)*100</f>
        <v>0</v>
      </c>
      <c r="F253" s="28"/>
      <c r="G253" s="28">
        <f>IF($B253&gt;0,(GETPIVOTDATA(" New Social Security",'$ Pivot Table'!$A$3,"State","VA","Category2","Two-Year"))/$B253)*100</f>
        <v>0</v>
      </c>
      <c r="H253" s="28"/>
      <c r="I253" s="28">
        <f>IF($B253&gt;0,(GETPIVOTDATA(" New Unemployment",'$ Pivot Table'!$A$3,"State","VA","Category2","Two-Year"))/$B253)*100</f>
        <v>0</v>
      </c>
      <c r="J253" s="28">
        <f>IF($B253&gt;0,(GETPIVOTDATA(" New Life Insurance",'$ Pivot Table'!$A$3,"State","VA","Category2","Two-Year"))/$B253)*100</f>
        <v>0</v>
      </c>
      <c r="K253" s="28"/>
      <c r="L253" s="28">
        <f>IF($B253&gt;0,(GETPIVOTDATA(" New Worker's Comp",'$ Pivot Table'!$A$3,"State","VA","Category2","Two-Year"))/$B253)*100</f>
        <v>0</v>
      </c>
      <c r="M253" s="28">
        <f>IF($B253&gt;0,(GETPIVOTDATA(" New Tuition Plans",'$ Pivot Table'!$A$3,"State","VA","Category2","Two-Year"))/$B253)*100</f>
        <v>0</v>
      </c>
      <c r="N253" s="28">
        <f>IF($B253&gt;0,(GETPIVOTDATA(" New Other",'$ Pivot Table'!$A$3,"State","VA","Category2","Two-Year"))/$B253)*100</f>
        <v>0</v>
      </c>
      <c r="O253" s="86">
        <f>IF($B253&gt;0,(GETPIVOTDATA(" New Total",'$ Pivot Table'!$A$3,"State","VA","Category2","Two-Year"))/$B253)*100</f>
        <v>0</v>
      </c>
      <c r="P253" s="6" t="s">
        <v>492</v>
      </c>
      <c r="Q253" s="165">
        <f>+'[2]OLD Tables'!J57</f>
        <v>57185.932421415615</v>
      </c>
      <c r="R253" s="165">
        <f>+GETPIVOTDATA(" Old Total",'$ Pivot Table'!$A$3,"State","VA","Category2","Two-Year")</f>
        <v>0</v>
      </c>
      <c r="S253" s="167">
        <f t="shared" si="2"/>
        <v>0</v>
      </c>
      <c r="T253" s="168">
        <f t="shared" si="3"/>
        <v>0</v>
      </c>
      <c r="U253" s="6" t="s">
        <v>492</v>
      </c>
    </row>
    <row r="254" spans="1:27" ht="15.75" customHeight="1">
      <c r="A254" s="630" t="s">
        <v>493</v>
      </c>
      <c r="B254" s="618">
        <f>+'[2]NEW Tables 143-162'!J58</f>
        <v>47037.446610450454</v>
      </c>
      <c r="C254" s="30">
        <f>IF($B254&gt;0,(GETPIVOTDATA(" New Retirement",'$ Pivot Table'!$A$3,"State","WV","Category2","Two-Year"))/$B254)*100</f>
        <v>6.0302446385602799</v>
      </c>
      <c r="D254" s="30">
        <f>IF($B254&gt;0,(GETPIVOTDATA(" New Health",'$ Pivot Table'!$A$3,"State","WV","Category2","Two-Year"))/$B254)*100</f>
        <v>10.522718333350914</v>
      </c>
      <c r="E254" s="30">
        <f>IF($B254&gt;0,(GETPIVOTDATA(" New Disability",'$ Pivot Table'!$A$3,"State","WV","Category2","Two-Year"))/$B254)*100</f>
        <v>0</v>
      </c>
      <c r="F254" s="30"/>
      <c r="G254" s="30">
        <f>IF($B254&gt;0,(GETPIVOTDATA(" New Social Security",'$ Pivot Table'!$A$3,"State","WV","Category2","Two-Year"))/$B254)*100</f>
        <v>7.6500099899176099</v>
      </c>
      <c r="H254" s="30"/>
      <c r="I254" s="30">
        <f>IF($B254&gt;0,(GETPIVOTDATA(" New Unemployment",'$ Pivot Table'!$A$3,"State","WV","Category2","Two-Year"))/$B254)*100</f>
        <v>0</v>
      </c>
      <c r="J254" s="30">
        <f>IF($B254&gt;0,(GETPIVOTDATA(" New Life Insurance",'$ Pivot Table'!$A$3,"State","WV","Category2","Two-Year"))/$B254)*100</f>
        <v>0.13358666768687116</v>
      </c>
      <c r="K254" s="30"/>
      <c r="L254" s="30">
        <f>IF($B254&gt;0,(GETPIVOTDATA(" New Worker's Comp",'$ Pivot Table'!$A$3,"State","WV","Category2","Two-Year"))/$B254)*100</f>
        <v>0.57000074434680215</v>
      </c>
      <c r="M254" s="30">
        <f>IF($B254&gt;0,(GETPIVOTDATA(" New Tuition Plans",'$ Pivot Table'!$A$3,"State","WV","Category2","Two-Year"))/$B254)*100</f>
        <v>0</v>
      </c>
      <c r="N254" s="30">
        <f>IF($B254&gt;0,(GETPIVOTDATA(" New Other",'$ Pivot Table'!$A$3,"State","WV","Category2","Two-Year"))/$B254)*100</f>
        <v>0</v>
      </c>
      <c r="O254" s="115">
        <f>IF($B254&gt;0,(GETPIVOTDATA(" New Total",'$ Pivot Table'!$A$3,"State","WV","Category2","Two-Year"))/$B254)*100</f>
        <v>24.721423183153686</v>
      </c>
      <c r="P254" s="25" t="s">
        <v>493</v>
      </c>
      <c r="Q254" s="165">
        <f>+'[2]OLD Tables'!J58</f>
        <v>46675.424853383462</v>
      </c>
      <c r="R254" s="165">
        <f>+GETPIVOTDATA(" Old Total",'$ Pivot Table'!$A$3,"State","WV","Category2","Two-Year")</f>
        <v>12283.804367232895</v>
      </c>
      <c r="S254" s="167">
        <f t="shared" si="2"/>
        <v>26.317498781893683</v>
      </c>
      <c r="T254" s="168">
        <f t="shared" si="3"/>
        <v>-1.596075598739997</v>
      </c>
      <c r="U254" s="25" t="s">
        <v>493</v>
      </c>
    </row>
    <row r="255" spans="1:27">
      <c r="A255" s="627" t="s">
        <v>685</v>
      </c>
      <c r="B255" s="31"/>
      <c r="C255" s="28"/>
      <c r="D255" s="28"/>
      <c r="E255" s="28"/>
      <c r="F255" s="28"/>
      <c r="G255" s="28"/>
      <c r="H255" s="28"/>
      <c r="I255" s="28"/>
      <c r="J255" s="28"/>
      <c r="K255" s="28"/>
      <c r="L255" s="28"/>
      <c r="M255" s="28"/>
      <c r="N255" s="28"/>
      <c r="O255" s="86"/>
      <c r="Q255" s="116"/>
      <c r="R255" s="101"/>
      <c r="S255" s="103"/>
      <c r="T255" s="102"/>
      <c r="V255" s="117"/>
    </row>
    <row r="256" spans="1:27" ht="18" customHeight="1">
      <c r="A256" s="628" t="s">
        <v>14</v>
      </c>
      <c r="B256" s="45"/>
      <c r="C256" s="47"/>
      <c r="D256" s="47"/>
      <c r="E256" s="47"/>
      <c r="F256" s="47"/>
      <c r="G256" s="47"/>
      <c r="H256" s="47"/>
      <c r="I256" s="47"/>
      <c r="J256" s="47"/>
      <c r="K256" s="47"/>
      <c r="L256" s="47"/>
      <c r="M256" s="47"/>
      <c r="N256" s="47"/>
      <c r="O256" s="77"/>
      <c r="Q256" s="112"/>
    </row>
    <row r="257" spans="1:29" ht="18" customHeight="1">
      <c r="A257" s="628" t="s">
        <v>678</v>
      </c>
      <c r="B257" s="45"/>
      <c r="C257" s="54"/>
      <c r="D257" s="54"/>
      <c r="E257" s="54"/>
      <c r="F257" s="54"/>
      <c r="G257" s="54"/>
      <c r="H257" s="54"/>
      <c r="I257" s="54"/>
      <c r="J257" s="54"/>
      <c r="K257" s="54"/>
      <c r="L257" s="54"/>
      <c r="M257" s="54"/>
      <c r="N257" s="54"/>
      <c r="O257" s="145"/>
      <c r="Q257" s="152"/>
      <c r="R257" s="152"/>
      <c r="S257" s="152"/>
      <c r="T257" s="153"/>
      <c r="U257" s="152"/>
      <c r="V257" s="153"/>
      <c r="W257" s="152"/>
      <c r="X257" s="152"/>
      <c r="Y257" s="153"/>
      <c r="Z257" s="152"/>
      <c r="AA257" s="152"/>
      <c r="AB257" s="152"/>
      <c r="AC257" s="154"/>
    </row>
    <row r="258" spans="1:29">
      <c r="A258" s="629"/>
      <c r="B258" s="45"/>
      <c r="C258" s="54"/>
      <c r="D258" s="54"/>
      <c r="E258" s="54"/>
      <c r="F258" s="54"/>
      <c r="G258" s="54"/>
      <c r="H258" s="54"/>
      <c r="I258" s="54"/>
      <c r="J258" s="54"/>
      <c r="K258" s="54"/>
      <c r="L258" s="54"/>
      <c r="M258" s="54"/>
      <c r="N258" s="54"/>
      <c r="O258" s="637" t="s">
        <v>1321</v>
      </c>
    </row>
    <row r="259" spans="1:29" ht="18">
      <c r="A259" s="595" t="s">
        <v>1108</v>
      </c>
      <c r="B259" s="48"/>
      <c r="C259" s="48"/>
      <c r="D259" s="48"/>
      <c r="E259" s="48"/>
      <c r="F259" s="48"/>
      <c r="G259" s="48"/>
      <c r="H259" s="48"/>
      <c r="I259" s="48"/>
      <c r="J259" s="48"/>
      <c r="K259" s="48"/>
      <c r="L259" s="48"/>
      <c r="M259" s="48"/>
      <c r="N259" s="48"/>
      <c r="O259" s="48"/>
    </row>
    <row r="260" spans="1:29">
      <c r="A260" s="622"/>
      <c r="B260" s="50"/>
      <c r="C260" s="49"/>
      <c r="D260" s="49"/>
      <c r="E260" s="49"/>
      <c r="F260" s="49"/>
      <c r="G260" s="49"/>
      <c r="H260" s="49"/>
      <c r="I260" s="49"/>
      <c r="J260" s="49"/>
      <c r="K260" s="49"/>
      <c r="L260" s="49"/>
      <c r="M260" s="49"/>
      <c r="N260" s="49"/>
      <c r="O260" s="148"/>
    </row>
    <row r="261" spans="1:29" ht="15.75">
      <c r="A261" s="633" t="s">
        <v>466</v>
      </c>
      <c r="B261" s="48"/>
      <c r="C261" s="48"/>
      <c r="D261" s="48"/>
      <c r="E261" s="48"/>
      <c r="F261" s="48"/>
      <c r="G261" s="48"/>
      <c r="H261" s="48"/>
      <c r="I261" s="48"/>
      <c r="J261" s="48"/>
      <c r="K261" s="48"/>
      <c r="L261" s="48"/>
      <c r="M261" s="48"/>
      <c r="N261" s="48"/>
      <c r="O261" s="147"/>
    </row>
    <row r="262" spans="1:29" ht="15.75">
      <c r="A262" s="633" t="s">
        <v>1156</v>
      </c>
      <c r="B262" s="48"/>
      <c r="C262" s="48"/>
      <c r="D262" s="48"/>
      <c r="E262" s="48"/>
      <c r="F262" s="48"/>
      <c r="G262" s="48"/>
      <c r="H262" s="48"/>
      <c r="I262" s="48"/>
      <c r="J262" s="48"/>
      <c r="K262" s="48"/>
      <c r="L262" s="48"/>
      <c r="M262" s="48"/>
      <c r="N262" s="48"/>
      <c r="O262" s="147"/>
    </row>
    <row r="263" spans="1:29">
      <c r="A263" s="148"/>
      <c r="B263" s="45"/>
      <c r="C263" s="54"/>
      <c r="D263" s="54"/>
      <c r="E263" s="54"/>
      <c r="F263" s="54"/>
      <c r="G263" s="54"/>
      <c r="H263" s="54"/>
      <c r="I263" s="54"/>
      <c r="J263" s="54"/>
      <c r="K263" s="54"/>
      <c r="L263" s="54"/>
      <c r="M263" s="54"/>
      <c r="N263" s="54"/>
      <c r="O263" s="145"/>
    </row>
    <row r="264" spans="1:29">
      <c r="A264" s="634"/>
      <c r="B264" s="2" t="s">
        <v>473</v>
      </c>
      <c r="C264" s="63" t="s">
        <v>593</v>
      </c>
      <c r="D264" s="63"/>
      <c r="E264" s="63"/>
      <c r="F264" s="63"/>
      <c r="G264" s="63"/>
      <c r="H264" s="63"/>
      <c r="I264" s="63"/>
      <c r="J264" s="63"/>
      <c r="K264" s="63"/>
      <c r="L264" s="63"/>
      <c r="M264" s="63"/>
      <c r="N264" s="63"/>
      <c r="O264" s="136"/>
    </row>
    <row r="265" spans="1:29">
      <c r="A265" s="635"/>
      <c r="B265" s="4" t="s">
        <v>474</v>
      </c>
      <c r="C265" s="3" t="s">
        <v>660</v>
      </c>
      <c r="D265" s="3"/>
      <c r="E265" s="57"/>
      <c r="F265" s="57"/>
      <c r="G265" s="3" t="s">
        <v>661</v>
      </c>
      <c r="H265" s="3"/>
      <c r="I265" s="3" t="s">
        <v>662</v>
      </c>
      <c r="J265" s="3" t="s">
        <v>663</v>
      </c>
      <c r="K265" s="3"/>
      <c r="L265" s="3" t="s">
        <v>664</v>
      </c>
      <c r="M265" s="3" t="s">
        <v>665</v>
      </c>
      <c r="N265" s="3"/>
      <c r="O265" s="124" t="s">
        <v>475</v>
      </c>
    </row>
    <row r="266" spans="1:29">
      <c r="A266" s="636"/>
      <c r="B266" s="15" t="s">
        <v>476</v>
      </c>
      <c r="C266" s="16" t="s">
        <v>667</v>
      </c>
      <c r="D266" s="16" t="s">
        <v>708</v>
      </c>
      <c r="E266" s="17" t="s">
        <v>709</v>
      </c>
      <c r="F266" s="17"/>
      <c r="G266" s="16" t="s">
        <v>668</v>
      </c>
      <c r="H266" s="16"/>
      <c r="I266" s="16" t="s">
        <v>667</v>
      </c>
      <c r="J266" s="16" t="s">
        <v>669</v>
      </c>
      <c r="K266" s="16"/>
      <c r="L266" s="16" t="s">
        <v>670</v>
      </c>
      <c r="M266" s="16" t="s">
        <v>671</v>
      </c>
      <c r="N266" s="16" t="s">
        <v>701</v>
      </c>
      <c r="O266" s="146" t="s">
        <v>15</v>
      </c>
    </row>
    <row r="267" spans="1:29">
      <c r="A267" s="149" t="s">
        <v>600</v>
      </c>
      <c r="B267" s="33">
        <f>+'[2]NEW Tables 143-162'!B38</f>
        <v>54861.800102206347</v>
      </c>
      <c r="C267" s="32">
        <f>IF($B267&gt;0,(GETPIVOTDATA(" New Retirement",'$ Pivot Table'!$A$3,"Category",7,"Category2","Two-Year"))/$B267)*100</f>
        <v>10.57070974098707</v>
      </c>
      <c r="D267" s="32">
        <f>IF($B267&gt;0,(GETPIVOTDATA(" New Health",'$ Pivot Table'!$A$3,"Category",7,"Category2","Two-Year"))/$B267)*100</f>
        <v>11.543459777806317</v>
      </c>
      <c r="E267" s="32">
        <f>IF($B267&gt;0,(GETPIVOTDATA(" New Disability",'$ Pivot Table'!$A$3,"Category",7,"Category2","Two-Year"))/$B267)*100</f>
        <v>0.4630541850222723</v>
      </c>
      <c r="F267" s="32"/>
      <c r="G267" s="32">
        <f>IF($B267&gt;0,(GETPIVOTDATA(" New Social Security",'$ Pivot Table'!$A$3,"Category",7,"Category2","Two-Year"))/$B267)*100</f>
        <v>7.5176721906826272</v>
      </c>
      <c r="H267" s="32"/>
      <c r="I267" s="32">
        <f>IF($B267&gt;0,(GETPIVOTDATA(" New Unemployment",'$ Pivot Table'!$A$3,"Category",7,"Category2","Two-Year"))/$B267)*100</f>
        <v>0.63376962196125841</v>
      </c>
      <c r="J267" s="32">
        <f>IF($B267&gt;0,(GETPIVOTDATA(" New Life Insurance",'$ Pivot Table'!$A$3,"Category",7,"Category2","Two-Year"))/$B267)*100</f>
        <v>0.41445501089620818</v>
      </c>
      <c r="K267" s="32"/>
      <c r="L267" s="32">
        <f>IF($B267&gt;0,(GETPIVOTDATA(" New Worker's Comp",'$ Pivot Table'!$A$3,"Category",7,"Category2","Two-Year"))/$B267)*100</f>
        <v>0.87178486432970359</v>
      </c>
      <c r="M267" s="32">
        <f>IF($B267&gt;0,(GETPIVOTDATA(" New Tuition Plans",'$ Pivot Table'!$A$3,"Category",7,"Category2","Two-Year"))/$B267)*100</f>
        <v>0.46913109284922455</v>
      </c>
      <c r="N267" s="32">
        <f>IF($B267&gt;0,(GETPIVOTDATA(" New Other",'$ Pivot Table'!$A$3,"Category",7,"Category2","Two-Year"))/$B267)*100</f>
        <v>6.6467604629912552E-2</v>
      </c>
      <c r="O267" s="90">
        <f>IF($B267&gt;0,(GETPIVOTDATA(" New Total",'$ Pivot Table'!$A$3,"Category",7,"Category2","Two-Year"))/$B267)*100</f>
        <v>29.140955266376551</v>
      </c>
    </row>
    <row r="268" spans="1:29">
      <c r="A268" s="149"/>
      <c r="B268" s="31">
        <f>+'[3]NEW Tables 144-163'!B39</f>
        <v>0</v>
      </c>
      <c r="C268" s="32"/>
      <c r="D268" s="34"/>
      <c r="E268" s="32"/>
      <c r="F268" s="32"/>
      <c r="G268" s="32"/>
      <c r="H268" s="32"/>
      <c r="I268" s="32"/>
      <c r="J268" s="32"/>
      <c r="K268" s="32"/>
      <c r="L268" s="32"/>
      <c r="M268" s="32"/>
      <c r="N268" s="32"/>
      <c r="O268" s="90"/>
    </row>
    <row r="269" spans="1:29">
      <c r="A269" s="149" t="s">
        <v>479</v>
      </c>
      <c r="B269" s="617">
        <f>+'[2]NEW Tables 143-162'!B40</f>
        <v>0</v>
      </c>
      <c r="C269" s="32">
        <f>IF($B269&gt;0,(GETPIVOTDATA(" New Retirement",'$ Pivot Table'!$A$3,"State","AL","Category",7,"Category2","Two-Year"))/$B269)*100</f>
        <v>0</v>
      </c>
      <c r="D269" s="32">
        <f>IF($B269&gt;0,(GETPIVOTDATA(" New Health",'$ Pivot Table'!$A$3,"State","AL","Category",7,"Category2","Two-Year"))/$B269)*100</f>
        <v>0</v>
      </c>
      <c r="E269" s="32">
        <f>IF($B269&gt;0,(GETPIVOTDATA(" New Disability",'$ Pivot Table'!$A$3,"State","AL","Category",7,"Category2","Two-Year"))/$B269)*100</f>
        <v>0</v>
      </c>
      <c r="F269" s="32"/>
      <c r="G269" s="32">
        <f>IF($B269&gt;0,(GETPIVOTDATA(" New Social Security",'$ Pivot Table'!$A$3,"State","AL","Category",7,"Category2","Two-Year"))/$B269)*100</f>
        <v>0</v>
      </c>
      <c r="H269" s="32"/>
      <c r="I269" s="32">
        <f>IF($B269&gt;0,(GETPIVOTDATA(" New Unemployment",'$ Pivot Table'!$A$3,"State","AL","Category",7,"Category2","Two-Year"))/$B269)*100</f>
        <v>0</v>
      </c>
      <c r="J269" s="32">
        <f>IF($B269&gt;0,(GETPIVOTDATA(" New Life Insurance",'$ Pivot Table'!$A$3,"State","AL","Category",7,"Category2","Two-Year"))/$B269)*100</f>
        <v>0</v>
      </c>
      <c r="K269" s="32"/>
      <c r="L269" s="32">
        <f>IF($B269&gt;0,(GETPIVOTDATA(" New Worker's Comp",'$ Pivot Table'!$A$3,"State","AL","Category",7,"Category2","Two-Year"))/$B269)*100</f>
        <v>0</v>
      </c>
      <c r="M269" s="32">
        <f>IF($B269&gt;0,(GETPIVOTDATA(" New Tuition Plans",'$ Pivot Table'!$A$3,"State","AL","Category",7,"Category2","Two-Year"))/$B269)*100</f>
        <v>0</v>
      </c>
      <c r="N269" s="32">
        <f>IF($B269&gt;0,(GETPIVOTDATA(" New Other",'$ Pivot Table'!$A$3,"State","AL","Category",7,"Category2","Two-Year"))/$B269)*100</f>
        <v>0</v>
      </c>
      <c r="O269" s="90">
        <f>IF($B269&gt;0,(GETPIVOTDATA(" New Total",'$ Pivot Table'!$A$3,"State","AL","Category",7,"Category2","Two-Year"))/$B269)*100</f>
        <v>0</v>
      </c>
    </row>
    <row r="270" spans="1:29">
      <c r="A270" s="149" t="s">
        <v>480</v>
      </c>
      <c r="B270" s="617">
        <f>+'[2]NEW Tables 143-162'!B41</f>
        <v>0</v>
      </c>
      <c r="C270" s="32">
        <f>IF($B270&gt;0,(GETPIVOTDATA(" New Retirement",'$ Pivot Table'!$A$3,"State","AR","Category",7,"Category2","Two-Year"))/$B270)*100</f>
        <v>0</v>
      </c>
      <c r="D270" s="32">
        <f>IF($B270&gt;0,(GETPIVOTDATA(" New Health",'$ Pivot Table'!$A$3,"State","AR","Category",7,"Category2","Two-Year"))/$B270)*100</f>
        <v>0</v>
      </c>
      <c r="E270" s="32">
        <f>IF($B270&gt;0,(GETPIVOTDATA(" New Disability",'$ Pivot Table'!$A$3,"State","AR","Category",7,"Category2","Two-Year"))/$B270)*100</f>
        <v>0</v>
      </c>
      <c r="F270" s="32"/>
      <c r="G270" s="32">
        <f>IF($B270&gt;0,(GETPIVOTDATA(" New Social Security",'$ Pivot Table'!$A$3,"State","AR","Category",7,"Category2","Two-Year"))/$B270)*100</f>
        <v>0</v>
      </c>
      <c r="H270" s="32"/>
      <c r="I270" s="32">
        <f>IF($B270&gt;0,(GETPIVOTDATA(" New Unemployment",'$ Pivot Table'!$A$3,"State","AR","Category",7,"Category2","Two-Year"))/$B270)*100</f>
        <v>0</v>
      </c>
      <c r="J270" s="32">
        <f>IF($B270&gt;0,(GETPIVOTDATA(" New Life Insurance",'$ Pivot Table'!$A$3,"State","AR","Category",7,"Category2","Two-Year"))/$B270)*100</f>
        <v>0</v>
      </c>
      <c r="K270" s="32"/>
      <c r="L270" s="32">
        <f>IF($B270&gt;0,(GETPIVOTDATA(" New Worker's Comp",'$ Pivot Table'!$A$3,"State","AR","Category",7,"Category2","Two-Year"))/$B270)*100</f>
        <v>0</v>
      </c>
      <c r="M270" s="32">
        <f>IF($B270&gt;0,(GETPIVOTDATA(" New Tuition Plans",'$ Pivot Table'!$A$3,"State","AR","Category",7,"Category2","Two-Year"))/$B270)*100</f>
        <v>0</v>
      </c>
      <c r="N270" s="32">
        <f>IF($B270&gt;0,(GETPIVOTDATA(" New Other",'$ Pivot Table'!$A$3,"State","AR","Category",7,"Category2","Two-Year"))/$B270)*100</f>
        <v>0</v>
      </c>
      <c r="O270" s="90">
        <f>IF($B270&gt;0,(GETPIVOTDATA(" New Total",'$ Pivot Table'!$A$3,"State","AR","Category",7,"Category2","Two-Year"))/$B270)*100</f>
        <v>0</v>
      </c>
    </row>
    <row r="271" spans="1:29">
      <c r="A271" s="149" t="s">
        <v>494</v>
      </c>
      <c r="B271" s="617">
        <f>+'[2]NEW Tables 143-162'!B42</f>
        <v>0</v>
      </c>
      <c r="C271" s="32">
        <f>IF($B271&gt;0,(GETPIVOTDATA(" New Retirement",'$ Pivot Table'!$A$3,"State","DE","Category",7,"Category2","Two-Year"))/$B271)*100</f>
        <v>0</v>
      </c>
      <c r="D271" s="32">
        <f>IF($B271&gt;0,(GETPIVOTDATA(" New Health",'$ Pivot Table'!$A$3,"State","DE","Category",7,"Category2","Two-Year"))/$B271)*100</f>
        <v>0</v>
      </c>
      <c r="E271" s="32">
        <f>IF($B271&gt;0,(GETPIVOTDATA(" New Disability",'$ Pivot Table'!$A$3,"State","DE","Category",7,"Category2","Two-Year"))/$B271)*100</f>
        <v>0</v>
      </c>
      <c r="F271" s="32"/>
      <c r="G271" s="32">
        <f>IF($B271&gt;0,(GETPIVOTDATA(" New Social Security",'$ Pivot Table'!$A$3,"State","DE","Category",7,"Category2","Two-Year"))/$B271)*100</f>
        <v>0</v>
      </c>
      <c r="H271" s="32"/>
      <c r="I271" s="32">
        <f>IF($B271&gt;0,(GETPIVOTDATA(" New Unemployment",'$ Pivot Table'!$A$3,"State","DE","Category",7,"Category2","Two-Year"))/$B271)*100</f>
        <v>0</v>
      </c>
      <c r="J271" s="32">
        <f>IF($B271&gt;0,(GETPIVOTDATA(" New Life Insurance",'$ Pivot Table'!$A$3,"State","DE","Category",7,"Category2","Two-Year"))/$B271)*100</f>
        <v>0</v>
      </c>
      <c r="K271" s="32"/>
      <c r="L271" s="32">
        <f>IF($B271&gt;0,(GETPIVOTDATA(" New Worker's Comp",'$ Pivot Table'!$A$3,"State","DE","Category",7,"Category2","Two-Year"))/$B271)*100</f>
        <v>0</v>
      </c>
      <c r="M271" s="32">
        <f>IF($B271&gt;0,(GETPIVOTDATA(" New Tuition Plans",'$ Pivot Table'!$A$3,"State","DE","Category",7,"Category2","Two-Year"))/$B271)*100</f>
        <v>0</v>
      </c>
      <c r="N271" s="32">
        <f>IF($B271&gt;0,(GETPIVOTDATA(" New Other",'$ Pivot Table'!$A$3,"State","DE","Category",7,"Category2","Two-Year"))/$B271)*100</f>
        <v>0</v>
      </c>
      <c r="O271" s="90">
        <f>IF($B271&gt;0,(GETPIVOTDATA(" New Total",'$ Pivot Table'!$A$3,"State","DE","Category",7,"Category2","Two-Year"))/$B271)*100</f>
        <v>0</v>
      </c>
    </row>
    <row r="272" spans="1:29">
      <c r="A272" s="149" t="s">
        <v>481</v>
      </c>
      <c r="B272" s="617">
        <f>+'[2]NEW Tables 143-162'!B43</f>
        <v>58779.872367581367</v>
      </c>
      <c r="C272" s="32">
        <f>IF($B272&gt;0,(GETPIVOTDATA(" New Retirement",'$ Pivot Table'!$A$3,"State","FL","Category",7,"Category2","Two-Year"))/$B272)*100</f>
        <v>11.585618561750985</v>
      </c>
      <c r="D272" s="32">
        <f>IF($B272&gt;0,(GETPIVOTDATA(" New Health",'$ Pivot Table'!$A$3,"State","FL","Category",7,"Category2","Two-Year"))/$B272)*100</f>
        <v>11.068773442250659</v>
      </c>
      <c r="E272" s="32">
        <f>IF($B272&gt;0,(GETPIVOTDATA(" New Disability",'$ Pivot Table'!$A$3,"State","FL","Category",7,"Category2","Two-Year"))/$B272)*100</f>
        <v>0.34236483107650473</v>
      </c>
      <c r="F272" s="32"/>
      <c r="G272" s="32">
        <f>IF($B272&gt;0,(GETPIVOTDATA(" New Social Security",'$ Pivot Table'!$A$3,"State","FL","Category",7,"Category2","Two-Year"))/$B272)*100</f>
        <v>8.215235916041614</v>
      </c>
      <c r="H272" s="32"/>
      <c r="I272" s="32">
        <f>IF($B272&gt;0,(GETPIVOTDATA(" New Unemployment",'$ Pivot Table'!$A$3,"State","FL","Category",7,"Category2","Two-Year"))/$B272)*100</f>
        <v>0.73349869933608891</v>
      </c>
      <c r="J272" s="32">
        <f>IF($B272&gt;0,(GETPIVOTDATA(" New Life Insurance",'$ Pivot Table'!$A$3,"State","FL","Category",7,"Category2","Two-Year"))/$B272)*100</f>
        <v>0.46741404829078781</v>
      </c>
      <c r="K272" s="32"/>
      <c r="L272" s="32">
        <f>IF($B272&gt;0,(GETPIVOTDATA(" New Worker's Comp",'$ Pivot Table'!$A$3,"State","FL","Category",7,"Category2","Two-Year"))/$B272)*100</f>
        <v>1.0971304006842402</v>
      </c>
      <c r="M272" s="32">
        <f>IF($B272&gt;0,(GETPIVOTDATA(" New Tuition Plans",'$ Pivot Table'!$A$3,"State","FL","Category",7,"Category2","Two-Year"))/$B272)*100</f>
        <v>0.28208392558541717</v>
      </c>
      <c r="N272" s="32">
        <f>IF($B272&gt;0,(GETPIVOTDATA(" New Other",'$ Pivot Table'!$A$3,"State","FL","Category",7,"Category2","Two-Year"))/$B272)*100</f>
        <v>8.5324863994613406E-2</v>
      </c>
      <c r="O272" s="90">
        <f>IF($B272&gt;0,(GETPIVOTDATA(" New Total",'$ Pivot Table'!$A$3,"State","FL","Category",7,"Category2","Two-Year"))/$B272)*100</f>
        <v>32.451948448072834</v>
      </c>
    </row>
    <row r="273" spans="1:16">
      <c r="A273" s="149"/>
      <c r="B273" s="617">
        <f>+'[2]NEW Tables 143-162'!B44</f>
        <v>0</v>
      </c>
      <c r="C273" s="32"/>
      <c r="D273" s="34"/>
      <c r="E273" s="32"/>
      <c r="F273" s="32"/>
      <c r="G273" s="32"/>
      <c r="H273" s="32"/>
      <c r="I273" s="32"/>
      <c r="J273" s="32"/>
      <c r="K273" s="32"/>
      <c r="L273" s="32"/>
      <c r="M273" s="32"/>
      <c r="N273" s="32"/>
      <c r="O273" s="90"/>
    </row>
    <row r="274" spans="1:16">
      <c r="A274" s="149" t="s">
        <v>482</v>
      </c>
      <c r="B274" s="617">
        <f>+'[2]NEW Tables 143-162'!B45</f>
        <v>49113.038046242778</v>
      </c>
      <c r="C274" s="32">
        <f>IF($B274&gt;0,(GETPIVOTDATA(" New Retirement",'$ Pivot Table'!$A$3,"State","GA","Category",7,"Category2","Two-Year"))/$B274)*100</f>
        <v>9.6222991929500132</v>
      </c>
      <c r="D274" s="32">
        <f>IF($B274&gt;0,(GETPIVOTDATA(" New Health",'$ Pivot Table'!$A$3,"State","GA","Category",7,"Category2","Two-Year"))/$B274)*100</f>
        <v>13.770851908318512</v>
      </c>
      <c r="E274" s="32">
        <f>IF($B274&gt;0,(GETPIVOTDATA(" New Disability",'$ Pivot Table'!$A$3,"State","GA","Category",7,"Category2","Two-Year"))/$B274)*100</f>
        <v>0</v>
      </c>
      <c r="F274" s="32"/>
      <c r="G274" s="32">
        <f>IF($B274&gt;0,(GETPIVOTDATA(" New Social Security",'$ Pivot Table'!$A$3,"State","GA","Category",7,"Category2","Two-Year"))/$B274)*100</f>
        <v>7.5059975287173311</v>
      </c>
      <c r="H274" s="32"/>
      <c r="I274" s="32">
        <f>IF($B274&gt;0,(GETPIVOTDATA(" New Unemployment",'$ Pivot Table'!$A$3,"State","GA","Category",7,"Category2","Two-Year"))/$B274)*100</f>
        <v>0.28709280795710562</v>
      </c>
      <c r="J274" s="32">
        <f>IF($B274&gt;0,(GETPIVOTDATA(" New Life Insurance",'$ Pivot Table'!$A$3,"State","GA","Category",7,"Category2","Two-Year"))/$B274)*100</f>
        <v>0.36397612302076082</v>
      </c>
      <c r="K274" s="32"/>
      <c r="L274" s="32">
        <f>IF($B274&gt;0,(GETPIVOTDATA(" New Worker's Comp",'$ Pivot Table'!$A$3,"State","GA","Category",7,"Category2","Two-Year"))/$B274)*100</f>
        <v>0.26086004655711698</v>
      </c>
      <c r="M274" s="32">
        <f>IF($B274&gt;0,(GETPIVOTDATA(" New Tuition Plans",'$ Pivot Table'!$A$3,"State","GA","Category",7,"Category2","Two-Year"))/$B274)*100</f>
        <v>0</v>
      </c>
      <c r="N274" s="32">
        <f>IF($B274&gt;0,(GETPIVOTDATA(" New Other",'$ Pivot Table'!$A$3,"State","GA","Category",7,"Category2","Two-Year"))/$B274)*100</f>
        <v>0</v>
      </c>
      <c r="O274" s="90">
        <f>IF($B274&gt;0,(GETPIVOTDATA(" New Total",'$ Pivot Table'!$A$3,"State","GA","Category",7,"Category2","Two-Year"))/$B274)*100</f>
        <v>29.447354568915497</v>
      </c>
    </row>
    <row r="275" spans="1:16">
      <c r="A275" s="149" t="s">
        <v>483</v>
      </c>
      <c r="B275" s="617">
        <f>+'[2]NEW Tables 143-162'!B46</f>
        <v>0</v>
      </c>
      <c r="C275" s="32">
        <f>IF($B275&gt;0,(GETPIVOTDATA(" New Retirement",'$ Pivot Table'!$A$3,"State","KY","Category",7,"Category2","Two-Year"))/$B275)*100</f>
        <v>0</v>
      </c>
      <c r="D275" s="32">
        <f>IF($B275&gt;0,(GETPIVOTDATA(" New Health",'$ Pivot Table'!$A$3,"State","KY","Category",7,"Category2","Two-Year"))/$B275)*100</f>
        <v>0</v>
      </c>
      <c r="E275" s="32">
        <f>IF($B275&gt;0,(GETPIVOTDATA(" New Disability",'$ Pivot Table'!$A$3,"State","KY","Category",7,"Category2","Two-Year"))/$B275)*100</f>
        <v>0</v>
      </c>
      <c r="F275" s="32"/>
      <c r="G275" s="32">
        <f>IF($B275&gt;0,(GETPIVOTDATA(" New Social Security",'$ Pivot Table'!$A$3,"State","KY","Category",7,"Category2","Two-Year"))/$B275)*100</f>
        <v>0</v>
      </c>
      <c r="H275" s="32"/>
      <c r="I275" s="32">
        <f>IF($B275&gt;0,(GETPIVOTDATA(" New Unemployment",'$ Pivot Table'!$A$3,"State","KY","Category",7,"Category2","Two-Year"))/$B275)*100</f>
        <v>0</v>
      </c>
      <c r="J275" s="32">
        <f>IF($B275&gt;0,(GETPIVOTDATA(" New Life Insurance",'$ Pivot Table'!$A$3,"State","KY","Category",7,"Category2","Two-Year"))/$B275)*100</f>
        <v>0</v>
      </c>
      <c r="K275" s="32"/>
      <c r="L275" s="32">
        <f>IF($B275&gt;0,(GETPIVOTDATA(" New Worker's Comp",'$ Pivot Table'!$A$3,"State","KY","Category",7,"Category2","Two-Year"))/$B275)*100</f>
        <v>0</v>
      </c>
      <c r="M275" s="32">
        <f>IF($B275&gt;0,(GETPIVOTDATA(" New Tuition Plans",'$ Pivot Table'!$A$3,"State","KY","Category",7,"Category2","Two-Year"))/$B275)*100</f>
        <v>0</v>
      </c>
      <c r="N275" s="32">
        <f>IF($B275&gt;0,(GETPIVOTDATA(" New Other",'$ Pivot Table'!$A$3,"State","KY","Category",7,"Category2","Two-Year"))/$B275)*100</f>
        <v>0</v>
      </c>
      <c r="O275" s="90">
        <f>IF($B275&gt;0,(GETPIVOTDATA(" New Total",'$ Pivot Table'!$A$3,"State","KY","Category",7,"Category2","Two-Year"))/$B275)*100</f>
        <v>0</v>
      </c>
    </row>
    <row r="276" spans="1:16">
      <c r="A276" s="149" t="s">
        <v>484</v>
      </c>
      <c r="B276" s="617">
        <f>+'[2]NEW Tables 143-162'!B47</f>
        <v>48373.200119587629</v>
      </c>
      <c r="C276" s="32">
        <f>IF($B276&gt;0,(GETPIVOTDATA(" New Retirement",'$ Pivot Table'!$A$3,"State","LA","Category",7,"Category2","Two-Year"))/$B276)*100</f>
        <v>14.664907622872356</v>
      </c>
      <c r="D276" s="32">
        <f>IF($B276&gt;0,(GETPIVOTDATA(" New Health",'$ Pivot Table'!$A$3,"State","LA","Category",7,"Category2","Two-Year"))/$B276)*100</f>
        <v>11.816222708732363</v>
      </c>
      <c r="E276" s="32">
        <f>IF($B276&gt;0,(GETPIVOTDATA(" New Disability",'$ Pivot Table'!$A$3,"State","LA","Category",7,"Category2","Two-Year"))/$B276)*100</f>
        <v>0</v>
      </c>
      <c r="F276" s="32"/>
      <c r="G276" s="32">
        <f>IF($B276&gt;0,(GETPIVOTDATA(" New Social Security",'$ Pivot Table'!$A$3,"State","LA","Category",7,"Category2","Two-Year"))/$B276)*100</f>
        <v>1.4933290724788115</v>
      </c>
      <c r="H276" s="32"/>
      <c r="I276" s="32">
        <f>IF($B276&gt;0,(GETPIVOTDATA(" New Unemployment",'$ Pivot Table'!$A$3,"State","LA","Category",7,"Category2","Two-Year"))/$B276)*100</f>
        <v>0</v>
      </c>
      <c r="J276" s="32">
        <f>IF($B276&gt;0,(GETPIVOTDATA(" New Life Insurance",'$ Pivot Table'!$A$3,"State","LA","Category",7,"Category2","Two-Year"))/$B276)*100</f>
        <v>0.33570737432821379</v>
      </c>
      <c r="K276" s="32"/>
      <c r="L276" s="32">
        <f>IF($B276&gt;0,(GETPIVOTDATA(" New Worker's Comp",'$ Pivot Table'!$A$3,"State","LA","Category",7,"Category2","Two-Year"))/$B276)*100</f>
        <v>0</v>
      </c>
      <c r="M276" s="32">
        <f>IF($B276&gt;0,(GETPIVOTDATA(" New Tuition Plans",'$ Pivot Table'!$A$3,"State","LA","Category",7,"Category2","Two-Year"))/$B276)*100</f>
        <v>0</v>
      </c>
      <c r="N276" s="32">
        <f>IF($B276&gt;0,(GETPIVOTDATA(" New Other",'$ Pivot Table'!$A$3,"State","LA","Category",7,"Category2","Two-Year"))/$B276)*100</f>
        <v>0</v>
      </c>
      <c r="O276" s="90">
        <f>IF($B276&gt;0,(GETPIVOTDATA(" New Total",'$ Pivot Table'!$A$3,"State","LA","Category",7,"Category2","Two-Year"))/$B276)*100</f>
        <v>25.87451011814197</v>
      </c>
    </row>
    <row r="277" spans="1:16">
      <c r="A277" s="149" t="s">
        <v>485</v>
      </c>
      <c r="B277" s="617">
        <f>+'[2]NEW Tables 143-162'!B48</f>
        <v>0</v>
      </c>
      <c r="C277" s="32">
        <f>IF($B277&gt;0,(GETPIVOTDATA(" New Retirement",'$ Pivot Table'!$A$3,"State","MD","Category",7,"Category2","Two-Year"))/$B277)*100</f>
        <v>0</v>
      </c>
      <c r="D277" s="32">
        <f>IF($B277&gt;0,(GETPIVOTDATA(" New Health",'$ Pivot Table'!$A$3,"State","MD","Category",7,"Category2","Two-Year"))/$B277)*100</f>
        <v>0</v>
      </c>
      <c r="E277" s="32">
        <f>IF($B277&gt;0,(GETPIVOTDATA(" New Disability",'$ Pivot Table'!$A$3,"State","MD","Category",7,"Category2","Two-Year"))/$B277)*100</f>
        <v>0</v>
      </c>
      <c r="F277" s="32"/>
      <c r="G277" s="32">
        <f>IF($B277&gt;0,(GETPIVOTDATA(" New Social Security",'$ Pivot Table'!$A$3,"State","MD","Category",7,"Category2","Two-Year"))/$B277)*100</f>
        <v>0</v>
      </c>
      <c r="H277" s="32"/>
      <c r="I277" s="32">
        <f>IF($B277&gt;0,(GETPIVOTDATA(" New Unemployment",'$ Pivot Table'!$A$3,"State","MD","Category",7,"Category2","Two-Year"))/$B277)*100</f>
        <v>0</v>
      </c>
      <c r="J277" s="32">
        <f>IF($B277&gt;0,(GETPIVOTDATA(" New Life Insurance",'$ Pivot Table'!$A$3,"State","MD","Category",7,"Category2","Two-Year"))/$B277)*100</f>
        <v>0</v>
      </c>
      <c r="K277" s="32"/>
      <c r="L277" s="32">
        <f>IF($B277&gt;0,(GETPIVOTDATA(" New Worker's Comp",'$ Pivot Table'!$A$3,"State","MD","Category",7,"Category2","Two-Year"))/$B277)*100</f>
        <v>0</v>
      </c>
      <c r="M277" s="32">
        <f>IF($B277&gt;0,(GETPIVOTDATA(" New Tuition Plans",'$ Pivot Table'!$A$3,"State","MD","Category",7,"Category2","Two-Year"))/$B277)*100</f>
        <v>0</v>
      </c>
      <c r="N277" s="32">
        <f>IF($B277&gt;0,(GETPIVOTDATA(" New Other",'$ Pivot Table'!$A$3,"State","MD","Category",7,"Category2","Two-Year"))/$B277)*100</f>
        <v>0</v>
      </c>
      <c r="O277" s="90">
        <f>IF($B277&gt;0,(GETPIVOTDATA(" New Total",'$ Pivot Table'!$A$3,"State","MD","Category",7,"Category2","Two-Year"))/$B277)*100</f>
        <v>0</v>
      </c>
    </row>
    <row r="278" spans="1:16" ht="15.75" customHeight="1">
      <c r="A278" s="149"/>
      <c r="B278" s="617">
        <f>+'[2]NEW Tables 143-162'!B49</f>
        <v>0</v>
      </c>
      <c r="C278" s="32"/>
      <c r="D278" s="34"/>
      <c r="E278" s="32"/>
      <c r="F278" s="32"/>
      <c r="G278" s="32"/>
      <c r="H278" s="32"/>
      <c r="I278" s="32"/>
      <c r="J278" s="32"/>
      <c r="K278" s="32"/>
      <c r="L278" s="32"/>
      <c r="M278" s="32"/>
      <c r="N278" s="32"/>
      <c r="O278" s="90"/>
    </row>
    <row r="279" spans="1:16" ht="15.75" customHeight="1">
      <c r="A279" s="149" t="s">
        <v>486</v>
      </c>
      <c r="B279" s="617">
        <f>+'[2]NEW Tables 143-162'!B50</f>
        <v>0</v>
      </c>
      <c r="C279" s="32">
        <f>IF($B279&gt;0,(GETPIVOTDATA(" New Retirement",'$ Pivot Table'!$A$3,"State","MS","Category",7,"Category2","Two-Year"))/$B279)*100</f>
        <v>0</v>
      </c>
      <c r="D279" s="32">
        <f>IF($B279&gt;0,(GETPIVOTDATA(" New Health",'$ Pivot Table'!$A$3,"State","MS","Category",7,"Category2","Two-Year"))/$B279)*100</f>
        <v>0</v>
      </c>
      <c r="E279" s="32">
        <f>IF($B279&gt;0,(GETPIVOTDATA(" New Disability",'$ Pivot Table'!$A$3,"State","MS","Category",7,"Category2","Two-Year"))/$B279)*100</f>
        <v>0</v>
      </c>
      <c r="F279" s="32"/>
      <c r="G279" s="32">
        <f>IF($B279&gt;0,(GETPIVOTDATA(" New Social Security",'$ Pivot Table'!$A$3,"State","MS","Category",7,"Category2","Two-Year"))/$B279)*100</f>
        <v>0</v>
      </c>
      <c r="H279" s="32"/>
      <c r="I279" s="32">
        <f>IF($B279&gt;0,(GETPIVOTDATA(" New Unemployment",'$ Pivot Table'!$A$3,"State","MS","Category",7,"Category2","Two-Year"))/$B279)*100</f>
        <v>0</v>
      </c>
      <c r="J279" s="32">
        <f>IF($B279&gt;0,(GETPIVOTDATA(" New Life Insurance",'$ Pivot Table'!$A$3,"State","MS","Category",7,"Category2","Two-Year"))/$B279)*100</f>
        <v>0</v>
      </c>
      <c r="K279" s="32"/>
      <c r="L279" s="32">
        <f>IF($B279&gt;0,(GETPIVOTDATA(" New Worker's Comp",'$ Pivot Table'!$A$3,"State","MS","Category",7,"Category2","Two-Year"))/$B279)*100</f>
        <v>0</v>
      </c>
      <c r="M279" s="32">
        <f>IF($B279&gt;0,(GETPIVOTDATA(" New Tuition Plans",'$ Pivot Table'!$A$3,"State","MS","Category",7,"Category2","Two-Year"))/$B279)*100</f>
        <v>0</v>
      </c>
      <c r="N279" s="32">
        <f>IF($B279&gt;0,(GETPIVOTDATA(" New Other",'$ Pivot Table'!$A$3,"State","MS","Category",7,"Category2","Two-Year"))/$B279)*100</f>
        <v>0</v>
      </c>
      <c r="O279" s="90">
        <f>IF($B279&gt;0,(GETPIVOTDATA(" New Total",'$ Pivot Table'!$A$3,"State","MS","Category",7,"Category2","Two-Year"))/$B279)*100</f>
        <v>0</v>
      </c>
    </row>
    <row r="280" spans="1:16" ht="15.75" customHeight="1">
      <c r="A280" s="149" t="s">
        <v>487</v>
      </c>
      <c r="B280" s="617">
        <f>+'[2]NEW Tables 143-162'!B51</f>
        <v>0</v>
      </c>
      <c r="C280" s="32">
        <f>IF($B280&gt;0,(GETPIVOTDATA(" New Retirement",'$ Pivot Table'!$A$3,"State","NC","Category",7,"Category2","Two-Year"))/$B280)*100</f>
        <v>0</v>
      </c>
      <c r="D280" s="32">
        <f>IF($B280&gt;0,(GETPIVOTDATA(" New Health",'$ Pivot Table'!$A$3,"State","NC","Category",7,"Category2","Two-Year"))/$B280)*100</f>
        <v>0</v>
      </c>
      <c r="E280" s="32">
        <f>IF($B280&gt;0,(GETPIVOTDATA(" New Disability",'$ Pivot Table'!$A$3,"State","NC","Category",7,"Category2","Two-Year"))/$B280)*100</f>
        <v>0</v>
      </c>
      <c r="F280" s="32"/>
      <c r="G280" s="32">
        <f>IF($B280&gt;0,(GETPIVOTDATA(" New Social Security",'$ Pivot Table'!$A$3,"State","NC","Category",7,"Category2","Two-Year"))/$B280)*100</f>
        <v>0</v>
      </c>
      <c r="H280" s="32"/>
      <c r="I280" s="32">
        <f>IF($B280&gt;0,(GETPIVOTDATA(" New Unemployment",'$ Pivot Table'!$A$3,"State","NC","Category",7,"Category2","Two-Year"))/$B280)*100</f>
        <v>0</v>
      </c>
      <c r="J280" s="32">
        <f>IF($B280&gt;0,(GETPIVOTDATA(" New Life Insurance",'$ Pivot Table'!$A$3,"State","NC","Category",7,"Category2","Two-Year"))/$B280)*100</f>
        <v>0</v>
      </c>
      <c r="K280" s="32"/>
      <c r="L280" s="32">
        <f>IF($B280&gt;0,(GETPIVOTDATA(" New Worker's Comp",'$ Pivot Table'!$A$3,"State","NC","Category",7,"Category2","Two-Year"))/$B280)*100</f>
        <v>0</v>
      </c>
      <c r="M280" s="32">
        <f>IF($B280&gt;0,(GETPIVOTDATA(" New Tuition Plans",'$ Pivot Table'!$A$3,"State","NC","Category",7,"Category2","Two-Year"))/$B280)*100</f>
        <v>0</v>
      </c>
      <c r="N280" s="32">
        <f>IF($B280&gt;0,(GETPIVOTDATA(" New Other",'$ Pivot Table'!$A$3,"State","NC","Category",7,"Category2","Two-Year"))/$B280)*100</f>
        <v>0</v>
      </c>
      <c r="O280" s="90">
        <f>IF($B280&gt;0,(GETPIVOTDATA(" New Total",'$ Pivot Table'!$A$3,"State","NC","Category",7,"Category2","Two-Year"))/$B280)*100</f>
        <v>0</v>
      </c>
    </row>
    <row r="281" spans="1:16" ht="15.75" customHeight="1">
      <c r="A281" s="149" t="s">
        <v>488</v>
      </c>
      <c r="B281" s="617">
        <f>+'[2]NEW Tables 143-162'!B52</f>
        <v>52064</v>
      </c>
      <c r="C281" s="32">
        <f>IF($B281&gt;0,(GETPIVOTDATA(" New Retirement",'$ Pivot Table'!$A$3,"State","OK","Category",7,"Category2","Two-Year"))/$B281)*100</f>
        <v>18.532752092002784</v>
      </c>
      <c r="D281" s="32">
        <f>IF($B281&gt;0,(GETPIVOTDATA(" New Health",'$ Pivot Table'!$A$3,"State","OK","Category",7,"Category2","Two-Year"))/$B281)*100</f>
        <v>8.3800706822372462</v>
      </c>
      <c r="E281" s="32">
        <f>IF($B281&gt;0,(GETPIVOTDATA(" New Disability",'$ Pivot Table'!$A$3,"State","OK","Category",7,"Category2","Two-Year"))/$B281)*100</f>
        <v>0</v>
      </c>
      <c r="F281" s="32"/>
      <c r="G281" s="32">
        <f>IF($B281&gt;0,(GETPIVOTDATA(" New Social Security",'$ Pivot Table'!$A$3,"State","OK","Category",7,"Category2","Two-Year"))/$B281)*100</f>
        <v>7.5519212136135092</v>
      </c>
      <c r="H281" s="32"/>
      <c r="I281" s="32">
        <f>IF($B281&gt;0,(GETPIVOTDATA(" New Unemployment",'$ Pivot Table'!$A$3,"State","OK","Category",7,"Category2","Two-Year"))/$B281)*100</f>
        <v>8.6432083589428388E-2</v>
      </c>
      <c r="J281" s="32">
        <f>IF($B281&gt;0,(GETPIVOTDATA(" New Life Insurance",'$ Pivot Table'!$A$3,"State","OK","Category",7,"Category2","Two-Year"))/$B281)*100</f>
        <v>0.66608777847189338</v>
      </c>
      <c r="K281" s="32"/>
      <c r="L281" s="32">
        <f>IF($B281&gt;0,(GETPIVOTDATA(" New Worker's Comp",'$ Pivot Table'!$A$3,"State","OK","Category",7,"Category2","Two-Year"))/$B281)*100</f>
        <v>0.62180825679869411</v>
      </c>
      <c r="M281" s="32">
        <f>IF($B281&gt;0,(GETPIVOTDATA(" New Tuition Plans",'$ Pivot Table'!$A$3,"State","OK","Category",7,"Category2","Two-Year"))/$B281)*100</f>
        <v>0</v>
      </c>
      <c r="N281" s="32">
        <f>IF($B281&gt;0,(GETPIVOTDATA(" New Other",'$ Pivot Table'!$A$3,"State","OK","Category",7,"Category2","Two-Year"))/$B281)*100</f>
        <v>0</v>
      </c>
      <c r="O281" s="90">
        <f>IF($B281&gt;0,(GETPIVOTDATA(" New Total",'$ Pivot Table'!$A$3,"State","OK","Category",7,"Category2","Two-Year"))/$B281)*100</f>
        <v>35.725458515748585</v>
      </c>
      <c r="P281" s="171"/>
    </row>
    <row r="282" spans="1:16" ht="15.75" customHeight="1">
      <c r="A282" s="149" t="s">
        <v>489</v>
      </c>
      <c r="B282" s="617">
        <f>+'[2]NEW Tables 143-162'!B53</f>
        <v>56392.94533559322</v>
      </c>
      <c r="C282" s="32">
        <f>IF($B282&gt;0,(GETPIVOTDATA(" New Retirement",'$ Pivot Table'!$A$3,"State","SC","Category",7,"Category2","Two-Year"))/$B282)*100</f>
        <v>13.139975648813687</v>
      </c>
      <c r="D282" s="32">
        <f>IF($B282&gt;0,(GETPIVOTDATA(" New Health",'$ Pivot Table'!$A$3,"State","SC","Category",7,"Category2","Two-Year"))/$B282)*100</f>
        <v>9.6199675660909332</v>
      </c>
      <c r="E282" s="32">
        <f>IF($B282&gt;0,(GETPIVOTDATA(" New Disability",'$ Pivot Table'!$A$3,"State","SC","Category",7,"Category2","Two-Year"))/$B282)*100</f>
        <v>0</v>
      </c>
      <c r="F282" s="32"/>
      <c r="G282" s="32">
        <f>IF($B282&gt;0,(GETPIVOTDATA(" New Social Security",'$ Pivot Table'!$A$3,"State","SC","Category",7,"Category2","Two-Year"))/$B282)*100</f>
        <v>6.1936359560537735</v>
      </c>
      <c r="H282" s="32"/>
      <c r="I282" s="32">
        <f>IF($B282&gt;0,(GETPIVOTDATA(" New Unemployment",'$ Pivot Table'!$A$3,"State","SC","Category",7,"Category2","Two-Year"))/$B282)*100</f>
        <v>0.15607794313411966</v>
      </c>
      <c r="J282" s="32">
        <f>IF($B282&gt;0,(GETPIVOTDATA(" New Life Insurance",'$ Pivot Table'!$A$3,"State","SC","Category",7,"Category2","Two-Year"))/$B282)*100</f>
        <v>0.14999095745169597</v>
      </c>
      <c r="K282" s="32"/>
      <c r="L282" s="32">
        <f>IF($B282&gt;0,(GETPIVOTDATA(" New Worker's Comp",'$ Pivot Table'!$A$3,"State","SC","Category",7,"Category2","Two-Year"))/$B282)*100</f>
        <v>1.0999956202359154</v>
      </c>
      <c r="M282" s="32">
        <f>IF($B282&gt;0,(GETPIVOTDATA(" New Tuition Plans",'$ Pivot Table'!$A$3,"State","SC","Category",7,"Category2","Two-Year"))/$B282)*100</f>
        <v>0</v>
      </c>
      <c r="N282" s="32">
        <f>IF($B282&gt;0,(GETPIVOTDATA(" New Other",'$ Pivot Table'!$A$3,"State","SC","Category",7,"Category2","Two-Year"))/$B282)*100</f>
        <v>0</v>
      </c>
      <c r="O282" s="90">
        <f>IF($B282&gt;0,(GETPIVOTDATA(" New Total",'$ Pivot Table'!$A$3,"State","SC","Category",7,"Category2","Two-Year"))/$B282)*100</f>
        <v>30.086651200388637</v>
      </c>
    </row>
    <row r="283" spans="1:16" ht="15.75" customHeight="1">
      <c r="A283" s="149"/>
      <c r="B283" s="617">
        <f>+'[2]NEW Tables 143-162'!B54</f>
        <v>0</v>
      </c>
      <c r="C283" s="32"/>
      <c r="D283" s="34"/>
      <c r="E283" s="32"/>
      <c r="F283" s="32"/>
      <c r="G283" s="32"/>
      <c r="H283" s="32"/>
      <c r="I283" s="32"/>
      <c r="J283" s="32"/>
      <c r="K283" s="32"/>
      <c r="L283" s="32"/>
      <c r="M283" s="32"/>
      <c r="N283" s="32"/>
      <c r="O283" s="90"/>
    </row>
    <row r="284" spans="1:16" ht="15.75" customHeight="1">
      <c r="A284" s="149" t="s">
        <v>490</v>
      </c>
      <c r="B284" s="617">
        <f>+'[2]NEW Tables 143-162'!B55</f>
        <v>0</v>
      </c>
      <c r="C284" s="28">
        <f>IF($B284&gt;0,(GETPIVOTDATA(" New Retirement",'$ Pivot Table'!$A$3,"State","TN","Category",7,"Category2","Two-Year"))/$B284)*100</f>
        <v>0</v>
      </c>
      <c r="D284" s="28">
        <f>IF($B284&gt;0,(GETPIVOTDATA(" New Health",'$ Pivot Table'!$A$3,"State","TN","Category",7,"Category2","Two-Year"))/$B284)*100</f>
        <v>0</v>
      </c>
      <c r="E284" s="28">
        <f>IF($B284&gt;0,(GETPIVOTDATA(" New Disability",'$ Pivot Table'!$A$3,"State","TN","Category",7,"Category2","Two-Year"))/$B284)*100</f>
        <v>0</v>
      </c>
      <c r="F284" s="28"/>
      <c r="G284" s="28">
        <f>IF($B284&gt;0,(GETPIVOTDATA(" New Social Security",'$ Pivot Table'!$A$3,"State","TN","Category",7,"Category2","Two-Year"))/$B284)*100</f>
        <v>0</v>
      </c>
      <c r="H284" s="28"/>
      <c r="I284" s="28">
        <f>IF($B284&gt;0,(GETPIVOTDATA(" New Unemployment",'$ Pivot Table'!$A$3,"State","TN","Category",7,"Category2","Two-Year"))/$B284)*100</f>
        <v>0</v>
      </c>
      <c r="J284" s="28">
        <f>IF($B284&gt;0,(GETPIVOTDATA(" New Life Insurance",'$ Pivot Table'!$A$3,"State","TN","Category",7,"Category2","Two-Year"))/$B284)*100</f>
        <v>0</v>
      </c>
      <c r="K284" s="28"/>
      <c r="L284" s="28">
        <f>IF($B284&gt;0,(GETPIVOTDATA(" New Worker's Comp",'$ Pivot Table'!$A$3,"State","TN","Category",7,"Category2","Two-Year"))/$B284)*100</f>
        <v>0</v>
      </c>
      <c r="M284" s="28">
        <f>IF($B284&gt;0,(GETPIVOTDATA(" New Tuition Plans",'$ Pivot Table'!$A$3,"State","TN","Category",7,"Category2","Two-Year"))/$B284)*100</f>
        <v>0</v>
      </c>
      <c r="N284" s="28">
        <f>IF($B284&gt;0,(GETPIVOTDATA(" New Other",'$ Pivot Table'!$A$3,"State","TN","Category",7,"Category2","Two-Year"))/$B284)*100</f>
        <v>0</v>
      </c>
      <c r="O284" s="86">
        <f>IF($B284&gt;0,(GETPIVOTDATA(" New Total",'$ Pivot Table'!$A$3,"State","TN","Category",7,"Category2","Two-Year"))/$B284)*100</f>
        <v>0</v>
      </c>
    </row>
    <row r="285" spans="1:16" ht="15.75" customHeight="1">
      <c r="A285" s="149" t="s">
        <v>491</v>
      </c>
      <c r="B285" s="617">
        <f>+'[2]NEW Tables 143-162'!B56</f>
        <v>51946.065672823221</v>
      </c>
      <c r="C285" s="28">
        <f>IF($B285&gt;0,(GETPIVOTDATA(" New Retirement",'$ Pivot Table'!$A$3,"State","TX","Category",7,"Category2","Two-Year"))/$B285)*100</f>
        <v>7.5001956614468703</v>
      </c>
      <c r="D285" s="28">
        <f>IF($B285&gt;0,(GETPIVOTDATA(" New Health",'$ Pivot Table'!$A$3,"State","TX","Category",7,"Category2","Two-Year"))/$B285)*100</f>
        <v>12.655484923494898</v>
      </c>
      <c r="E285" s="28">
        <f>IF($B285&gt;0,(GETPIVOTDATA(" New Disability",'$ Pivot Table'!$A$3,"State","TX","Category",7,"Category2","Two-Year"))/$B285)*100</f>
        <v>0.8385324465727565</v>
      </c>
      <c r="F285" s="28"/>
      <c r="G285" s="28">
        <f>IF($B285&gt;0,(GETPIVOTDATA(" New Social Security",'$ Pivot Table'!$A$3,"State","TX","Category",7,"Category2","Two-Year"))/$B285)*100</f>
        <v>6.4607720338173777</v>
      </c>
      <c r="H285" s="28"/>
      <c r="I285" s="28">
        <f>IF($B285&gt;0,(GETPIVOTDATA(" New Unemployment",'$ Pivot Table'!$A$3,"State","TX","Category",7,"Category2","Two-Year"))/$B285)*100</f>
        <v>0.74523744455035523</v>
      </c>
      <c r="J285" s="28">
        <f>IF($B285&gt;0,(GETPIVOTDATA(" New Life Insurance",'$ Pivot Table'!$A$3,"State","TX","Category",7,"Category2","Two-Year"))/$B285)*100</f>
        <v>0.33591892116387445</v>
      </c>
      <c r="K285" s="28"/>
      <c r="L285" s="28">
        <f>IF($B285&gt;0,(GETPIVOTDATA(" New Worker's Comp",'$ Pivot Table'!$A$3,"State","TX","Category",7,"Category2","Two-Year"))/$B285)*100</f>
        <v>0.83188413532984296</v>
      </c>
      <c r="M285" s="28">
        <f>IF($B285&gt;0,(GETPIVOTDATA(" New Tuition Plans",'$ Pivot Table'!$A$3,"State","TX","Category",7,"Category2","Two-Year"))/$B285)*100</f>
        <v>1.6379524432338186</v>
      </c>
      <c r="N285" s="28">
        <f>IF($B285&gt;0,(GETPIVOTDATA(" New Other",'$ Pivot Table'!$A$3,"State","TX","Category",7,"Category2","Two-Year"))/$B285)*100</f>
        <v>0</v>
      </c>
      <c r="O285" s="86">
        <f>IF($B285&gt;0,(GETPIVOTDATA(" New Total",'$ Pivot Table'!$A$3,"State","TX","Category",7,"Category2","Two-Year"))/$B285)*100</f>
        <v>22.698509685878857</v>
      </c>
    </row>
    <row r="286" spans="1:16" ht="15.75" customHeight="1">
      <c r="A286" s="149" t="s">
        <v>492</v>
      </c>
      <c r="B286" s="617">
        <f>+'[2]NEW Tables 143-162'!B57</f>
        <v>0</v>
      </c>
      <c r="C286" s="28">
        <f>IF($B286&gt;0,(GETPIVOTDATA(" New Retirement",'$ Pivot Table'!$A$3,"State","VA","Category",7,"Category2","Two-Year"))/$B286)*100</f>
        <v>0</v>
      </c>
      <c r="D286" s="28">
        <f>IF($B286&gt;0,(GETPIVOTDATA(" New Health",'$ Pivot Table'!$A$3,"State","VA","Category",7,"Category2","Two-Year"))/$B286)*100</f>
        <v>0</v>
      </c>
      <c r="E286" s="28">
        <f>IF($B286&gt;0,(GETPIVOTDATA(" New Disability",'$ Pivot Table'!$A$3,"State","VA","Category",7,"Category2","Two-Year"))/$B286)*100</f>
        <v>0</v>
      </c>
      <c r="F286" s="28"/>
      <c r="G286" s="28">
        <f>IF($B286&gt;0,(GETPIVOTDATA(" New Social Security",'$ Pivot Table'!$A$3,"State","VA","Category",7,"Category2","Two-Year"))/$B286)*100</f>
        <v>0</v>
      </c>
      <c r="H286" s="28"/>
      <c r="I286" s="28">
        <f>IF($B286&gt;0,(GETPIVOTDATA(" New Unemployment",'$ Pivot Table'!$A$3,"State","VA","Category",7,"Category2","Two-Year"))/$B286)*100</f>
        <v>0</v>
      </c>
      <c r="J286" s="28">
        <f>IF($B286&gt;0,(GETPIVOTDATA(" New Life Insurance",'$ Pivot Table'!$A$3,"State","VA","Category",7,"Category2","Two-Year"))/$B286)*100</f>
        <v>0</v>
      </c>
      <c r="K286" s="28"/>
      <c r="L286" s="28">
        <f>IF($B286&gt;0,(GETPIVOTDATA(" New Worker's Comp",'$ Pivot Table'!$A$3,"State","VA","Category",7,"Category2","Two-Year"))/$B286)*100</f>
        <v>0</v>
      </c>
      <c r="M286" s="28">
        <f>IF($B286&gt;0,(GETPIVOTDATA(" New Tuition Plans",'$ Pivot Table'!$A$3,"State","VA","Category",7,"Category2","Two-Year"))/$B286)*100</f>
        <v>0</v>
      </c>
      <c r="N286" s="28">
        <f>IF($B286&gt;0,(GETPIVOTDATA(" New Other",'$ Pivot Table'!$A$3,"State","VA","Category",7,"Category2","Two-Year"))/$B286)*100</f>
        <v>0</v>
      </c>
      <c r="O286" s="86">
        <f>IF($B286&gt;0,(GETPIVOTDATA(" New Total",'$ Pivot Table'!$A$3,"State","VA","Category",7,"Category2","Two-Year"))/$B286)*100</f>
        <v>0</v>
      </c>
    </row>
    <row r="287" spans="1:16" ht="15.75" customHeight="1">
      <c r="A287" s="630" t="s">
        <v>493</v>
      </c>
      <c r="B287" s="618">
        <f>+'[2]NEW Tables 143-162'!B58</f>
        <v>46891.629959398488</v>
      </c>
      <c r="C287" s="30">
        <f>IF($B287&gt;0,(GETPIVOTDATA(" New Retirement",'$ Pivot Table'!$A$3,"State","WV","Category",7,"Category2","Two-Year"))/$B287)*100</f>
        <v>6.3389378782669468</v>
      </c>
      <c r="D287" s="30">
        <f>IF($B287&gt;0,(GETPIVOTDATA(" New Health",'$ Pivot Table'!$A$3,"State","WV","Category",7,"Category2","Two-Year"))/$B287)*100</f>
        <v>10.178933155673482</v>
      </c>
      <c r="E287" s="30">
        <f>IF($B287&gt;0,(GETPIVOTDATA(" New Disability",'$ Pivot Table'!$A$3,"State","WV","Category",7,"Category2","Two-Year"))/$B287)*100</f>
        <v>0</v>
      </c>
      <c r="F287" s="30"/>
      <c r="G287" s="30">
        <f>IF($B287&gt;0,(GETPIVOTDATA(" New Social Security",'$ Pivot Table'!$A$3,"State","WV","Category",7,"Category2","Two-Year"))/$B287)*100</f>
        <v>7.6500313348177071</v>
      </c>
      <c r="H287" s="30"/>
      <c r="I287" s="30">
        <f>IF($B287&gt;0,(GETPIVOTDATA(" New Unemployment",'$ Pivot Table'!$A$3,"State","WV","Category",7,"Category2","Two-Year"))/$B287)*100</f>
        <v>0</v>
      </c>
      <c r="J287" s="30">
        <f>IF($B287&gt;0,(GETPIVOTDATA(" New Life Insurance",'$ Pivot Table'!$A$3,"State","WV","Category",7,"Category2","Two-Year"))/$B287)*100</f>
        <v>0.13610832253566457</v>
      </c>
      <c r="K287" s="30"/>
      <c r="L287" s="30">
        <f>IF($B287&gt;0,(GETPIVOTDATA(" New Worker's Comp",'$ Pivot Table'!$A$3,"State","WV","Category",7,"Category2","Two-Year"))/$B287)*100</f>
        <v>0.57000233475112305</v>
      </c>
      <c r="M287" s="30">
        <f>IF($B287&gt;0,(GETPIVOTDATA(" New Tuition Plans",'$ Pivot Table'!$A$3,"State","WV","Category",7,"Category2","Two-Year"))/$B287)*100</f>
        <v>0</v>
      </c>
      <c r="N287" s="30">
        <f>IF($B287&gt;0,(GETPIVOTDATA(" New Other",'$ Pivot Table'!$A$3,"State","WV","Category",7,"Category2","Two-Year"))/$B287)*100</f>
        <v>0</v>
      </c>
      <c r="O287" s="115">
        <f>IF($B287&gt;0,(GETPIVOTDATA(" New Total",'$ Pivot Table'!$A$3,"State","WV","Category",7,"Category2","Two-Year"))/$B287)*100</f>
        <v>24.799624081572027</v>
      </c>
    </row>
    <row r="288" spans="1:16" ht="18" customHeight="1">
      <c r="A288" s="628" t="s">
        <v>14</v>
      </c>
      <c r="B288" s="45"/>
      <c r="C288" s="47"/>
      <c r="D288" s="47"/>
      <c r="E288" s="47"/>
      <c r="F288" s="47"/>
      <c r="G288" s="47"/>
      <c r="H288" s="47"/>
      <c r="I288" s="47"/>
      <c r="J288" s="47"/>
      <c r="K288" s="47"/>
      <c r="L288" s="47"/>
      <c r="M288" s="47"/>
      <c r="N288" s="47"/>
      <c r="O288" s="77"/>
    </row>
    <row r="289" spans="1:15">
      <c r="A289" s="629"/>
      <c r="B289" s="55"/>
      <c r="C289" s="38"/>
      <c r="D289" s="38"/>
      <c r="E289" s="38"/>
      <c r="F289" s="38"/>
      <c r="G289" s="38"/>
      <c r="H289" s="38"/>
      <c r="I289" s="38"/>
      <c r="J289" s="38"/>
      <c r="K289" s="38"/>
      <c r="L289" s="38"/>
      <c r="M289" s="38"/>
      <c r="N289" s="38"/>
      <c r="O289" s="637" t="s">
        <v>1321</v>
      </c>
    </row>
    <row r="290" spans="1:15" ht="18">
      <c r="A290" s="595" t="s">
        <v>1109</v>
      </c>
      <c r="B290" s="48"/>
      <c r="C290" s="48"/>
      <c r="D290" s="48"/>
      <c r="E290" s="48"/>
      <c r="F290" s="48"/>
      <c r="G290" s="48"/>
      <c r="H290" s="48"/>
      <c r="I290" s="48"/>
      <c r="J290" s="48"/>
      <c r="K290" s="48"/>
      <c r="L290" s="48"/>
      <c r="M290" s="48"/>
      <c r="N290" s="48"/>
      <c r="O290" s="48"/>
    </row>
    <row r="291" spans="1:15">
      <c r="A291" s="622"/>
      <c r="B291" s="50"/>
      <c r="C291" s="49"/>
      <c r="D291" s="49"/>
      <c r="E291" s="49"/>
      <c r="F291" s="49"/>
      <c r="G291" s="49"/>
      <c r="H291" s="49"/>
      <c r="I291" s="49"/>
      <c r="J291" s="49"/>
      <c r="K291" s="49"/>
      <c r="L291" s="49"/>
      <c r="M291" s="49"/>
      <c r="N291" s="49"/>
      <c r="O291" s="148"/>
    </row>
    <row r="292" spans="1:15" ht="15.75">
      <c r="A292" s="633" t="s">
        <v>466</v>
      </c>
      <c r="B292" s="48"/>
      <c r="C292" s="48"/>
      <c r="D292" s="48"/>
      <c r="E292" s="48"/>
      <c r="F292" s="48"/>
      <c r="G292" s="48"/>
      <c r="H292" s="48"/>
      <c r="I292" s="48"/>
      <c r="J292" s="48"/>
      <c r="K292" s="48"/>
      <c r="L292" s="48"/>
      <c r="M292" s="48"/>
      <c r="N292" s="48"/>
      <c r="O292" s="147"/>
    </row>
    <row r="293" spans="1:15" ht="15.75">
      <c r="A293" s="633" t="s">
        <v>1155</v>
      </c>
      <c r="B293" s="48"/>
      <c r="C293" s="48"/>
      <c r="D293" s="48"/>
      <c r="E293" s="48"/>
      <c r="F293" s="48"/>
      <c r="G293" s="48"/>
      <c r="H293" s="48"/>
      <c r="I293" s="48"/>
      <c r="J293" s="48"/>
      <c r="K293" s="48"/>
      <c r="L293" s="48"/>
      <c r="M293" s="48"/>
      <c r="N293" s="48"/>
      <c r="O293" s="147"/>
    </row>
    <row r="294" spans="1:15">
      <c r="A294" s="148"/>
      <c r="B294" s="45"/>
      <c r="C294" s="54"/>
      <c r="D294" s="54"/>
      <c r="E294" s="54"/>
      <c r="F294" s="54"/>
      <c r="G294" s="54"/>
      <c r="H294" s="54"/>
      <c r="I294" s="54"/>
      <c r="J294" s="54"/>
      <c r="K294" s="54"/>
      <c r="L294" s="54"/>
      <c r="M294" s="54"/>
      <c r="N294" s="54"/>
      <c r="O294" s="145"/>
    </row>
    <row r="295" spans="1:15">
      <c r="A295" s="634"/>
      <c r="B295" s="2" t="s">
        <v>473</v>
      </c>
      <c r="C295" s="63" t="s">
        <v>593</v>
      </c>
      <c r="D295" s="63"/>
      <c r="E295" s="63"/>
      <c r="F295" s="63"/>
      <c r="G295" s="63"/>
      <c r="H295" s="63"/>
      <c r="I295" s="63"/>
      <c r="J295" s="63"/>
      <c r="K295" s="63"/>
      <c r="L295" s="63"/>
      <c r="M295" s="63"/>
      <c r="N295" s="63"/>
      <c r="O295" s="136"/>
    </row>
    <row r="296" spans="1:15">
      <c r="A296" s="635"/>
      <c r="B296" s="4" t="s">
        <v>474</v>
      </c>
      <c r="C296" s="3" t="s">
        <v>660</v>
      </c>
      <c r="D296" s="3"/>
      <c r="E296" s="57"/>
      <c r="F296" s="57"/>
      <c r="G296" s="3" t="s">
        <v>661</v>
      </c>
      <c r="H296" s="3"/>
      <c r="I296" s="3" t="s">
        <v>662</v>
      </c>
      <c r="J296" s="3" t="s">
        <v>663</v>
      </c>
      <c r="K296" s="3"/>
      <c r="L296" s="3" t="s">
        <v>664</v>
      </c>
      <c r="M296" s="3" t="s">
        <v>665</v>
      </c>
      <c r="N296" s="3"/>
      <c r="O296" s="124" t="s">
        <v>475</v>
      </c>
    </row>
    <row r="297" spans="1:15">
      <c r="A297" s="636"/>
      <c r="B297" s="15" t="s">
        <v>476</v>
      </c>
      <c r="C297" s="16" t="s">
        <v>667</v>
      </c>
      <c r="D297" s="16" t="s">
        <v>708</v>
      </c>
      <c r="E297" s="17" t="s">
        <v>709</v>
      </c>
      <c r="F297" s="17"/>
      <c r="G297" s="16" t="s">
        <v>668</v>
      </c>
      <c r="H297" s="16"/>
      <c r="I297" s="16" t="s">
        <v>667</v>
      </c>
      <c r="J297" s="16" t="s">
        <v>669</v>
      </c>
      <c r="K297" s="16"/>
      <c r="L297" s="16" t="s">
        <v>670</v>
      </c>
      <c r="M297" s="16" t="s">
        <v>671</v>
      </c>
      <c r="N297" s="16" t="s">
        <v>701</v>
      </c>
      <c r="O297" s="146" t="s">
        <v>15</v>
      </c>
    </row>
    <row r="298" spans="1:15">
      <c r="A298" s="149" t="s">
        <v>600</v>
      </c>
      <c r="B298" s="33">
        <f>+'[2]NEW Tables 143-162'!D38</f>
        <v>54093.048684692287</v>
      </c>
      <c r="C298" s="32">
        <f>IF($B298&gt;0,(GETPIVOTDATA(" New Retirement",'$ Pivot Table'!$A$3,"Category",8,"Category2","Two-Year"))/$B298)*100</f>
        <v>9.9160036914697773</v>
      </c>
      <c r="D298" s="32">
        <f>IF($B298&gt;0,(GETPIVOTDATA(" New Health",'$ Pivot Table'!$A$3,"Category",8,"Category2","Two-Year"))/$B298)*100</f>
        <v>10.654630257795922</v>
      </c>
      <c r="E298" s="32">
        <f>IF($B298&gt;0,(GETPIVOTDATA(" New Disability",'$ Pivot Table'!$A$3,"Category",8,"Category2","Two-Year"))/$B298)*100</f>
        <v>0.57278885653589706</v>
      </c>
      <c r="F298" s="32"/>
      <c r="G298" s="32">
        <f>IF($B298&gt;0,(GETPIVOTDATA(" New Social Security",'$ Pivot Table'!$A$3,"Category",8,"Category2","Two-Year"))/$B298)*100</f>
        <v>6.4763898041090684</v>
      </c>
      <c r="H298" s="32"/>
      <c r="I298" s="32">
        <f>IF($B298&gt;0,(GETPIVOTDATA(" New Unemployment",'$ Pivot Table'!$A$3,"Category",8,"Category2","Two-Year"))/$B298)*100</f>
        <v>0.28408967603430424</v>
      </c>
      <c r="J298" s="32">
        <f>IF($B298&gt;0,(GETPIVOTDATA(" New Life Insurance",'$ Pivot Table'!$A$3,"Category",8,"Category2","Two-Year"))/$B298)*100</f>
        <v>0.28054281450580915</v>
      </c>
      <c r="K298" s="32"/>
      <c r="L298" s="32">
        <f>IF($B298&gt;0,(GETPIVOTDATA(" New Worker's Comp",'$ Pivot Table'!$A$3,"Category",8,"Category2","Two-Year"))/$B298)*100</f>
        <v>0.50807502026899054</v>
      </c>
      <c r="M298" s="32">
        <f>IF($B298&gt;0,(GETPIVOTDATA(" New Tuition Plans",'$ Pivot Table'!$A$3,"Category",8,"Category2","Two-Year"))/$B298)*100</f>
        <v>0.76392738006449945</v>
      </c>
      <c r="N298" s="32">
        <f>IF($B298&gt;0,(GETPIVOTDATA(" New Other",'$ Pivot Table'!$A$3,"Category",8,"Category2","Two-Year"))/$B298)*100</f>
        <v>0.69223278609305805</v>
      </c>
      <c r="O298" s="90">
        <f>IF($B298&gt;0,(GETPIVOTDATA(" New Total",'$ Pivot Table'!$A$3,"Category",8,"Category2","Two-Year"))/$B298)*100</f>
        <v>24.733785580500509</v>
      </c>
    </row>
    <row r="299" spans="1:15">
      <c r="A299" s="149"/>
      <c r="B299" s="31">
        <f>+'[3]NEW Tables 144-163'!D39</f>
        <v>0</v>
      </c>
      <c r="C299" s="32"/>
      <c r="D299" s="34"/>
      <c r="E299" s="32"/>
      <c r="F299" s="32"/>
      <c r="G299" s="32"/>
      <c r="H299" s="32"/>
      <c r="I299" s="32"/>
      <c r="J299" s="32"/>
      <c r="K299" s="32"/>
      <c r="L299" s="32"/>
      <c r="M299" s="32"/>
      <c r="N299" s="32"/>
      <c r="O299" s="90"/>
    </row>
    <row r="300" spans="1:15">
      <c r="A300" s="149" t="s">
        <v>479</v>
      </c>
      <c r="B300" s="617">
        <f>+'[2]NEW Tables 143-162'!D40</f>
        <v>53456.654580071176</v>
      </c>
      <c r="C300" s="32">
        <f>IF($B300&gt;0,(GETPIVOTDATA(" New Retirement",'$ Pivot Table'!$A$3,"State","AL","Category",8,"Category2","Two-Year"))/$B300)*100</f>
        <v>12.510004731150811</v>
      </c>
      <c r="D300" s="32">
        <f>IF($B300&gt;0,(GETPIVOTDATA(" New Health",'$ Pivot Table'!$A$3,"State","AL","Category",8,"Category2","Two-Year"))/$B300)*100</f>
        <v>16.880966590386258</v>
      </c>
      <c r="E300" s="32">
        <f>IF($B300&gt;0,(GETPIVOTDATA(" New Disability",'$ Pivot Table'!$A$3,"State","AL","Category",8,"Category2","Two-Year"))/$B300)*100</f>
        <v>0</v>
      </c>
      <c r="F300" s="32"/>
      <c r="G300" s="32">
        <f>IF($B300&gt;0,(GETPIVOTDATA(" New Social Security",'$ Pivot Table'!$A$3,"State","AL","Category",8,"Category2","Two-Year"))/$B300)*100</f>
        <v>7.6499982213247515</v>
      </c>
      <c r="H300" s="32"/>
      <c r="I300" s="56">
        <f>IF($B300&gt;0,(GETPIVOTDATA(" New Unemployment",'$ Pivot Table'!$A$3,"State","AL","Category",8,"Category2","Two-Year"))/$B300)*100</f>
        <v>0.31328295710021431</v>
      </c>
      <c r="J300" s="32">
        <f>IF($B300&gt;0,(GETPIVOTDATA(" New Life Insurance",'$ Pivot Table'!$A$3,"State","AL","Category",8,"Category2","Two-Year"))/$B300)*100</f>
        <v>0</v>
      </c>
      <c r="K300" s="32"/>
      <c r="L300" s="32">
        <f>IF($B300&gt;0,(GETPIVOTDATA(" New Worker's Comp",'$ Pivot Table'!$A$3,"State","AL","Category",8,"Category2","Two-Year"))/$B300)*100</f>
        <v>0</v>
      </c>
      <c r="M300" s="32">
        <f>IF($B300&gt;0,(GETPIVOTDATA(" New Tuition Plans",'$ Pivot Table'!$A$3,"State","AL","Category",8,"Category2","Two-Year"))/$B300)*100</f>
        <v>2.3793352828937304</v>
      </c>
      <c r="N300" s="32">
        <f>IF($B300&gt;0,(GETPIVOTDATA(" New Other",'$ Pivot Table'!$A$3,"State","AL","Category",8,"Category2","Two-Year"))/$B300)*100</f>
        <v>0</v>
      </c>
      <c r="O300" s="90">
        <f>IF($B300&gt;0,(GETPIVOTDATA(" New Total",'$ Pivot Table'!$A$3,"State","AL","Category",8,"Category2","Two-Year"))/$B300)*100</f>
        <v>37.205538138855232</v>
      </c>
    </row>
    <row r="301" spans="1:15">
      <c r="A301" s="149" t="s">
        <v>480</v>
      </c>
      <c r="B301" s="617">
        <f>+'[2]NEW Tables 143-162'!D41</f>
        <v>47404.103644444447</v>
      </c>
      <c r="C301" s="32">
        <f>IF($B301&gt;0,(GETPIVOTDATA(" New Retirement",'$ Pivot Table'!$A$3,"State","AR","Category",8,"Category2","Two-Year"))/$B301)*100</f>
        <v>10.000007738368225</v>
      </c>
      <c r="D301" s="32">
        <f>IF($B301&gt;0,(GETPIVOTDATA(" New Health",'$ Pivot Table'!$A$3,"State","AR","Category",8,"Category2","Two-Year"))/$B301)*100</f>
        <v>10.60929197987541</v>
      </c>
      <c r="E301" s="32">
        <f>IF($B301&gt;0,(GETPIVOTDATA(" New Disability",'$ Pivot Table'!$A$3,"State","AR","Category",8,"Category2","Two-Year"))/$B301)*100</f>
        <v>0.29545644525350706</v>
      </c>
      <c r="F301" s="32"/>
      <c r="G301" s="32">
        <f>IF($B301&gt;0,(GETPIVOTDATA(" New Social Security",'$ Pivot Table'!$A$3,"State","AR","Category",8,"Category2","Two-Year"))/$B301)*100</f>
        <v>7.6499980357414028</v>
      </c>
      <c r="H301" s="32"/>
      <c r="I301" s="32">
        <f>IF($B301&gt;0,(GETPIVOTDATA(" New Unemployment",'$ Pivot Table'!$A$3,"State","AR","Category",8,"Category2","Two-Year"))/$B301)*100</f>
        <v>0.69279910267188738</v>
      </c>
      <c r="J301" s="32">
        <f>IF($B301&gt;0,(GETPIVOTDATA(" New Life Insurance",'$ Pivot Table'!$A$3,"State","AR","Category",8,"Category2","Two-Year"))/$B301)*100</f>
        <v>0.10536074541917363</v>
      </c>
      <c r="K301" s="32"/>
      <c r="L301" s="32">
        <f>IF($B301&gt;0,(GETPIVOTDATA(" New Worker's Comp",'$ Pivot Table'!$A$3,"State","AR","Category",8,"Category2","Two-Year"))/$B301)*100</f>
        <v>0</v>
      </c>
      <c r="M301" s="32">
        <f>IF($B301&gt;0,(GETPIVOTDATA(" New Tuition Plans",'$ Pivot Table'!$A$3,"State","AR","Category",8,"Category2","Two-Year"))/$B301)*100</f>
        <v>3.633018805539284</v>
      </c>
      <c r="N301" s="32">
        <f>IF($B301&gt;0,(GETPIVOTDATA(" New Other",'$ Pivot Table'!$A$3,"State","AR","Category",8,"Category2","Two-Year"))/$B301)*100</f>
        <v>0</v>
      </c>
      <c r="O301" s="90">
        <f>IF($B301&gt;0,(GETPIVOTDATA(" New Total",'$ Pivot Table'!$A$3,"State","AR","Category",8,"Category2","Two-Year"))/$B301)*100</f>
        <v>29.705421392237675</v>
      </c>
    </row>
    <row r="302" spans="1:15">
      <c r="A302" s="149" t="s">
        <v>494</v>
      </c>
      <c r="B302" s="617">
        <f>+'[2]NEW Tables 143-162'!D42</f>
        <v>0</v>
      </c>
      <c r="C302" s="32">
        <f>IF($B302&gt;0,(GETPIVOTDATA(" New Retirement",'$ Pivot Table'!$A$3,"State","DE","Category",8,"Category2","Two-Year"))/$B302)*100</f>
        <v>0</v>
      </c>
      <c r="D302" s="32">
        <f>IF($B302&gt;0,(GETPIVOTDATA(" New Health",'$ Pivot Table'!$A$3,"State","DE","Category",8,"Category2","Two-Year"))/$B302)*100</f>
        <v>0</v>
      </c>
      <c r="E302" s="32">
        <f>IF($B302&gt;0,(GETPIVOTDATA(" New Disability",'$ Pivot Table'!$A$3,"State","DE","Category",8,"Category2","Two-Year"))/$B302)*100</f>
        <v>0</v>
      </c>
      <c r="F302" s="32"/>
      <c r="G302" s="32">
        <f>IF($B302&gt;0,(GETPIVOTDATA(" New Social Security",'$ Pivot Table'!$A$3,"State","DE","Category",8,"Category2","Two-Year"))/$B302)*100</f>
        <v>0</v>
      </c>
      <c r="H302" s="32"/>
      <c r="I302" s="32">
        <f>IF($B302&gt;0,(GETPIVOTDATA(" New Unemployment",'$ Pivot Table'!$A$3,"State","DE","Category",8,"Category2","Two-Year"))/$B302)*100</f>
        <v>0</v>
      </c>
      <c r="J302" s="32">
        <f>IF($B302&gt;0,(GETPIVOTDATA(" New Life Insurance",'$ Pivot Table'!$A$3,"State","DE","Category",8,"Category2","Two-Year"))/$B302)*100</f>
        <v>0</v>
      </c>
      <c r="K302" s="32"/>
      <c r="L302" s="32">
        <f>IF($B302&gt;0,(GETPIVOTDATA(" New Worker's Comp",'$ Pivot Table'!$A$3,"State","DE","Category",8,"Category2","Two-Year"))/$B302)*100</f>
        <v>0</v>
      </c>
      <c r="M302" s="32">
        <f>IF($B302&gt;0,(GETPIVOTDATA(" New Tuition Plans",'$ Pivot Table'!$A$3,"State","DE","Category",8,"Category2","Two-Year"))/$B302)*100</f>
        <v>0</v>
      </c>
      <c r="N302" s="32">
        <f>IF($B302&gt;0,(GETPIVOTDATA(" New Other",'$ Pivot Table'!$A$3,"State","DE","Category",8,"Category2","Two-Year"))/$B302)*100</f>
        <v>0</v>
      </c>
      <c r="O302" s="90">
        <f>IF($B302&gt;0,(GETPIVOTDATA(" New Total",'$ Pivot Table'!$A$3,"State","DE","Category",8,"Category2","Two-Year"))/$B302)*100</f>
        <v>0</v>
      </c>
    </row>
    <row r="303" spans="1:15">
      <c r="A303" s="149" t="s">
        <v>481</v>
      </c>
      <c r="B303" s="617">
        <f>+'[2]NEW Tables 143-162'!D43</f>
        <v>53262.509313154835</v>
      </c>
      <c r="C303" s="32">
        <f>IF($B303&gt;0,(GETPIVOTDATA(" New Retirement",'$ Pivot Table'!$A$3,"State","FL","Category",8,"Category2","Two-Year"))/$B303)*100</f>
        <v>10.923195919174224</v>
      </c>
      <c r="D303" s="32">
        <f>IF($B303&gt;0,(GETPIVOTDATA(" New Health",'$ Pivot Table'!$A$3,"State","FL","Category",8,"Category2","Two-Year"))/$B303)*100</f>
        <v>11.377260971050704</v>
      </c>
      <c r="E303" s="32">
        <f>IF($B303&gt;0,(GETPIVOTDATA(" New Disability",'$ Pivot Table'!$A$3,"State","FL","Category",8,"Category2","Two-Year"))/$B303)*100</f>
        <v>0.33403963846065265</v>
      </c>
      <c r="F303" s="32"/>
      <c r="G303" s="32">
        <f>IF($B303&gt;0,(GETPIVOTDATA(" New Social Security",'$ Pivot Table'!$A$3,"State","FL","Category",8,"Category2","Two-Year"))/$B303)*100</f>
        <v>7.8844563764000384</v>
      </c>
      <c r="H303" s="32"/>
      <c r="I303" s="32">
        <f>IF($B303&gt;0,(GETPIVOTDATA(" New Unemployment",'$ Pivot Table'!$A$3,"State","FL","Category",8,"Category2","Two-Year"))/$B303)*100</f>
        <v>0.2450252807817713</v>
      </c>
      <c r="J303" s="32">
        <f>IF($B303&gt;0,(GETPIVOTDATA(" New Life Insurance",'$ Pivot Table'!$A$3,"State","FL","Category",8,"Category2","Two-Year"))/$B303)*100</f>
        <v>0.24299589210359579</v>
      </c>
      <c r="K303" s="32"/>
      <c r="L303" s="32">
        <f>IF($B303&gt;0,(GETPIVOTDATA(" New Worker's Comp",'$ Pivot Table'!$A$3,"State","FL","Category",8,"Category2","Two-Year"))/$B303)*100</f>
        <v>0.94296243376224487</v>
      </c>
      <c r="M303" s="32">
        <f>IF($B303&gt;0,(GETPIVOTDATA(" New Tuition Plans",'$ Pivot Table'!$A$3,"State","FL","Category",8,"Category2","Two-Year"))/$B303)*100</f>
        <v>0.67933412200433951</v>
      </c>
      <c r="N303" s="32">
        <f>IF($B303&gt;0,(GETPIVOTDATA(" New Other",'$ Pivot Table'!$A$3,"State","FL","Category",8,"Category2","Two-Year"))/$B303)*100</f>
        <v>0.2866737920188494</v>
      </c>
      <c r="O303" s="90">
        <f>IF($B303&gt;0,(GETPIVOTDATA(" New Total",'$ Pivot Table'!$A$3,"State","FL","Category",8,"Category2","Two-Year"))/$B303)*100</f>
        <v>31.017996651848144</v>
      </c>
    </row>
    <row r="304" spans="1:15">
      <c r="A304" s="149"/>
      <c r="B304" s="617">
        <f>+'[2]NEW Tables 143-162'!D44</f>
        <v>0</v>
      </c>
      <c r="C304" s="32"/>
      <c r="D304" s="34"/>
      <c r="E304" s="32"/>
      <c r="F304" s="32"/>
      <c r="G304" s="32"/>
      <c r="H304" s="32"/>
      <c r="I304" s="32"/>
      <c r="J304" s="32"/>
      <c r="K304" s="32"/>
      <c r="L304" s="32"/>
      <c r="M304" s="32"/>
      <c r="N304" s="32"/>
      <c r="O304" s="90"/>
    </row>
    <row r="305" spans="1:29">
      <c r="A305" s="149" t="s">
        <v>482</v>
      </c>
      <c r="B305" s="617">
        <f>+'[2]NEW Tables 143-162'!D45</f>
        <v>50469.596227610629</v>
      </c>
      <c r="C305" s="32">
        <f>IF($B305&gt;0,(GETPIVOTDATA(" New Retirement",'$ Pivot Table'!$A$3,"State","GA","Category",8,"Category2","Two-Year"))/$B305)*100</f>
        <v>9.6332333908348229</v>
      </c>
      <c r="D305" s="32">
        <f>IF($B305&gt;0,(GETPIVOTDATA(" New Health",'$ Pivot Table'!$A$3,"State","GA","Category",8,"Category2","Two-Year"))/$B305)*100</f>
        <v>10.558108948842852</v>
      </c>
      <c r="E305" s="32">
        <f>IF($B305&gt;0,(GETPIVOTDATA(" New Disability",'$ Pivot Table'!$A$3,"State","GA","Category",8,"Category2","Two-Year"))/$B305)*100</f>
        <v>0</v>
      </c>
      <c r="F305" s="32"/>
      <c r="G305" s="32">
        <f>IF($B305&gt;0,(GETPIVOTDATA(" New Social Security",'$ Pivot Table'!$A$3,"State","GA","Category",8,"Category2","Two-Year"))/$B305)*100</f>
        <v>7.6529961543342795</v>
      </c>
      <c r="H305" s="32"/>
      <c r="I305" s="32">
        <f>IF($B305&gt;0,(GETPIVOTDATA(" New Unemployment",'$ Pivot Table'!$A$3,"State","GA","Category",8,"Category2","Two-Year"))/$B305)*100</f>
        <v>0.27937612055406635</v>
      </c>
      <c r="J305" s="32">
        <f>IF($B305&gt;0,(GETPIVOTDATA(" New Life Insurance",'$ Pivot Table'!$A$3,"State","GA","Category",8,"Category2","Two-Year"))/$B305)*100</f>
        <v>0.34727235574024329</v>
      </c>
      <c r="K305" s="32"/>
      <c r="L305" s="32">
        <f>IF($B305&gt;0,(GETPIVOTDATA(" New Worker's Comp",'$ Pivot Table'!$A$3,"State","GA","Category",8,"Category2","Two-Year"))/$B305)*100</f>
        <v>0.24901989297968344</v>
      </c>
      <c r="M305" s="32">
        <f>IF($B305&gt;0,(GETPIVOTDATA(" New Tuition Plans",'$ Pivot Table'!$A$3,"State","GA","Category",8,"Category2","Two-Year"))/$B305)*100</f>
        <v>0</v>
      </c>
      <c r="N305" s="32">
        <f>IF($B305&gt;0,(GETPIVOTDATA(" New Other",'$ Pivot Table'!$A$3,"State","GA","Category",8,"Category2","Two-Year"))/$B305)*100</f>
        <v>0</v>
      </c>
      <c r="O305" s="90">
        <f>IF($B305&gt;0,(GETPIVOTDATA(" New Total",'$ Pivot Table'!$A$3,"State","GA","Category",8,"Category2","Two-Year"))/$B305)*100</f>
        <v>28.400755322326681</v>
      </c>
    </row>
    <row r="306" spans="1:29">
      <c r="A306" s="149" t="s">
        <v>483</v>
      </c>
      <c r="B306" s="617">
        <f>+'[2]NEW Tables 143-162'!D46</f>
        <v>49864.814483203132</v>
      </c>
      <c r="C306" s="32">
        <f>IF($B306&gt;0,(GETPIVOTDATA(" New Retirement",'$ Pivot Table'!$A$3,"State","KY","Category",8,"Category2","Two-Year"))/$B306)*100</f>
        <v>10.959761491911033</v>
      </c>
      <c r="D306" s="32">
        <f>IF($B306&gt;0,(GETPIVOTDATA(" New Health",'$ Pivot Table'!$A$3,"State","KY","Category",8,"Category2","Two-Year"))/$B306)*100</f>
        <v>14.87949938753766</v>
      </c>
      <c r="E306" s="32">
        <f>IF($B306&gt;0,(GETPIVOTDATA(" New Disability",'$ Pivot Table'!$A$3,"State","KY","Category",8,"Category2","Two-Year"))/$B306)*100</f>
        <v>0</v>
      </c>
      <c r="F306" s="32"/>
      <c r="G306" s="32">
        <f>IF($B306&gt;0,(GETPIVOTDATA(" New Social Security",'$ Pivot Table'!$A$3,"State","KY","Category",8,"Category2","Two-Year"))/$B306)*100</f>
        <v>6.373502150515467</v>
      </c>
      <c r="H306" s="32"/>
      <c r="I306" s="32">
        <f>IF($B306&gt;0,(GETPIVOTDATA(" New Unemployment",'$ Pivot Table'!$A$3,"State","KY","Category",8,"Category2","Two-Year"))/$B306)*100</f>
        <v>0</v>
      </c>
      <c r="J306" s="56">
        <f>IF($B306&gt;0,(GETPIVOTDATA(" New Life Insurance",'$ Pivot Table'!$A$3,"State","KY","Category",8,"Category2","Two-Year"))/$B306)*100</f>
        <v>3.3583432686570935E-2</v>
      </c>
      <c r="K306" s="32"/>
      <c r="L306" s="32">
        <f>IF($B306&gt;0,(GETPIVOTDATA(" New Worker's Comp",'$ Pivot Table'!$A$3,"State","KY","Category",8,"Category2","Two-Year"))/$B306)*100</f>
        <v>0</v>
      </c>
      <c r="M306" s="32">
        <f>IF($B306&gt;0,(GETPIVOTDATA(" New Tuition Plans",'$ Pivot Table'!$A$3,"State","KY","Category",8,"Category2","Two-Year"))/$B306)*100</f>
        <v>1.9705692276989546</v>
      </c>
      <c r="N306" s="32">
        <f>IF($B306&gt;0,(GETPIVOTDATA(" New Other",'$ Pivot Table'!$A$3,"State","KY","Category",8,"Category2","Two-Year"))/$B306)*100</f>
        <v>0</v>
      </c>
      <c r="O306" s="90">
        <f>IF($B306&gt;0,(GETPIVOTDATA(" New Total",'$ Pivot Table'!$A$3,"State","KY","Category",8,"Category2","Two-Year"))/$B306)*100</f>
        <v>31.798198519329024</v>
      </c>
    </row>
    <row r="307" spans="1:29">
      <c r="A307" s="149" t="s">
        <v>484</v>
      </c>
      <c r="B307" s="617">
        <f>+'[2]NEW Tables 143-162'!D47</f>
        <v>54621.772599999997</v>
      </c>
      <c r="C307" s="32">
        <f>IF($B307&gt;0,(GETPIVOTDATA(" New Retirement",'$ Pivot Table'!$A$3,"State","LA","Category",8,"Category2","Two-Year"))/$B307)*100</f>
        <v>12.874195436864033</v>
      </c>
      <c r="D307" s="32">
        <f>IF($B307&gt;0,(GETPIVOTDATA(" New Health",'$ Pivot Table'!$A$3,"State","LA","Category",8,"Category2","Two-Year"))/$B307)*100</f>
        <v>5.1039564126039183</v>
      </c>
      <c r="E307" s="32">
        <f>IF($B307&gt;0,(GETPIVOTDATA(" New Disability",'$ Pivot Table'!$A$3,"State","LA","Category",8,"Category2","Two-Year"))/$B307)*100</f>
        <v>0</v>
      </c>
      <c r="F307" s="32"/>
      <c r="G307" s="32">
        <f>IF($B307&gt;0,(GETPIVOTDATA(" New Social Security",'$ Pivot Table'!$A$3,"State","LA","Category",8,"Category2","Two-Year"))/$B307)*100</f>
        <v>1.1438432395752909</v>
      </c>
      <c r="H307" s="32"/>
      <c r="I307" s="32">
        <f>IF($B307&gt;0,(GETPIVOTDATA(" New Unemployment",'$ Pivot Table'!$A$3,"State","LA","Category",8,"Category2","Two-Year"))/$B307)*100</f>
        <v>0</v>
      </c>
      <c r="J307" s="32">
        <f>IF($B307&gt;0,(GETPIVOTDATA(" New Life Insurance",'$ Pivot Table'!$A$3,"State","LA","Category",8,"Category2","Two-Year"))/$B307)*100</f>
        <v>0.19076809258564817</v>
      </c>
      <c r="K307" s="32"/>
      <c r="L307" s="32">
        <f>IF($B307&gt;0,(GETPIVOTDATA(" New Worker's Comp",'$ Pivot Table'!$A$3,"State","LA","Category",8,"Category2","Two-Year"))/$B307)*100</f>
        <v>0</v>
      </c>
      <c r="M307" s="32">
        <f>IF($B307&gt;0,(GETPIVOTDATA(" New Tuition Plans",'$ Pivot Table'!$A$3,"State","LA","Category",8,"Category2","Two-Year"))/$B307)*100</f>
        <v>0</v>
      </c>
      <c r="N307" s="32">
        <f>IF($B307&gt;0,(GETPIVOTDATA(" New Other",'$ Pivot Table'!$A$3,"State","LA","Category",8,"Category2","Two-Year"))/$B307)*100</f>
        <v>0</v>
      </c>
      <c r="O307" s="90">
        <f>IF($B307&gt;0,(GETPIVOTDATA(" New Total",'$ Pivot Table'!$A$3,"State","LA","Category",8,"Category2","Two-Year"))/$B307)*100</f>
        <v>17.966477838203431</v>
      </c>
    </row>
    <row r="308" spans="1:29">
      <c r="A308" s="149" t="s">
        <v>485</v>
      </c>
      <c r="B308" s="617">
        <f>+'[2]NEW Tables 143-162'!D48</f>
        <v>69073.715388888901</v>
      </c>
      <c r="C308" s="32">
        <f>IF($B308&gt;0,(GETPIVOTDATA(" New Retirement",'$ Pivot Table'!$A$3,"State","MD","Category",8,"Category2","Two-Year"))/$B308)*100</f>
        <v>8.5525461481785978</v>
      </c>
      <c r="D308" s="32">
        <f>IF($B308&gt;0,(GETPIVOTDATA(" New Health",'$ Pivot Table'!$A$3,"State","MD","Category",8,"Category2","Two-Year"))/$B308)*100</f>
        <v>9.0491108825650581</v>
      </c>
      <c r="E308" s="32">
        <f>IF($B308&gt;0,(GETPIVOTDATA(" New Disability",'$ Pivot Table'!$A$3,"State","MD","Category",8,"Category2","Two-Year"))/$B308)*100</f>
        <v>0.61481367255806529</v>
      </c>
      <c r="F308" s="32"/>
      <c r="G308" s="32">
        <f>IF($B308&gt;0,(GETPIVOTDATA(" New Social Security",'$ Pivot Table'!$A$3,"State","MD","Category",8,"Category2","Two-Year"))/$B308)*100</f>
        <v>7.590328755368521</v>
      </c>
      <c r="H308" s="32"/>
      <c r="I308" s="32">
        <f>IF($B308&gt;0,(GETPIVOTDATA(" New Unemployment",'$ Pivot Table'!$A$3,"State","MD","Category",8,"Category2","Two-Year"))/$B308)*100</f>
        <v>0</v>
      </c>
      <c r="J308" s="32">
        <f>IF($B308&gt;0,(GETPIVOTDATA(" New Life Insurance",'$ Pivot Table'!$A$3,"State","MD","Category",8,"Category2","Two-Year"))/$B308)*100</f>
        <v>0.33264173657239948</v>
      </c>
      <c r="K308" s="32"/>
      <c r="L308" s="32">
        <f>IF($B308&gt;0,(GETPIVOTDATA(" New Worker's Comp",'$ Pivot Table'!$A$3,"State","MD","Category",8,"Category2","Two-Year"))/$B308)*100</f>
        <v>0.4117449793738362</v>
      </c>
      <c r="M308" s="32">
        <f>IF($B308&gt;0,(GETPIVOTDATA(" New Tuition Plans",'$ Pivot Table'!$A$3,"State","MD","Category",8,"Category2","Two-Year"))/$B308)*100</f>
        <v>0</v>
      </c>
      <c r="N308" s="32">
        <f>IF($B308&gt;0,(GETPIVOTDATA(" New Other",'$ Pivot Table'!$A$3,"State","MD","Category",8,"Category2","Two-Year"))/$B308)*100</f>
        <v>0</v>
      </c>
      <c r="O308" s="90">
        <f>IF($B308&gt;0,(GETPIVOTDATA(" New Total",'$ Pivot Table'!$A$3,"State","MD","Category",8,"Category2","Two-Year"))/$B308)*100</f>
        <v>23.175934047795792</v>
      </c>
    </row>
    <row r="309" spans="1:29">
      <c r="A309" s="149"/>
      <c r="B309" s="617">
        <f>+'[2]NEW Tables 143-162'!D49</f>
        <v>0</v>
      </c>
      <c r="C309" s="32"/>
      <c r="D309" s="34"/>
      <c r="E309" s="32"/>
      <c r="F309" s="32"/>
      <c r="G309" s="32"/>
      <c r="H309" s="32"/>
      <c r="I309" s="32"/>
      <c r="J309" s="32"/>
      <c r="K309" s="32"/>
      <c r="L309" s="32"/>
      <c r="M309" s="32"/>
      <c r="N309" s="32"/>
      <c r="O309" s="90"/>
    </row>
    <row r="310" spans="1:29">
      <c r="A310" s="149" t="s">
        <v>486</v>
      </c>
      <c r="B310" s="617">
        <f>+'[2]NEW Tables 143-162'!D50</f>
        <v>48532.744048788845</v>
      </c>
      <c r="C310" s="32">
        <f>IF($B310&gt;0,(GETPIVOTDATA(" New Retirement",'$ Pivot Table'!$A$3,"State","MS","Category",8,"Category2","Two-Year"))/$B310)*100</f>
        <v>11.999998988614003</v>
      </c>
      <c r="D310" s="32">
        <f>IF($B310&gt;0,(GETPIVOTDATA(" New Health",'$ Pivot Table'!$A$3,"State","MS","Category",8,"Category2","Two-Year"))/$B310)*100</f>
        <v>8.681901449362968</v>
      </c>
      <c r="E310" s="32">
        <f>IF($B310&gt;0,(GETPIVOTDATA(" New Disability",'$ Pivot Table'!$A$3,"State","MS","Category",8,"Category2","Two-Year"))/$B310)*100</f>
        <v>0</v>
      </c>
      <c r="F310" s="32"/>
      <c r="G310" s="32">
        <f>IF($B310&gt;0,(GETPIVOTDATA(" New Social Security",'$ Pivot Table'!$A$3,"State","MS","Category",8,"Category2","Two-Year"))/$B310)*100</f>
        <v>7.6500003172383533</v>
      </c>
      <c r="H310" s="32"/>
      <c r="I310" s="32">
        <f>IF($B310&gt;0,(GETPIVOTDATA(" New Unemployment",'$ Pivot Table'!$A$3,"State","MS","Category",8,"Category2","Two-Year"))/$B310)*100</f>
        <v>9.7161811847049098E-2</v>
      </c>
      <c r="J310" s="32">
        <f>IF($B310&gt;0,(GETPIVOTDATA(" New Life Insurance",'$ Pivot Table'!$A$3,"State","MS","Category",8,"Category2","Two-Year"))/$B310)*100</f>
        <v>0.2500012081301165</v>
      </c>
      <c r="K310" s="32"/>
      <c r="L310" s="32">
        <f>IF($B310&gt;0,(GETPIVOTDATA(" New Worker's Comp",'$ Pivot Table'!$A$3,"State","MS","Category",8,"Category2","Two-Year"))/$B310)*100</f>
        <v>0.79315014877415901</v>
      </c>
      <c r="M310" s="32">
        <f>IF($B310&gt;0,(GETPIVOTDATA(" New Tuition Plans",'$ Pivot Table'!$A$3,"State","MS","Category",8,"Category2","Two-Year"))/$B310)*100</f>
        <v>0</v>
      </c>
      <c r="N310" s="32">
        <f>IF($B310&gt;0,(GETPIVOTDATA(" New Other",'$ Pivot Table'!$A$3,"State","MS","Category",8,"Category2","Two-Year"))/$B310)*100</f>
        <v>0.68110902013616259</v>
      </c>
      <c r="O310" s="90">
        <f>IF($B310&gt;0,(GETPIVOTDATA(" New Total",'$ Pivot Table'!$A$3,"State","MS","Category",8,"Category2","Two-Year"))/$B310)*100</f>
        <v>29.336036118801935</v>
      </c>
    </row>
    <row r="311" spans="1:29">
      <c r="A311" s="149" t="s">
        <v>487</v>
      </c>
      <c r="B311" s="617">
        <f>+'[2]NEW Tables 143-162'!D51</f>
        <v>47747.426765799253</v>
      </c>
      <c r="C311" s="32">
        <f>IF($B311&gt;0,(GETPIVOTDATA(" New Retirement",'$ Pivot Table'!$A$3,"State","NC","Category",8,"Category2","Two-Year"))/$B311)*100</f>
        <v>10.703425231091732</v>
      </c>
      <c r="D311" s="32">
        <f>IF($B311&gt;0,(GETPIVOTDATA(" New Health",'$ Pivot Table'!$A$3,"State","NC","Category",8,"Category2","Two-Year"))/$B311)*100</f>
        <v>9.8396619207036178</v>
      </c>
      <c r="E311" s="32">
        <f>IF($B311&gt;0,(GETPIVOTDATA(" New Disability",'$ Pivot Table'!$A$3,"State","NC","Category",8,"Category2","Two-Year"))/$B311)*100</f>
        <v>0.48154312986979531</v>
      </c>
      <c r="F311" s="32"/>
      <c r="G311" s="32">
        <f>IF($B311&gt;0,(GETPIVOTDATA(" New Social Security",'$ Pivot Table'!$A$3,"State","NC","Category",8,"Category2","Two-Year"))/$B311)*100</f>
        <v>7.753931867871418</v>
      </c>
      <c r="H311" s="32"/>
      <c r="I311" s="32">
        <f>IF($B311&gt;0,(GETPIVOTDATA(" New Unemployment",'$ Pivot Table'!$A$3,"State","NC","Category",8,"Category2","Two-Year"))/$B311)*100</f>
        <v>0.64496191634918576</v>
      </c>
      <c r="J311" s="32">
        <f>IF($B311&gt;0,(GETPIVOTDATA(" New Life Insurance",'$ Pivot Table'!$A$3,"State","NC","Category",8,"Category2","Two-Year"))/$B311)*100</f>
        <v>0.15376617375934193</v>
      </c>
      <c r="K311" s="32"/>
      <c r="L311" s="32">
        <f>IF($B311&gt;0,(GETPIVOTDATA(" New Worker's Comp",'$ Pivot Table'!$A$3,"State","NC","Category",8,"Category2","Two-Year"))/$B311)*100</f>
        <v>0.15541520134126499</v>
      </c>
      <c r="M311" s="32">
        <f>IF($B311&gt;0,(GETPIVOTDATA(" New Tuition Plans",'$ Pivot Table'!$A$3,"State","NC","Category",8,"Category2","Two-Year"))/$B311)*100</f>
        <v>0</v>
      </c>
      <c r="N311" s="32">
        <f>IF($B311&gt;0,(GETPIVOTDATA(" New Other",'$ Pivot Table'!$A$3,"State","NC","Category",8,"Category2","Two-Year"))/$B311)*100</f>
        <v>0.47122958291265243</v>
      </c>
      <c r="O311" s="90">
        <f>IF($B311&gt;0,(GETPIVOTDATA(" New Total",'$ Pivot Table'!$A$3,"State","NC","Category",8,"Category2","Two-Year"))/$B311)*100</f>
        <v>28.027053561392034</v>
      </c>
    </row>
    <row r="312" spans="1:29">
      <c r="A312" s="149" t="s">
        <v>488</v>
      </c>
      <c r="B312" s="617">
        <f>+'[2]NEW Tables 143-162'!D52</f>
        <v>52921.55907117117</v>
      </c>
      <c r="C312" s="32">
        <f>IF($B312&gt;0,(GETPIVOTDATA(" New Retirement",'$ Pivot Table'!$A$3,"State","OK","Category",8,"Category2","Two-Year"))/$B312)*100</f>
        <v>23.824331800336743</v>
      </c>
      <c r="D312" s="32">
        <f>IF($B312&gt;0,(GETPIVOTDATA(" New Health",'$ Pivot Table'!$A$3,"State","OK","Category",8,"Category2","Two-Year"))/$B312)*100</f>
        <v>11.147154111265294</v>
      </c>
      <c r="E312" s="32">
        <f>IF($B312&gt;0,(GETPIVOTDATA(" New Disability",'$ Pivot Table'!$A$3,"State","OK","Category",8,"Category2","Two-Year"))/$B312)*100</f>
        <v>0</v>
      </c>
      <c r="F312" s="32"/>
      <c r="G312" s="32">
        <f>IF($B312&gt;0,(GETPIVOTDATA(" New Social Security",'$ Pivot Table'!$A$3,"State","OK","Category",8,"Category2","Two-Year"))/$B312)*100</f>
        <v>7.1575665501762451</v>
      </c>
      <c r="H312" s="32"/>
      <c r="I312" s="56">
        <f>IF($B312&gt;0,(GETPIVOTDATA(" New Unemployment",'$ Pivot Table'!$A$3,"State","OK","Category",8,"Category2","Two-Year"))/$B312)*100</f>
        <v>4.7844054982901479E-2</v>
      </c>
      <c r="J312" s="32">
        <f>IF($B312&gt;0,(GETPIVOTDATA(" New Life Insurance",'$ Pivot Table'!$A$3,"State","OK","Category",8,"Category2","Two-Year"))/$B312)*100</f>
        <v>0.53497085343890038</v>
      </c>
      <c r="K312" s="32"/>
      <c r="L312" s="32">
        <f>IF($B312&gt;0,(GETPIVOTDATA(" New Worker's Comp",'$ Pivot Table'!$A$3,"State","OK","Category",8,"Category2","Two-Year"))/$B312)*100</f>
        <v>0.40107461905268504</v>
      </c>
      <c r="M312" s="32">
        <f>IF($B312&gt;0,(GETPIVOTDATA(" New Tuition Plans",'$ Pivot Table'!$A$3,"State","OK","Category",8,"Category2","Two-Year"))/$B312)*100</f>
        <v>0</v>
      </c>
      <c r="N312" s="32">
        <f>IF($B312&gt;0,(GETPIVOTDATA(" New Other",'$ Pivot Table'!$A$3,"State","OK","Category",8,"Category2","Two-Year"))/$B312)*100</f>
        <v>0.67967327495012442</v>
      </c>
      <c r="O312" s="90">
        <f>IF($B312&gt;0,(GETPIVOTDATA(" New Total",'$ Pivot Table'!$A$3,"State","OK","Category",8,"Category2","Two-Year"))/$B312)*100</f>
        <v>43.582014122071101</v>
      </c>
    </row>
    <row r="313" spans="1:29">
      <c r="A313" s="149" t="s">
        <v>489</v>
      </c>
      <c r="B313" s="617">
        <f>+'[2]NEW Tables 143-162'!D53</f>
        <v>47067.297921478057</v>
      </c>
      <c r="C313" s="32">
        <f>IF($B313&gt;0,(GETPIVOTDATA(" New Retirement",'$ Pivot Table'!$A$3,"State","SC","Category",8,"Category2","Two-Year"))/$B313)*100</f>
        <v>13.289997026516993</v>
      </c>
      <c r="D313" s="32">
        <f>IF($B313&gt;0,(GETPIVOTDATA(" New Health",'$ Pivot Table'!$A$3,"State","SC","Category",8,"Category2","Two-Year"))/$B313)*100</f>
        <v>9.8738691855204443</v>
      </c>
      <c r="E313" s="32">
        <f>IF($B313&gt;0,(GETPIVOTDATA(" New Disability",'$ Pivot Table'!$A$3,"State","SC","Category",8,"Category2","Two-Year"))/$B313)*100</f>
        <v>6.1760852117802689E-2</v>
      </c>
      <c r="F313" s="32"/>
      <c r="G313" s="32">
        <f>IF($B313&gt;0,(GETPIVOTDATA(" New Social Security",'$ Pivot Table'!$A$3,"State","SC","Category",8,"Category2","Two-Year"))/$B313)*100</f>
        <v>7.6499989695850967</v>
      </c>
      <c r="H313" s="32"/>
      <c r="I313" s="32">
        <f>IF($B313&gt;0,(GETPIVOTDATA(" New Unemployment",'$ Pivot Table'!$A$3,"State","SC","Category",8,"Category2","Two-Year"))/$B313)*100</f>
        <v>0.23999835133615374</v>
      </c>
      <c r="J313" s="32">
        <f>IF($B313&gt;0,(GETPIVOTDATA(" New Life Insurance",'$ Pivot Table'!$A$3,"State","SC","Category",8,"Category2","Two-Year"))/$B313)*100</f>
        <v>9.8414436799747207E-2</v>
      </c>
      <c r="K313" s="32"/>
      <c r="L313" s="32">
        <f>IF($B313&gt;0,(GETPIVOTDATA(" New Worker's Comp",'$ Pivot Table'!$A$3,"State","SC","Category",8,"Category2","Two-Year"))/$B313)*100</f>
        <v>0.76526952219170241</v>
      </c>
      <c r="M313" s="32">
        <f>IF($B313&gt;0,(GETPIVOTDATA(" New Tuition Plans",'$ Pivot Table'!$A$3,"State","SC","Category",8,"Category2","Two-Year"))/$B313)*100</f>
        <v>0</v>
      </c>
      <c r="N313" s="32">
        <f>IF($B313&gt;0,(GETPIVOTDATA(" New Other",'$ Pivot Table'!$A$3,"State","SC","Category",8,"Category2","Two-Year"))/$B313)*100</f>
        <v>0</v>
      </c>
      <c r="O313" s="90">
        <f>IF($B313&gt;0,(GETPIVOTDATA(" New Total",'$ Pivot Table'!$A$3,"State","SC","Category",8,"Category2","Two-Year"))/$B313)*100</f>
        <v>31.919491230187823</v>
      </c>
    </row>
    <row r="314" spans="1:29">
      <c r="A314" s="149"/>
      <c r="B314" s="617">
        <f>+'[2]NEW Tables 143-162'!D54</f>
        <v>0</v>
      </c>
      <c r="C314" s="32"/>
      <c r="D314" s="34"/>
      <c r="E314" s="32"/>
      <c r="F314" s="32"/>
      <c r="G314" s="32"/>
      <c r="H314" s="32"/>
      <c r="I314" s="32"/>
      <c r="J314" s="32"/>
      <c r="K314" s="32"/>
      <c r="L314" s="32"/>
      <c r="M314" s="32"/>
      <c r="N314" s="32"/>
      <c r="O314" s="90"/>
    </row>
    <row r="315" spans="1:29">
      <c r="A315" s="149" t="s">
        <v>490</v>
      </c>
      <c r="B315" s="617">
        <f>+'[2]NEW Tables 143-162'!D55</f>
        <v>47134.089873261204</v>
      </c>
      <c r="C315" s="28">
        <f>IF($B315&gt;0,(GETPIVOTDATA(" New Retirement",'$ Pivot Table'!$A$3,"State","TN","Category",8,"Category2","Two-Year"))/$B315)*100</f>
        <v>12.670858387269332</v>
      </c>
      <c r="D315" s="28">
        <f>IF($B315&gt;0,(GETPIVOTDATA(" New Health",'$ Pivot Table'!$A$3,"State","TN","Category",8,"Category2","Two-Year"))/$B315)*100</f>
        <v>18.082533306397949</v>
      </c>
      <c r="E315" s="28">
        <f>IF($B315&gt;0,(GETPIVOTDATA(" New Disability",'$ Pivot Table'!$A$3,"State","TN","Category",8,"Category2","Two-Year"))/$B315)*100</f>
        <v>0</v>
      </c>
      <c r="F315" s="28"/>
      <c r="G315" s="28">
        <f>IF($B315&gt;0,(GETPIVOTDATA(" New Social Security",'$ Pivot Table'!$A$3,"State","TN","Category",8,"Category2","Two-Year"))/$B315)*100</f>
        <v>8.0257813051817557</v>
      </c>
      <c r="H315" s="28"/>
      <c r="I315" s="28">
        <f>IF($B315&gt;0,(GETPIVOTDATA(" New Unemployment",'$ Pivot Table'!$A$3,"State","TN","Category",8,"Category2","Two-Year"))/$B315)*100</f>
        <v>0.57152819988454928</v>
      </c>
      <c r="J315" s="28">
        <f>IF($B315&gt;0,(GETPIVOTDATA(" New Life Insurance",'$ Pivot Table'!$A$3,"State","TN","Category",8,"Category2","Two-Year"))/$B315)*100</f>
        <v>0.10920099053923782</v>
      </c>
      <c r="K315" s="28"/>
      <c r="L315" s="28">
        <f>IF($B315&gt;0,(GETPIVOTDATA(" New Worker's Comp",'$ Pivot Table'!$A$3,"State","TN","Category",8,"Category2","Two-Year"))/$B315)*100</f>
        <v>0.33418340762672566</v>
      </c>
      <c r="M315" s="28">
        <f>IF($B315&gt;0,(GETPIVOTDATA(" New Tuition Plans",'$ Pivot Table'!$A$3,"State","TN","Category",8,"Category2","Two-Year"))/$B315)*100</f>
        <v>2.0398787023466092</v>
      </c>
      <c r="N315" s="28">
        <f>IF($B315&gt;0,(GETPIVOTDATA(" New Other",'$ Pivot Table'!$A$3,"State","TN","Category",8,"Category2","Two-Year"))/$B315)*100</f>
        <v>1.1996194029000735</v>
      </c>
      <c r="O315" s="86">
        <f>IF($B315&gt;0,(GETPIVOTDATA(" New Total",'$ Pivot Table'!$A$3,"State","TN","Category",8,"Category2","Two-Year"))/$B315)*100</f>
        <v>37.238152358537704</v>
      </c>
    </row>
    <row r="316" spans="1:29">
      <c r="A316" s="149" t="s">
        <v>491</v>
      </c>
      <c r="B316" s="617">
        <f>+'[2]NEW Tables 143-162'!D56</f>
        <v>56414.085521503694</v>
      </c>
      <c r="C316" s="28">
        <f>IF($B316&gt;0,(GETPIVOTDATA(" New Retirement",'$ Pivot Table'!$A$3,"State","TX","Category",8,"Category2","Two-Year"))/$B316)*100</f>
        <v>8.1855524601745877</v>
      </c>
      <c r="D316" s="28">
        <f>IF($B316&gt;0,(GETPIVOTDATA(" New Health",'$ Pivot Table'!$A$3,"State","TX","Category",8,"Category2","Two-Year"))/$B316)*100</f>
        <v>10.647980973520385</v>
      </c>
      <c r="E316" s="28">
        <f>IF($B316&gt;0,(GETPIVOTDATA(" New Disability",'$ Pivot Table'!$A$3,"State","TX","Category",8,"Category2","Two-Year"))/$B316)*100</f>
        <v>0.64637421972785514</v>
      </c>
      <c r="F316" s="28"/>
      <c r="G316" s="28">
        <f>IF($B316&gt;0,(GETPIVOTDATA(" New Social Security",'$ Pivot Table'!$A$3,"State","TX","Category",8,"Category2","Two-Year"))/$B316)*100</f>
        <v>4.622783902305291</v>
      </c>
      <c r="H316" s="28"/>
      <c r="I316" s="28">
        <f>IF($B316&gt;0,(GETPIVOTDATA(" New Unemployment",'$ Pivot Table'!$A$3,"State","TX","Category",8,"Category2","Two-Year"))/$B316)*100</f>
        <v>0.28804025244419473</v>
      </c>
      <c r="J316" s="28">
        <f>IF($B316&gt;0,(GETPIVOTDATA(" New Life Insurance",'$ Pivot Table'!$A$3,"State","TX","Category",8,"Category2","Two-Year"))/$B316)*100</f>
        <v>0.32574849935952144</v>
      </c>
      <c r="K316" s="28"/>
      <c r="L316" s="28">
        <f>IF($B316&gt;0,(GETPIVOTDATA(" New Worker's Comp",'$ Pivot Table'!$A$3,"State","TX","Category",8,"Category2","Two-Year"))/$B316)*100</f>
        <v>0.35791871091386929</v>
      </c>
      <c r="M316" s="28">
        <f>IF($B316&gt;0,(GETPIVOTDATA(" New Tuition Plans",'$ Pivot Table'!$A$3,"State","TX","Category",8,"Category2","Two-Year"))/$B316)*100</f>
        <v>0.54354600923899621</v>
      </c>
      <c r="N316" s="58">
        <f>IF($B316&gt;0,(GETPIVOTDATA(" New Other",'$ Pivot Table'!$A$3,"State","TX","Category",8,"Category2","Two-Year"))/$B316)*100</f>
        <v>0</v>
      </c>
      <c r="O316" s="86">
        <f>IF($B316&gt;0,(GETPIVOTDATA(" New Total",'$ Pivot Table'!$A$3,"State","TX","Category",8,"Category2","Two-Year"))/$B316)*100</f>
        <v>19.351804659612952</v>
      </c>
    </row>
    <row r="317" spans="1:29">
      <c r="A317" s="149" t="s">
        <v>492</v>
      </c>
      <c r="B317" s="617">
        <f>+'[2]NEW Tables 143-162'!D57</f>
        <v>0</v>
      </c>
      <c r="C317" s="28">
        <f>IF($B317&gt;0,(GETPIVOTDATA(" New Retirement",'$ Pivot Table'!$A$3,"State","VA","Category",8,"Category2","Two-Year"))/$B317)*100</f>
        <v>0</v>
      </c>
      <c r="D317" s="28">
        <f>IF($B317&gt;0,(GETPIVOTDATA(" New Health",'$ Pivot Table'!$A$3,"State","VA","Category",8,"Category2","Two-Year"))/$B317)*100</f>
        <v>0</v>
      </c>
      <c r="E317" s="28">
        <f>IF($B317&gt;0,(GETPIVOTDATA(" New Disability",'$ Pivot Table'!$A$3,"State","VA","Category",8,"Category2","Two-Year"))/$B317)*100</f>
        <v>0</v>
      </c>
      <c r="F317" s="28"/>
      <c r="G317" s="28">
        <f>IF($B317&gt;0,(GETPIVOTDATA(" New Social Security",'$ Pivot Table'!$A$3,"State","VA","Category",8,"Category2","Two-Year"))/$B317)*100</f>
        <v>0</v>
      </c>
      <c r="H317" s="28"/>
      <c r="I317" s="28">
        <f>IF($B317&gt;0,(GETPIVOTDATA(" New Unemployment",'$ Pivot Table'!$A$3,"State","VA","Category",8,"Category2","Two-Year"))/$B317)*100</f>
        <v>0</v>
      </c>
      <c r="J317" s="28">
        <f>IF($B317&gt;0,(GETPIVOTDATA(" New Life Insurance",'$ Pivot Table'!$A$3,"State","VA","Category",8,"Category2","Two-Year"))/$B317)*100</f>
        <v>0</v>
      </c>
      <c r="K317" s="28"/>
      <c r="L317" s="28">
        <f>IF($B317&gt;0,(GETPIVOTDATA(" New Worker's Comp",'$ Pivot Table'!$A$3,"State","VA","Category",8,"Category2","Two-Year"))/$B317)*100</f>
        <v>0</v>
      </c>
      <c r="M317" s="28">
        <f>IF($B317&gt;0,(GETPIVOTDATA(" New Tuition Plans",'$ Pivot Table'!$A$3,"State","VA","Category",8,"Category2","Two-Year"))/$B317)*100</f>
        <v>0</v>
      </c>
      <c r="N317" s="28">
        <f>IF($B317&gt;0,(GETPIVOTDATA(" New Other",'$ Pivot Table'!$A$3,"State","VA","Category",8,"Category2","Two-Year"))/$B317)*100</f>
        <v>0</v>
      </c>
      <c r="O317" s="86">
        <f>IF($B317&gt;0,(GETPIVOTDATA(" New Total",'$ Pivot Table'!$A$3,"State","VA","Category",8,"Category2","Two-Year"))/$B317)*100</f>
        <v>0</v>
      </c>
    </row>
    <row r="318" spans="1:29">
      <c r="A318" s="630" t="s">
        <v>493</v>
      </c>
      <c r="B318" s="618">
        <f>+'[2]NEW Tables 143-162'!D58</f>
        <v>0</v>
      </c>
      <c r="C318" s="30">
        <f>IF($B318&gt;0,(GETPIVOTDATA(" New Retirement",'$ Pivot Table'!$A$3,"State","WV","Category",8,"Category2","Two-Year"))/$B318)*100</f>
        <v>0</v>
      </c>
      <c r="D318" s="30">
        <f>IF($B318&gt;0,(GETPIVOTDATA(" New Health",'$ Pivot Table'!$A$3,"State","WV","Category",8,"Category2","Two-Year"))/$B318)*100</f>
        <v>0</v>
      </c>
      <c r="E318" s="30">
        <f>IF($B318&gt;0,(GETPIVOTDATA(" New Disability",'$ Pivot Table'!$A$3,"State","WV","Category",8,"Category2","Two-Year"))/$B318)*100</f>
        <v>0</v>
      </c>
      <c r="F318" s="30"/>
      <c r="G318" s="30">
        <f>IF($B318&gt;0,(GETPIVOTDATA(" New Social Security",'$ Pivot Table'!$A$3,"State","WV","Category",8,"Category2","Two-Year"))/$B318)*100</f>
        <v>0</v>
      </c>
      <c r="H318" s="30"/>
      <c r="I318" s="30">
        <f>IF($B318&gt;0,(GETPIVOTDATA(" New Unemployment",'$ Pivot Table'!$A$3,"State","WV","Category",8,"Category2","Two-Year"))/$B318)*100</f>
        <v>0</v>
      </c>
      <c r="J318" s="30">
        <f>IF($B318&gt;0,(GETPIVOTDATA(" New Life Insurance",'$ Pivot Table'!$A$3,"State","WV","Category",8,"Category2","Two-Year"))/$B318)*100</f>
        <v>0</v>
      </c>
      <c r="K318" s="30"/>
      <c r="L318" s="30">
        <f>IF($B318&gt;0,(GETPIVOTDATA(" New Worker's Comp",'$ Pivot Table'!$A$3,"State","WV","Category",8,"Category2","Two-Year"))/$B318)*100</f>
        <v>0</v>
      </c>
      <c r="M318" s="30">
        <f>IF($B318&gt;0,(GETPIVOTDATA(" New Tuition Plans",'$ Pivot Table'!$A$3,"State","WV","Category",8,"Category2","Two-Year"))/$B318)*100</f>
        <v>0</v>
      </c>
      <c r="N318" s="30">
        <f>IF($B318&gt;0,(GETPIVOTDATA(" New Other",'$ Pivot Table'!$A$3,"State","WV","Category",8,"Category2","Two-Year"))/$B318)*100</f>
        <v>0</v>
      </c>
      <c r="O318" s="115">
        <f>IF($B318&gt;0,(GETPIVOTDATA(" New Total",'$ Pivot Table'!$A$3,"State","WV","Category",8,"Category2","Two-Year"))/$B318)*100</f>
        <v>0</v>
      </c>
    </row>
    <row r="319" spans="1:29" ht="15.75">
      <c r="A319" s="627" t="s">
        <v>685</v>
      </c>
      <c r="B319" s="31"/>
      <c r="C319" s="28"/>
      <c r="D319" s="28"/>
      <c r="E319" s="28"/>
      <c r="F319" s="28"/>
      <c r="G319" s="28"/>
      <c r="H319" s="28"/>
      <c r="I319" s="28"/>
      <c r="J319" s="28"/>
      <c r="K319" s="28"/>
      <c r="L319" s="28"/>
      <c r="M319" s="28"/>
      <c r="N319" s="28"/>
      <c r="O319" s="86"/>
      <c r="Q319" s="112"/>
      <c r="R319" s="101"/>
      <c r="S319" s="103"/>
      <c r="T319" s="102"/>
      <c r="V319" s="117"/>
    </row>
    <row r="320" spans="1:29" ht="18" customHeight="1">
      <c r="A320" s="628" t="s">
        <v>14</v>
      </c>
      <c r="B320" s="45"/>
      <c r="C320" s="47"/>
      <c r="D320" s="47"/>
      <c r="E320" s="47"/>
      <c r="F320" s="47"/>
      <c r="G320" s="47"/>
      <c r="H320" s="47"/>
      <c r="I320" s="47"/>
      <c r="J320" s="47"/>
      <c r="K320" s="47"/>
      <c r="L320" s="47"/>
      <c r="M320" s="47"/>
      <c r="N320" s="47"/>
      <c r="Q320" s="152"/>
      <c r="R320" s="152"/>
      <c r="S320" s="152"/>
      <c r="T320" s="153"/>
      <c r="U320" s="152"/>
      <c r="V320" s="153"/>
      <c r="W320" s="152"/>
      <c r="X320" s="152"/>
      <c r="Y320" s="153"/>
      <c r="Z320" s="152"/>
      <c r="AA320" s="152"/>
      <c r="AB320" s="152"/>
      <c r="AC320" s="154"/>
    </row>
    <row r="321" spans="1:16" ht="18" customHeight="1">
      <c r="A321" s="628"/>
      <c r="B321" s="45"/>
      <c r="C321" s="47"/>
      <c r="D321" s="47"/>
      <c r="E321" s="47"/>
      <c r="F321" s="47"/>
      <c r="G321" s="47"/>
      <c r="H321" s="47"/>
      <c r="I321" s="47"/>
      <c r="J321" s="47"/>
      <c r="K321" s="47"/>
      <c r="L321" s="47"/>
      <c r="M321" s="47"/>
      <c r="N321" s="47"/>
      <c r="O321" s="637" t="s">
        <v>1321</v>
      </c>
      <c r="P321" s="172"/>
    </row>
    <row r="322" spans="1:16" ht="18">
      <c r="A322" s="595" t="s">
        <v>1110</v>
      </c>
      <c r="B322" s="48"/>
      <c r="C322" s="48"/>
      <c r="D322" s="48"/>
      <c r="E322" s="48"/>
      <c r="F322" s="48"/>
      <c r="G322" s="48"/>
      <c r="H322" s="48"/>
      <c r="I322" s="48"/>
      <c r="J322" s="48"/>
      <c r="K322" s="48"/>
      <c r="L322" s="48"/>
      <c r="M322" s="48"/>
      <c r="N322" s="48"/>
      <c r="O322" s="48"/>
    </row>
    <row r="323" spans="1:16">
      <c r="A323" s="622"/>
      <c r="B323" s="50"/>
      <c r="C323" s="49"/>
      <c r="D323" s="49"/>
      <c r="E323" s="49"/>
      <c r="F323" s="49"/>
      <c r="G323" s="49"/>
      <c r="H323" s="49"/>
      <c r="I323" s="49"/>
      <c r="J323" s="49"/>
      <c r="K323" s="49"/>
      <c r="L323" s="49"/>
      <c r="M323" s="49"/>
      <c r="N323" s="49"/>
      <c r="O323" s="148"/>
    </row>
    <row r="324" spans="1:16" ht="15.75">
      <c r="A324" s="633" t="s">
        <v>466</v>
      </c>
      <c r="B324" s="48"/>
      <c r="C324" s="48"/>
      <c r="D324" s="48"/>
      <c r="E324" s="48"/>
      <c r="F324" s="48"/>
      <c r="G324" s="48"/>
      <c r="H324" s="48"/>
      <c r="I324" s="48"/>
      <c r="J324" s="48"/>
      <c r="K324" s="48"/>
      <c r="L324" s="48"/>
      <c r="M324" s="48"/>
      <c r="N324" s="48"/>
      <c r="O324" s="147"/>
    </row>
    <row r="325" spans="1:16" ht="15.75">
      <c r="A325" s="633" t="s">
        <v>1154</v>
      </c>
      <c r="B325" s="48"/>
      <c r="C325" s="48"/>
      <c r="D325" s="48"/>
      <c r="E325" s="48"/>
      <c r="F325" s="48"/>
      <c r="G325" s="48"/>
      <c r="H325" s="48"/>
      <c r="I325" s="48"/>
      <c r="J325" s="48"/>
      <c r="K325" s="48"/>
      <c r="L325" s="48"/>
      <c r="M325" s="48"/>
      <c r="N325" s="48"/>
      <c r="O325" s="147"/>
    </row>
    <row r="326" spans="1:16">
      <c r="A326" s="148"/>
      <c r="B326" s="45"/>
      <c r="C326" s="54"/>
      <c r="D326" s="54"/>
      <c r="E326" s="54"/>
      <c r="F326" s="54"/>
      <c r="G326" s="54"/>
      <c r="H326" s="54"/>
      <c r="I326" s="54"/>
      <c r="J326" s="54"/>
      <c r="K326" s="54"/>
      <c r="L326" s="54"/>
      <c r="M326" s="54"/>
      <c r="N326" s="54"/>
      <c r="O326" s="145"/>
    </row>
    <row r="327" spans="1:16">
      <c r="A327" s="634"/>
      <c r="B327" s="2" t="s">
        <v>473</v>
      </c>
      <c r="C327" s="63" t="s">
        <v>593</v>
      </c>
      <c r="D327" s="63"/>
      <c r="E327" s="63"/>
      <c r="F327" s="63"/>
      <c r="G327" s="63"/>
      <c r="H327" s="63"/>
      <c r="I327" s="63"/>
      <c r="J327" s="63"/>
      <c r="K327" s="63"/>
      <c r="L327" s="63"/>
      <c r="M327" s="63"/>
      <c r="N327" s="63"/>
      <c r="O327" s="136"/>
    </row>
    <row r="328" spans="1:16">
      <c r="A328" s="635"/>
      <c r="B328" s="4" t="s">
        <v>474</v>
      </c>
      <c r="C328" s="3" t="s">
        <v>660</v>
      </c>
      <c r="D328" s="3"/>
      <c r="E328" s="57"/>
      <c r="F328" s="57"/>
      <c r="G328" s="3" t="s">
        <v>661</v>
      </c>
      <c r="H328" s="3"/>
      <c r="I328" s="3" t="s">
        <v>662</v>
      </c>
      <c r="J328" s="3" t="s">
        <v>663</v>
      </c>
      <c r="K328" s="3"/>
      <c r="L328" s="3" t="s">
        <v>664</v>
      </c>
      <c r="M328" s="3" t="s">
        <v>665</v>
      </c>
      <c r="N328" s="3"/>
      <c r="O328" s="124" t="s">
        <v>475</v>
      </c>
    </row>
    <row r="329" spans="1:16">
      <c r="A329" s="636"/>
      <c r="B329" s="15" t="s">
        <v>476</v>
      </c>
      <c r="C329" s="16" t="s">
        <v>667</v>
      </c>
      <c r="D329" s="16" t="s">
        <v>708</v>
      </c>
      <c r="E329" s="17" t="s">
        <v>709</v>
      </c>
      <c r="F329" s="17"/>
      <c r="G329" s="16" t="s">
        <v>668</v>
      </c>
      <c r="H329" s="16"/>
      <c r="I329" s="16" t="s">
        <v>667</v>
      </c>
      <c r="J329" s="16" t="s">
        <v>669</v>
      </c>
      <c r="K329" s="16"/>
      <c r="L329" s="16" t="s">
        <v>670</v>
      </c>
      <c r="M329" s="16" t="s">
        <v>671</v>
      </c>
      <c r="N329" s="16" t="s">
        <v>701</v>
      </c>
      <c r="O329" s="146" t="s">
        <v>15</v>
      </c>
    </row>
    <row r="330" spans="1:16">
      <c r="A330" s="149" t="s">
        <v>600</v>
      </c>
      <c r="B330" s="33">
        <f>+'[2]NEW Tables 143-162'!F38</f>
        <v>49168.777607690652</v>
      </c>
      <c r="C330" s="32">
        <f>IF($B330&gt;0,(GETPIVOTDATA(" New Retirement",'$ Pivot Table'!$A$3,"Category",9,"Category2","Two-Year"))/$B330)*100</f>
        <v>10.87882232327792</v>
      </c>
      <c r="D330" s="32">
        <f>IF($B330&gt;0,(GETPIVOTDATA(" New Health",'$ Pivot Table'!$A$3,"Category",9,"Category2","Two-Year"))/$B330)*100</f>
        <v>12.828622290090699</v>
      </c>
      <c r="E330" s="32">
        <f>IF($B330&gt;0,(GETPIVOTDATA(" New Disability",'$ Pivot Table'!$A$3,"Category",9,"Category2","Two-Year"))/$B330)*100</f>
        <v>0.4538183888339109</v>
      </c>
      <c r="F330" s="32"/>
      <c r="G330" s="32">
        <f>IF($B330&gt;0,(GETPIVOTDATA(" New Social Security",'$ Pivot Table'!$A$3,"Category",9,"Category2","Two-Year"))/$B330)*100</f>
        <v>7.2482229731429992</v>
      </c>
      <c r="H330" s="32"/>
      <c r="I330" s="32">
        <f>IF($B330&gt;0,(GETPIVOTDATA(" New Unemployment",'$ Pivot Table'!$A$3,"Category",9,"Category2","Two-Year"))/$B330)*100</f>
        <v>0.36561870002134855</v>
      </c>
      <c r="J330" s="32">
        <f>IF($B330&gt;0,(GETPIVOTDATA(" New Life Insurance",'$ Pivot Table'!$A$3,"Category",9,"Category2","Two-Year"))/$B330)*100</f>
        <v>0.43090490658435743</v>
      </c>
      <c r="K330" s="32"/>
      <c r="L330" s="32">
        <f>IF($B330&gt;0,(GETPIVOTDATA(" New Worker's Comp",'$ Pivot Table'!$A$3,"Category",9,"Category2","Two-Year"))/$B330)*100</f>
        <v>0.60426911074365175</v>
      </c>
      <c r="M330" s="32">
        <f>IF($B330&gt;0,(GETPIVOTDATA(" New Tuition Plans",'$ Pivot Table'!$A$3,"Category",9,"Category2","Two-Year"))/$B330)*100</f>
        <v>2.0001124942420963</v>
      </c>
      <c r="N330" s="32">
        <f>IF($B330&gt;0,(GETPIVOTDATA(" New Other",'$ Pivot Table'!$A$3,"Category",9,"Category2","Two-Year"))/$B330)*100</f>
        <v>0.72970777584047797</v>
      </c>
      <c r="O330" s="90">
        <f>IF($B330&gt;0,(GETPIVOTDATA(" New Total",'$ Pivot Table'!$A$3,"Category",9,"Category2","Two-Year"))/$B330)*100</f>
        <v>29.778497787819585</v>
      </c>
    </row>
    <row r="331" spans="1:16">
      <c r="A331" s="149"/>
      <c r="B331" s="31">
        <f>+'[3]NEW Tables 144-163'!F39</f>
        <v>0</v>
      </c>
      <c r="C331" s="32"/>
      <c r="D331" s="34"/>
      <c r="E331" s="32"/>
      <c r="F331" s="32"/>
      <c r="G331" s="32"/>
      <c r="H331" s="32"/>
      <c r="I331" s="32"/>
      <c r="J331" s="32"/>
      <c r="K331" s="32"/>
      <c r="L331" s="32"/>
      <c r="M331" s="32"/>
      <c r="N331" s="32"/>
      <c r="O331" s="90"/>
    </row>
    <row r="332" spans="1:16">
      <c r="A332" s="149" t="s">
        <v>479</v>
      </c>
      <c r="B332" s="617">
        <f>+'[2]NEW Tables 143-162'!F40</f>
        <v>53202.086543978105</v>
      </c>
      <c r="C332" s="32">
        <f>IF($B332&gt;0,(GETPIVOTDATA(" New Retirement",'$ Pivot Table'!$A$3,"State","AL","Category",9,"Category2","Two-Year"))/$B332)*100</f>
        <v>12.521727492632031</v>
      </c>
      <c r="D332" s="32">
        <f>IF($B332&gt;0,(GETPIVOTDATA(" New Health",'$ Pivot Table'!$A$3,"State","AL","Category",9,"Category2","Two-Year"))/$B332)*100</f>
        <v>16.976005223704831</v>
      </c>
      <c r="E332" s="32">
        <f>IF($B332&gt;0,(GETPIVOTDATA(" New Disability",'$ Pivot Table'!$A$3,"State","AL","Category",9,"Category2","Two-Year"))/$B332)*100</f>
        <v>0</v>
      </c>
      <c r="F332" s="32"/>
      <c r="G332" s="32">
        <f>IF($B332&gt;0,(GETPIVOTDATA(" New Social Security",'$ Pivot Table'!$A$3,"State","AL","Category",9,"Category2","Two-Year"))/$B332)*100</f>
        <v>7.5761085484376167</v>
      </c>
      <c r="H332" s="32"/>
      <c r="I332" s="32">
        <f>IF($B332&gt;0,(GETPIVOTDATA(" New Unemployment",'$ Pivot Table'!$A$3,"State","AL","Category",9,"Category2","Two-Year"))/$B332)*100</f>
        <v>0.30396977144098491</v>
      </c>
      <c r="J332" s="32">
        <f>IF($B332&gt;0,(GETPIVOTDATA(" New Life Insurance",'$ Pivot Table'!$A$3,"State","AL","Category",9,"Category2","Two-Year"))/$B332)*100</f>
        <v>0</v>
      </c>
      <c r="K332" s="32"/>
      <c r="L332" s="32">
        <f>IF($B332&gt;0,(GETPIVOTDATA(" New Worker's Comp",'$ Pivot Table'!$A$3,"State","AL","Category",9,"Category2","Two-Year"))/$B332)*100</f>
        <v>0</v>
      </c>
      <c r="M332" s="32">
        <f>IF($B332&gt;0,(GETPIVOTDATA(" New Tuition Plans",'$ Pivot Table'!$A$3,"State","AL","Category",9,"Category2","Two-Year"))/$B332)*100</f>
        <v>2.4862674375613834</v>
      </c>
      <c r="N332" s="32">
        <f>IF($B332&gt;0,(GETPIVOTDATA(" New Other",'$ Pivot Table'!$A$3,"State","AL","Category",9,"Category2","Two-Year"))/$B332)*100</f>
        <v>0</v>
      </c>
      <c r="O332" s="90">
        <f>IF($B332&gt;0,(GETPIVOTDATA(" New Total",'$ Pivot Table'!$A$3,"State","AL","Category",9,"Category2","Two-Year"))/$B332)*100</f>
        <v>37.353854947668502</v>
      </c>
    </row>
    <row r="333" spans="1:16">
      <c r="A333" s="149" t="s">
        <v>480</v>
      </c>
      <c r="B333" s="617">
        <f>+'[2]NEW Tables 143-162'!F41</f>
        <v>46102.92443887324</v>
      </c>
      <c r="C333" s="32">
        <f>IF($B333&gt;0,(GETPIVOTDATA(" New Retirement",'$ Pivot Table'!$A$3,"State","AR","Category",9,"Category2","Two-Year"))/$B333)*100</f>
        <v>11.834261272575597</v>
      </c>
      <c r="D333" s="32">
        <f>IF($B333&gt;0,(GETPIVOTDATA(" New Health",'$ Pivot Table'!$A$3,"State","AR","Category",9,"Category2","Two-Year"))/$B333)*100</f>
        <v>6.6369237703720554</v>
      </c>
      <c r="E333" s="32">
        <f>IF($B333&gt;0,(GETPIVOTDATA(" New Disability",'$ Pivot Table'!$A$3,"State","AR","Category",9,"Category2","Two-Year"))/$B333)*100</f>
        <v>0.36502533921675018</v>
      </c>
      <c r="F333" s="32"/>
      <c r="G333" s="32">
        <f>IF($B333&gt;0,(GETPIVOTDATA(" New Social Security",'$ Pivot Table'!$A$3,"State","AR","Category",9,"Category2","Two-Year"))/$B333)*100</f>
        <v>7.0306108392635398</v>
      </c>
      <c r="H333" s="32"/>
      <c r="I333" s="32">
        <f>IF($B333&gt;0,(GETPIVOTDATA(" New Unemployment",'$ Pivot Table'!$A$3,"State","AR","Category",9,"Category2","Two-Year"))/$B333)*100</f>
        <v>0.71112167246272917</v>
      </c>
      <c r="J333" s="32">
        <f>IF($B333&gt;0,(GETPIVOTDATA(" New Life Insurance",'$ Pivot Table'!$A$3,"State","AR","Category",9,"Category2","Two-Year"))/$B333)*100</f>
        <v>0.20507814525937032</v>
      </c>
      <c r="K333" s="32"/>
      <c r="L333" s="32">
        <f>IF($B333&gt;0,(GETPIVOTDATA(" New Worker's Comp",'$ Pivot Table'!$A$3,"State","AR","Category",9,"Category2","Two-Year"))/$B333)*100</f>
        <v>9.5073834719386907E-2</v>
      </c>
      <c r="M333" s="32">
        <f>IF($B333&gt;0,(GETPIVOTDATA(" New Tuition Plans",'$ Pivot Table'!$A$3,"State","AR","Category",9,"Category2","Two-Year"))/$B333)*100</f>
        <v>1.2131838919538136</v>
      </c>
      <c r="N333" s="32">
        <f>IF($B333&gt;0,(GETPIVOTDATA(" New Other",'$ Pivot Table'!$A$3,"State","AR","Category",9,"Category2","Two-Year"))/$B333)*100</f>
        <v>0</v>
      </c>
      <c r="O333" s="90">
        <f>IF($B333&gt;0,(GETPIVOTDATA(" New Total",'$ Pivot Table'!$A$3,"State","AR","Category",9,"Category2","Two-Year"))/$B333)*100</f>
        <v>26.146144549561967</v>
      </c>
    </row>
    <row r="334" spans="1:16">
      <c r="A334" s="149" t="s">
        <v>494</v>
      </c>
      <c r="B334" s="617">
        <f>+'[2]NEW Tables 143-162'!F42</f>
        <v>63829.264999999999</v>
      </c>
      <c r="C334" s="32">
        <f>IF($B334&gt;0,(GETPIVOTDATA(" New Retirement",'$ Pivot Table'!$A$3,"State","DE","Category",9,"Category2","Two-Year"))/$B334)*100</f>
        <v>17.555129491151121</v>
      </c>
      <c r="D334" s="32">
        <f>IF($B334&gt;0,(GETPIVOTDATA(" New Health",'$ Pivot Table'!$A$3,"State","DE","Category",9,"Category2","Two-Year"))/$B334)*100</f>
        <v>18.576737076389811</v>
      </c>
      <c r="E334" s="56">
        <f>IF($B334&gt;0,(GETPIVOTDATA(" New Disability",'$ Pivot Table'!$A$3,"State","DE","Category",9,"Category2","Two-Year"))/$B334)*100</f>
        <v>3.6524521053678642E-2</v>
      </c>
      <c r="F334" s="32"/>
      <c r="G334" s="32">
        <f>IF($B334&gt;0,(GETPIVOTDATA(" New Social Security",'$ Pivot Table'!$A$3,"State","DE","Category",9,"Category2","Two-Year"))/$B334)*100</f>
        <v>7.8079527209554005</v>
      </c>
      <c r="H334" s="32"/>
      <c r="I334" s="32">
        <f>IF($B334&gt;0,(GETPIVOTDATA(" New Unemployment",'$ Pivot Table'!$A$3,"State","DE","Category",9,"Category2","Two-Year"))/$B334)*100</f>
        <v>0.1850248471449577</v>
      </c>
      <c r="J334" s="32">
        <f>IF($B334&gt;0,(GETPIVOTDATA(" New Life Insurance",'$ Pivot Table'!$A$3,"State","DE","Category",9,"Category2","Two-Year"))/$B334)*100</f>
        <v>0.32198386379469746</v>
      </c>
      <c r="K334" s="32"/>
      <c r="L334" s="32">
        <f>IF($B334&gt;0,(GETPIVOTDATA(" New Worker's Comp",'$ Pivot Table'!$A$3,"State","DE","Category",9,"Category2","Two-Year"))/$B334)*100</f>
        <v>1.9902639570318306</v>
      </c>
      <c r="M334" s="32">
        <f>IF($B334&gt;0,(GETPIVOTDATA(" New Tuition Plans",'$ Pivot Table'!$A$3,"State","DE","Category",9,"Category2","Two-Year"))/$B334)*100</f>
        <v>0</v>
      </c>
      <c r="N334" s="32">
        <f>IF($B334&gt;0,(GETPIVOTDATA(" New Other",'$ Pivot Table'!$A$3,"State","DE","Category",9,"Category2","Two-Year"))/$B334)*100</f>
        <v>0</v>
      </c>
      <c r="O334" s="90">
        <f>IF($B334&gt;0,(GETPIVOTDATA(" New Total",'$ Pivot Table'!$A$3,"State","DE","Category",9,"Category2","Two-Year"))/$B334)*100</f>
        <v>43.35091125134111</v>
      </c>
    </row>
    <row r="335" spans="1:16">
      <c r="A335" s="149" t="s">
        <v>481</v>
      </c>
      <c r="B335" s="617">
        <f>+'[2]NEW Tables 143-162'!F43</f>
        <v>46161.699769053121</v>
      </c>
      <c r="C335" s="32">
        <f>IF($B335&gt;0,(GETPIVOTDATA(" New Retirement",'$ Pivot Table'!$A$3,"State","FL","Category",9,"Category2","Two-Year"))/$B335)*100</f>
        <v>11.668581188643358</v>
      </c>
      <c r="D335" s="32">
        <f>IF($B335&gt;0,(GETPIVOTDATA(" New Health",'$ Pivot Table'!$A$3,"State","FL","Category",9,"Category2","Two-Year"))/$B335)*100</f>
        <v>11.29897514234295</v>
      </c>
      <c r="E335" s="32">
        <f>IF($B335&gt;0,(GETPIVOTDATA(" New Disability",'$ Pivot Table'!$A$3,"State","FL","Category",9,"Category2","Two-Year"))/$B335)*100</f>
        <v>0.575009073738871</v>
      </c>
      <c r="F335" s="32"/>
      <c r="G335" s="32">
        <f>IF($B335&gt;0,(GETPIVOTDATA(" New Social Security",'$ Pivot Table'!$A$3,"State","FL","Category",9,"Category2","Two-Year"))/$B335)*100</f>
        <v>8.1431947441364692</v>
      </c>
      <c r="H335" s="32"/>
      <c r="I335" s="32">
        <f>IF($B335&gt;0,(GETPIVOTDATA(" New Unemployment",'$ Pivot Table'!$A$3,"State","FL","Category",9,"Category2","Two-Year"))/$B335)*100</f>
        <v>0.44313067168172293</v>
      </c>
      <c r="J335" s="32">
        <f>IF($B335&gt;0,(GETPIVOTDATA(" New Life Insurance",'$ Pivot Table'!$A$3,"State","FL","Category",9,"Category2","Two-Year"))/$B335)*100</f>
        <v>0.18636692632725527</v>
      </c>
      <c r="K335" s="32"/>
      <c r="L335" s="32">
        <f>IF($B335&gt;0,(GETPIVOTDATA(" New Worker's Comp",'$ Pivot Table'!$A$3,"State","FL","Category",9,"Category2","Two-Year"))/$B335)*100</f>
        <v>0.76879380316723989</v>
      </c>
      <c r="M335" s="32">
        <f>IF($B335&gt;0,(GETPIVOTDATA(" New Tuition Plans",'$ Pivot Table'!$A$3,"State","FL","Category",9,"Category2","Two-Year"))/$B335)*100</f>
        <v>2.2148231220147108</v>
      </c>
      <c r="N335" s="32">
        <f>IF($B335&gt;0,(GETPIVOTDATA(" New Other",'$ Pivot Table'!$A$3,"State","FL","Category",9,"Category2","Two-Year"))/$B335)*100</f>
        <v>1.5625674442587536</v>
      </c>
      <c r="O335" s="90">
        <f>IF($B335&gt;0,(GETPIVOTDATA(" New Total",'$ Pivot Table'!$A$3,"State","FL","Category",9,"Category2","Two-Year"))/$B335)*100</f>
        <v>30.78812190709661</v>
      </c>
    </row>
    <row r="336" spans="1:16">
      <c r="A336" s="149"/>
      <c r="B336" s="617">
        <f>+'[2]NEW Tables 143-162'!F44</f>
        <v>0</v>
      </c>
      <c r="C336" s="32"/>
      <c r="D336" s="34"/>
      <c r="E336" s="32"/>
      <c r="F336" s="32"/>
      <c r="G336" s="32"/>
      <c r="H336" s="32"/>
      <c r="I336" s="32"/>
      <c r="J336" s="32"/>
      <c r="K336" s="32"/>
      <c r="L336" s="32"/>
      <c r="M336" s="32"/>
      <c r="N336" s="32"/>
      <c r="O336" s="90"/>
    </row>
    <row r="337" spans="1:22">
      <c r="A337" s="149" t="s">
        <v>482</v>
      </c>
      <c r="B337" s="617">
        <f>+'[2]NEW Tables 143-162'!F45</f>
        <v>46792.740757942782</v>
      </c>
      <c r="C337" s="32">
        <f>IF($B337&gt;0,(GETPIVOTDATA(" New Retirement",'$ Pivot Table'!$A$3,"State","GA","Category",9,"Category2","Two-Year"))/$B337)*100</f>
        <v>10.034423621632815</v>
      </c>
      <c r="D337" s="32">
        <f>IF($B337&gt;0,(GETPIVOTDATA(" New Health",'$ Pivot Table'!$A$3,"State","GA","Category",9,"Category2","Two-Year"))/$B337)*100</f>
        <v>14.762524739231054</v>
      </c>
      <c r="E337" s="32">
        <f>IF($B337&gt;0,(GETPIVOTDATA(" New Disability",'$ Pivot Table'!$A$3,"State","GA","Category",9,"Category2","Two-Year"))/$B337)*100</f>
        <v>0</v>
      </c>
      <c r="F337" s="32"/>
      <c r="G337" s="32">
        <f>IF($B337&gt;0,(GETPIVOTDATA(" New Social Security",'$ Pivot Table'!$A$3,"State","GA","Category",9,"Category2","Two-Year"))/$B337)*100</f>
        <v>7.167296118215952</v>
      </c>
      <c r="H337" s="32"/>
      <c r="I337" s="32">
        <f>IF($B337&gt;0,(GETPIVOTDATA(" New Unemployment",'$ Pivot Table'!$A$3,"State","GA","Category",9,"Category2","Two-Year"))/$B337)*100</f>
        <v>0.30132879099642418</v>
      </c>
      <c r="J337" s="32">
        <f>IF($B337&gt;0,(GETPIVOTDATA(" New Life Insurance",'$ Pivot Table'!$A$3,"State","GA","Category",9,"Category2","Two-Year"))/$B337)*100</f>
        <v>0.36628120880998738</v>
      </c>
      <c r="K337" s="32"/>
      <c r="L337" s="32">
        <f>IF($B337&gt;0,(GETPIVOTDATA(" New Worker's Comp",'$ Pivot Table'!$A$3,"State","GA","Category",9,"Category2","Two-Year"))/$B337)*100</f>
        <v>0.26947008526790578</v>
      </c>
      <c r="M337" s="32">
        <f>IF($B337&gt;0,(GETPIVOTDATA(" New Tuition Plans",'$ Pivot Table'!$A$3,"State","GA","Category",9,"Category2","Two-Year"))/$B337)*100</f>
        <v>0</v>
      </c>
      <c r="N337" s="32">
        <f>IF($B337&gt;0,(GETPIVOTDATA(" New Other",'$ Pivot Table'!$A$3,"State","GA","Category",9,"Category2","Two-Year"))/$B337)*100</f>
        <v>0</v>
      </c>
      <c r="O337" s="90">
        <f>IF($B337&gt;0,(GETPIVOTDATA(" New Total",'$ Pivot Table'!$A$3,"State","GA","Category",9,"Category2","Two-Year"))/$B337)*100</f>
        <v>29.305169776530853</v>
      </c>
    </row>
    <row r="338" spans="1:22">
      <c r="A338" s="149" t="s">
        <v>483</v>
      </c>
      <c r="B338" s="617">
        <f>+'[2]NEW Tables 143-162'!F46</f>
        <v>47750.474797687864</v>
      </c>
      <c r="C338" s="32">
        <f>IF($B338&gt;0,(GETPIVOTDATA(" New Retirement",'$ Pivot Table'!$A$3,"State","KY","Category",9,"Category2","Two-Year"))/$B338)*100</f>
        <v>11.50723443399259</v>
      </c>
      <c r="D338" s="32">
        <f>IF($B338&gt;0,(GETPIVOTDATA(" New Health",'$ Pivot Table'!$A$3,"State","KY","Category",9,"Category2","Two-Year"))/$B338)*100</f>
        <v>15.449256746023973</v>
      </c>
      <c r="E338" s="32">
        <f>IF($B338&gt;0,(GETPIVOTDATA(" New Disability",'$ Pivot Table'!$A$3,"State","KY","Category",9,"Category2","Two-Year"))/$B338)*100</f>
        <v>0</v>
      </c>
      <c r="F338" s="32"/>
      <c r="G338" s="32">
        <f>IF($B338&gt;0,(GETPIVOTDATA(" New Social Security",'$ Pivot Table'!$A$3,"State","KY","Category",9,"Category2","Two-Year"))/$B338)*100</f>
        <v>6.1578832226458964</v>
      </c>
      <c r="H338" s="32"/>
      <c r="I338" s="32">
        <f>IF($B338&gt;0,(GETPIVOTDATA(" New Unemployment",'$ Pivot Table'!$A$3,"State","KY","Category",9,"Category2","Two-Year"))/$B338)*100</f>
        <v>0</v>
      </c>
      <c r="J338" s="56">
        <f>IF($B338&gt;0,(GETPIVOTDATA(" New Life Insurance",'$ Pivot Table'!$A$3,"State","KY","Category",9,"Category2","Two-Year"))/$B338)*100</f>
        <v>3.4270263399073658E-2</v>
      </c>
      <c r="K338" s="32"/>
      <c r="L338" s="32">
        <f>IF($B338&gt;0,(GETPIVOTDATA(" New Worker's Comp",'$ Pivot Table'!$A$3,"State","KY","Category",9,"Category2","Two-Year"))/$B338)*100</f>
        <v>0</v>
      </c>
      <c r="M338" s="32">
        <f>IF($B338&gt;0,(GETPIVOTDATA(" New Tuition Plans",'$ Pivot Table'!$A$3,"State","KY","Category",9,"Category2","Two-Year"))/$B338)*100</f>
        <v>2.0279848899847868</v>
      </c>
      <c r="N338" s="32">
        <f>IF($B338&gt;0,(GETPIVOTDATA(" New Other",'$ Pivot Table'!$A$3,"State","KY","Category",9,"Category2","Two-Year"))/$B338)*100</f>
        <v>0</v>
      </c>
      <c r="O338" s="90">
        <f>IF($B338&gt;0,(GETPIVOTDATA(" New Total",'$ Pivot Table'!$A$3,"State","KY","Category",9,"Category2","Two-Year"))/$B338)*100</f>
        <v>32.244288201495074</v>
      </c>
    </row>
    <row r="339" spans="1:22">
      <c r="A339" s="149" t="s">
        <v>484</v>
      </c>
      <c r="B339" s="617">
        <f>+'[2]NEW Tables 143-162'!F47</f>
        <v>43833.858449999992</v>
      </c>
      <c r="C339" s="32">
        <f>IF($B339&gt;0,(GETPIVOTDATA(" New Retirement",'$ Pivot Table'!$A$3,"State","LA","Category",9,"Category2","Two-Year"))/$B339)*100</f>
        <v>14.202025680517858</v>
      </c>
      <c r="D339" s="32">
        <f>IF($B339&gt;0,(GETPIVOTDATA(" New Health",'$ Pivot Table'!$A$3,"State","LA","Category",9,"Category2","Two-Year"))/$B339)*100</f>
        <v>11.362875504987361</v>
      </c>
      <c r="E339" s="32">
        <f>IF($B339&gt;0,(GETPIVOTDATA(" New Disability",'$ Pivot Table'!$A$3,"State","LA","Category",9,"Category2","Two-Year"))/$B339)*100</f>
        <v>0</v>
      </c>
      <c r="F339" s="32"/>
      <c r="G339" s="32">
        <f>IF($B339&gt;0,(GETPIVOTDATA(" New Social Security",'$ Pivot Table'!$A$3,"State","LA","Category",9,"Category2","Two-Year"))/$B339)*100</f>
        <v>1.3770825300841028</v>
      </c>
      <c r="H339" s="32"/>
      <c r="I339" s="32">
        <f>IF($B339&gt;0,(GETPIVOTDATA(" New Unemployment",'$ Pivot Table'!$A$3,"State","LA","Category",9,"Category2","Two-Year"))/$B339)*100</f>
        <v>0</v>
      </c>
      <c r="J339" s="32">
        <f>IF($B339&gt;0,(GETPIVOTDATA(" New Life Insurance",'$ Pivot Table'!$A$3,"State","LA","Category",9,"Category2","Two-Year"))/$B339)*100</f>
        <v>0.40622415250784305</v>
      </c>
      <c r="K339" s="32"/>
      <c r="L339" s="32">
        <f>IF($B339&gt;0,(GETPIVOTDATA(" New Worker's Comp",'$ Pivot Table'!$A$3,"State","LA","Category",9,"Category2","Two-Year"))/$B339)*100</f>
        <v>0.66189402465224356</v>
      </c>
      <c r="M339" s="32">
        <f>IF($B339&gt;0,(GETPIVOTDATA(" New Tuition Plans",'$ Pivot Table'!$A$3,"State","LA","Category",9,"Category2","Two-Year"))/$B339)*100</f>
        <v>0.80075086340020796</v>
      </c>
      <c r="N339" s="32">
        <f>IF($B339&gt;0,(GETPIVOTDATA(" New Other",'$ Pivot Table'!$A$3,"State","LA","Category",9,"Category2","Two-Year"))/$B339)*100</f>
        <v>0</v>
      </c>
      <c r="O339" s="90">
        <f>IF($B339&gt;0,(GETPIVOTDATA(" New Total",'$ Pivot Table'!$A$3,"State","LA","Category",9,"Category2","Two-Year"))/$B339)*100</f>
        <v>22.62989319141467</v>
      </c>
    </row>
    <row r="340" spans="1:22">
      <c r="A340" s="149" t="s">
        <v>485</v>
      </c>
      <c r="B340" s="617">
        <f>+'[2]NEW Tables 143-162'!F48</f>
        <v>60604.163601495733</v>
      </c>
      <c r="C340" s="32">
        <f>IF($B340&gt;0,(GETPIVOTDATA(" New Retirement",'$ Pivot Table'!$A$3,"State","MD","Category",9,"Category2","Two-Year"))/$B340)*100</f>
        <v>10.747878359052281</v>
      </c>
      <c r="D340" s="32">
        <f>IF($B340&gt;0,(GETPIVOTDATA(" New Health",'$ Pivot Table'!$A$3,"State","MD","Category",9,"Category2","Two-Year"))/$B340)*100</f>
        <v>15.668111085097792</v>
      </c>
      <c r="E340" s="32">
        <f>IF($B340&gt;0,(GETPIVOTDATA(" New Disability",'$ Pivot Table'!$A$3,"State","MD","Category",9,"Category2","Two-Year"))/$B340)*100</f>
        <v>0.50301846956313445</v>
      </c>
      <c r="F340" s="32"/>
      <c r="G340" s="32">
        <f>IF($B340&gt;0,(GETPIVOTDATA(" New Social Security",'$ Pivot Table'!$A$3,"State","MD","Category",9,"Category2","Two-Year"))/$B340)*100</f>
        <v>7.7420437595940905</v>
      </c>
      <c r="H340" s="32"/>
      <c r="I340" s="32">
        <f>IF($B340&gt;0,(GETPIVOTDATA(" New Unemployment",'$ Pivot Table'!$A$3,"State","MD","Category",9,"Category2","Two-Year"))/$B340)*100</f>
        <v>0.17207610680186253</v>
      </c>
      <c r="J340" s="32">
        <f>IF($B340&gt;0,(GETPIVOTDATA(" New Life Insurance",'$ Pivot Table'!$A$3,"State","MD","Category",9,"Category2","Two-Year"))/$B340)*100</f>
        <v>0.28643347746905201</v>
      </c>
      <c r="K340" s="32"/>
      <c r="L340" s="32">
        <f>IF($B340&gt;0,(GETPIVOTDATA(" New Worker's Comp",'$ Pivot Table'!$A$3,"State","MD","Category",9,"Category2","Two-Year"))/$B340)*100</f>
        <v>0.36320241355226057</v>
      </c>
      <c r="M340" s="32">
        <f>IF($B340&gt;0,(GETPIVOTDATA(" New Tuition Plans",'$ Pivot Table'!$A$3,"State","MD","Category",9,"Category2","Two-Year"))/$B340)*100</f>
        <v>1.5085989310410854</v>
      </c>
      <c r="N340" s="32">
        <f>IF($B340&gt;0,(GETPIVOTDATA(" New Other",'$ Pivot Table'!$A$3,"State","MD","Category",9,"Category2","Two-Year"))/$B340)*100</f>
        <v>0.61482495866064168</v>
      </c>
      <c r="O340" s="90">
        <f>IF($B340&gt;0,(GETPIVOTDATA(" New Total",'$ Pivot Table'!$A$3,"State","MD","Category",9,"Category2","Two-Year"))/$B340)*100</f>
        <v>33.179817059801579</v>
      </c>
    </row>
    <row r="341" spans="1:22">
      <c r="A341" s="149"/>
      <c r="B341" s="617">
        <f>+'[2]NEW Tables 143-162'!F49</f>
        <v>0</v>
      </c>
      <c r="C341" s="32"/>
      <c r="D341" s="34"/>
      <c r="E341" s="32"/>
      <c r="F341" s="32"/>
      <c r="G341" s="32"/>
      <c r="H341" s="32"/>
      <c r="I341" s="32"/>
      <c r="J341" s="32"/>
      <c r="K341" s="32"/>
      <c r="L341" s="32"/>
      <c r="M341" s="32"/>
      <c r="N341" s="32"/>
      <c r="O341" s="90"/>
    </row>
    <row r="342" spans="1:22">
      <c r="A342" s="149" t="s">
        <v>486</v>
      </c>
      <c r="B342" s="617">
        <f>+'[2]NEW Tables 143-162'!F50</f>
        <v>50427.004317114108</v>
      </c>
      <c r="C342" s="32">
        <f>IF($B342&gt;0,(GETPIVOTDATA(" New Retirement",'$ Pivot Table'!$A$3,"State","MS","Category",9,"Category2","Two-Year"))/$B342)*100</f>
        <v>11.999998893809376</v>
      </c>
      <c r="D342" s="32">
        <f>IF($B342&gt;0,(GETPIVOTDATA(" New Health",'$ Pivot Table'!$A$3,"State","MS","Category",9,"Category2","Two-Year"))/$B342)*100</f>
        <v>8.1716363389000115</v>
      </c>
      <c r="E342" s="32">
        <f>IF($B342&gt;0,(GETPIVOTDATA(" New Disability",'$ Pivot Table'!$A$3,"State","MS","Category",9,"Category2","Two-Year"))/$B342)*100</f>
        <v>0</v>
      </c>
      <c r="F342" s="32"/>
      <c r="G342" s="32">
        <f>IF($B342&gt;0,(GETPIVOTDATA(" New Social Security",'$ Pivot Table'!$A$3,"State","MS","Category",9,"Category2","Two-Year"))/$B342)*100</f>
        <v>7.6500007448652942</v>
      </c>
      <c r="H342" s="32"/>
      <c r="I342" s="32">
        <f>IF($B342&gt;0,(GETPIVOTDATA(" New Unemployment",'$ Pivot Table'!$A$3,"State","MS","Category",9,"Category2","Two-Year"))/$B342)*100</f>
        <v>9.4808125978827221E-2</v>
      </c>
      <c r="J342" s="32">
        <f>IF($B342&gt;0,(GETPIVOTDATA(" New Life Insurance",'$ Pivot Table'!$A$3,"State","MS","Category",9,"Category2","Two-Year"))/$B342)*100</f>
        <v>0.24999868195254771</v>
      </c>
      <c r="K342" s="32"/>
      <c r="L342" s="32">
        <f>IF($B342&gt;0,(GETPIVOTDATA(" New Worker's Comp",'$ Pivot Table'!$A$3,"State","MS","Category",9,"Category2","Two-Year"))/$B342)*100</f>
        <v>0.55503727701965755</v>
      </c>
      <c r="M342" s="32">
        <f>IF($B342&gt;0,(GETPIVOTDATA(" New Tuition Plans",'$ Pivot Table'!$A$3,"State","MS","Category",9,"Category2","Two-Year"))/$B342)*100</f>
        <v>0</v>
      </c>
      <c r="N342" s="32">
        <f>IF($B342&gt;0,(GETPIVOTDATA(" New Other",'$ Pivot Table'!$A$3,"State","MS","Category",9,"Category2","Two-Year"))/$B342)*100</f>
        <v>0.34417521774041698</v>
      </c>
      <c r="O342" s="90">
        <f>IF($B342&gt;0,(GETPIVOTDATA(" New Total",'$ Pivot Table'!$A$3,"State","MS","Category",9,"Category2","Two-Year"))/$B342)*100</f>
        <v>28.603751499428011</v>
      </c>
    </row>
    <row r="343" spans="1:22">
      <c r="A343" s="149" t="s">
        <v>487</v>
      </c>
      <c r="B343" s="617">
        <f>+'[2]NEW Tables 143-162'!F51</f>
        <v>47465.146570397112</v>
      </c>
      <c r="C343" s="32">
        <f>IF($B343&gt;0,(GETPIVOTDATA(" New Retirement",'$ Pivot Table'!$A$3,"State","NC","Category",9,"Category2","Two-Year"))/$B343)*100</f>
        <v>10.341912213695744</v>
      </c>
      <c r="D343" s="32">
        <f>IF($B343&gt;0,(GETPIVOTDATA(" New Health",'$ Pivot Table'!$A$3,"State","NC","Category",9,"Category2","Two-Year"))/$B343)*100</f>
        <v>9.613339717395581</v>
      </c>
      <c r="E343" s="32">
        <f>IF($B343&gt;0,(GETPIVOTDATA(" New Disability",'$ Pivot Table'!$A$3,"State","NC","Category",9,"Category2","Two-Year"))/$B343)*100</f>
        <v>0.60739558528843518</v>
      </c>
      <c r="F343" s="32"/>
      <c r="G343" s="32">
        <f>IF($B343&gt;0,(GETPIVOTDATA(" New Social Security",'$ Pivot Table'!$A$3,"State","NC","Category",9,"Category2","Two-Year"))/$B343)*100</f>
        <v>7.6405548910445269</v>
      </c>
      <c r="H343" s="32"/>
      <c r="I343" s="32">
        <f>IF($B343&gt;0,(GETPIVOTDATA(" New Unemployment",'$ Pivot Table'!$A$3,"State","NC","Category",9,"Category2","Two-Year"))/$B343)*100</f>
        <v>0.35234644855402797</v>
      </c>
      <c r="J343" s="32">
        <f>IF($B343&gt;0,(GETPIVOTDATA(" New Life Insurance",'$ Pivot Table'!$A$3,"State","NC","Category",9,"Category2","Two-Year"))/$B343)*100</f>
        <v>0.19515038295134349</v>
      </c>
      <c r="K343" s="32"/>
      <c r="L343" s="32">
        <f>IF($B343&gt;0,(GETPIVOTDATA(" New Worker's Comp",'$ Pivot Table'!$A$3,"State","NC","Category",9,"Category2","Two-Year"))/$B343)*100</f>
        <v>0.54858367734194358</v>
      </c>
      <c r="M343" s="32">
        <f>IF($B343&gt;0,(GETPIVOTDATA(" New Tuition Plans",'$ Pivot Table'!$A$3,"State","NC","Category",9,"Category2","Two-Year"))/$B343)*100</f>
        <v>0</v>
      </c>
      <c r="N343" s="32">
        <f>IF($B343&gt;0,(GETPIVOTDATA(" New Other",'$ Pivot Table'!$A$3,"State","NC","Category",9,"Category2","Two-Year"))/$B343)*100</f>
        <v>0</v>
      </c>
      <c r="O343" s="90">
        <f>IF($B343&gt;0,(GETPIVOTDATA(" New Total",'$ Pivot Table'!$A$3,"State","NC","Category",9,"Category2","Two-Year"))/$B343)*100</f>
        <v>27.353240485032753</v>
      </c>
    </row>
    <row r="344" spans="1:22">
      <c r="A344" s="149" t="s">
        <v>488</v>
      </c>
      <c r="B344" s="617">
        <f>+'[2]NEW Tables 143-162'!F52</f>
        <v>47222.345874829931</v>
      </c>
      <c r="C344" s="32">
        <f>IF($B344&gt;0,(GETPIVOTDATA(" New Retirement",'$ Pivot Table'!$A$3,"State","OK","Category",9,"Category2","Two-Year"))/$B344)*100</f>
        <v>21.34404523371612</v>
      </c>
      <c r="D344" s="32">
        <f>IF($B344&gt;0,(GETPIVOTDATA(" New Health",'$ Pivot Table'!$A$3,"State","OK","Category",9,"Category2","Two-Year"))/$B344)*100</f>
        <v>11.691974186184588</v>
      </c>
      <c r="E344" s="32">
        <f>IF($B344&gt;0,(GETPIVOTDATA(" New Disability",'$ Pivot Table'!$A$3,"State","OK","Category",9,"Category2","Two-Year"))/$B344)*100</f>
        <v>0</v>
      </c>
      <c r="F344" s="32"/>
      <c r="G344" s="32">
        <f>IF($B344&gt;0,(GETPIVOTDATA(" New Social Security",'$ Pivot Table'!$A$3,"State","OK","Category",9,"Category2","Two-Year"))/$B344)*100</f>
        <v>7.6380905190306621</v>
      </c>
      <c r="H344" s="32"/>
      <c r="I344" s="32">
        <f>IF($B344&gt;0,(GETPIVOTDATA(" New Unemployment",'$ Pivot Table'!$A$3,"State","OK","Category",9,"Category2","Two-Year"))/$B344)*100</f>
        <v>0.27942063687726937</v>
      </c>
      <c r="J344" s="32">
        <f>IF($B344&gt;0,(GETPIVOTDATA(" New Life Insurance",'$ Pivot Table'!$A$3,"State","OK","Category",9,"Category2","Two-Year"))/$B344)*100</f>
        <v>0.49064219663330155</v>
      </c>
      <c r="K344" s="32"/>
      <c r="L344" s="32">
        <f>IF($B344&gt;0,(GETPIVOTDATA(" New Worker's Comp",'$ Pivot Table'!$A$3,"State","OK","Category",9,"Category2","Two-Year"))/$B344)*100</f>
        <v>0.60999725360680745</v>
      </c>
      <c r="M344" s="32">
        <f>IF($B344&gt;0,(GETPIVOTDATA(" New Tuition Plans",'$ Pivot Table'!$A$3,"State","OK","Category",9,"Category2","Two-Year"))/$B344)*100</f>
        <v>0</v>
      </c>
      <c r="N344" s="32">
        <f>IF($B344&gt;0,(GETPIVOTDATA(" New Other",'$ Pivot Table'!$A$3,"State","OK","Category",9,"Category2","Two-Year"))/$B344)*100</f>
        <v>0.58959029287729459</v>
      </c>
      <c r="O344" s="90">
        <f>IF($B344&gt;0,(GETPIVOTDATA(" New Total",'$ Pivot Table'!$A$3,"State","OK","Category",9,"Category2","Two-Year"))/$B344)*100</f>
        <v>42.300696860751955</v>
      </c>
    </row>
    <row r="345" spans="1:22">
      <c r="A345" s="149" t="s">
        <v>489</v>
      </c>
      <c r="B345" s="617">
        <f>+'[2]NEW Tables 143-162'!F53</f>
        <v>45738.080967402733</v>
      </c>
      <c r="C345" s="32">
        <f>IF($B345&gt;0,(GETPIVOTDATA(" New Retirement",'$ Pivot Table'!$A$3,"State","SC","Category",9,"Category2","Two-Year"))/$B345)*100</f>
        <v>12.452191149648199</v>
      </c>
      <c r="D345" s="32">
        <f>IF($B345&gt;0,(GETPIVOTDATA(" New Health",'$ Pivot Table'!$A$3,"State","SC","Category",9,"Category2","Two-Year"))/$B345)*100</f>
        <v>9.0120744112662443</v>
      </c>
      <c r="E345" s="32">
        <f>IF($B345&gt;0,(GETPIVOTDATA(" New Disability",'$ Pivot Table'!$A$3,"State","SC","Category",9,"Category2","Two-Year"))/$B345)*100</f>
        <v>8.3095882537415997E-2</v>
      </c>
      <c r="F345" s="32"/>
      <c r="G345" s="32">
        <f>IF($B345&gt;0,(GETPIVOTDATA(" New Social Security",'$ Pivot Table'!$A$3,"State","SC","Category",9,"Category2","Two-Year"))/$B345)*100</f>
        <v>7.443320980349986</v>
      </c>
      <c r="H345" s="32"/>
      <c r="I345" s="32">
        <f>IF($B345&gt;0,(GETPIVOTDATA(" New Unemployment",'$ Pivot Table'!$A$3,"State","SC","Category",9,"Category2","Two-Year"))/$B345)*100</f>
        <v>0.31703397815684164</v>
      </c>
      <c r="J345" s="56">
        <f>IF($B345&gt;0,(GETPIVOTDATA(" New Life Insurance",'$ Pivot Table'!$A$3,"State","SC","Category",9,"Category2","Two-Year"))/$B345)*100</f>
        <v>4.8821413483765952E-2</v>
      </c>
      <c r="K345" s="32"/>
      <c r="L345" s="32">
        <f>IF($B345&gt;0,(GETPIVOTDATA(" New Worker's Comp",'$ Pivot Table'!$A$3,"State","SC","Category",9,"Category2","Two-Year"))/$B345)*100</f>
        <v>0.98442383787447907</v>
      </c>
      <c r="M345" s="32">
        <f>IF($B345&gt;0,(GETPIVOTDATA(" New Tuition Plans",'$ Pivot Table'!$A$3,"State","SC","Category",9,"Category2","Two-Year"))/$B345)*100</f>
        <v>0</v>
      </c>
      <c r="N345" s="32">
        <f>IF($B345&gt;0,(GETPIVOTDATA(" New Other",'$ Pivot Table'!$A$3,"State","SC","Category",9,"Category2","Two-Year"))/$B345)*100</f>
        <v>0</v>
      </c>
      <c r="O345" s="90">
        <f>IF($B345&gt;0,(GETPIVOTDATA(" New Total",'$ Pivot Table'!$A$3,"State","SC","Category",9,"Category2","Two-Year"))/$B345)*100</f>
        <v>29.996304335606332</v>
      </c>
    </row>
    <row r="346" spans="1:22">
      <c r="A346" s="149"/>
      <c r="B346" s="617">
        <f>+'[2]NEW Tables 143-162'!F54</f>
        <v>0</v>
      </c>
      <c r="C346" s="32"/>
      <c r="D346" s="34"/>
      <c r="E346" s="32"/>
      <c r="F346" s="32"/>
      <c r="G346" s="32"/>
      <c r="H346" s="32"/>
      <c r="I346" s="32"/>
      <c r="J346" s="32"/>
      <c r="K346" s="32"/>
      <c r="L346" s="32"/>
      <c r="M346" s="32"/>
      <c r="N346" s="32"/>
      <c r="O346" s="90"/>
    </row>
    <row r="347" spans="1:22">
      <c r="A347" s="149" t="s">
        <v>490</v>
      </c>
      <c r="B347" s="617">
        <f>+'[2]NEW Tables 143-162'!F55</f>
        <v>46134.112525698831</v>
      </c>
      <c r="C347" s="28">
        <f>IF($B347&gt;0,(GETPIVOTDATA(" New Retirement",'$ Pivot Table'!$A$3,"State","TN","Category",9,"Category2","Two-Year"))/$B347)*100</f>
        <v>12.59105499107744</v>
      </c>
      <c r="D347" s="28">
        <f>IF($B347&gt;0,(GETPIVOTDATA(" New Health",'$ Pivot Table'!$A$3,"State","TN","Category",9,"Category2","Two-Year"))/$B347)*100</f>
        <v>20.544957160706034</v>
      </c>
      <c r="E347" s="28">
        <f>IF($B347&gt;0,(GETPIVOTDATA(" New Disability",'$ Pivot Table'!$A$3,"State","TN","Category",9,"Category2","Two-Year"))/$B347)*100</f>
        <v>0</v>
      </c>
      <c r="F347" s="28"/>
      <c r="G347" s="28">
        <f>IF($B347&gt;0,(GETPIVOTDATA(" New Social Security",'$ Pivot Table'!$A$3,"State","TN","Category",9,"Category2","Two-Year"))/$B347)*100</f>
        <v>7.5845155929485504</v>
      </c>
      <c r="H347" s="28"/>
      <c r="I347" s="28">
        <f>IF($B347&gt;0,(GETPIVOTDATA(" New Unemployment",'$ Pivot Table'!$A$3,"State","TN","Category",9,"Category2","Two-Year"))/$B347)*100</f>
        <v>0</v>
      </c>
      <c r="J347" s="28">
        <f>IF($B347&gt;0,(GETPIVOTDATA(" New Life Insurance",'$ Pivot Table'!$A$3,"State","TN","Category",9,"Category2","Two-Year"))/$B347)*100</f>
        <v>0.12180671423204839</v>
      </c>
      <c r="K347" s="28"/>
      <c r="L347" s="28">
        <f>IF($B347&gt;0,(GETPIVOTDATA(" New Worker's Comp",'$ Pivot Table'!$A$3,"State","TN","Category",9,"Category2","Two-Year"))/$B347)*100</f>
        <v>0</v>
      </c>
      <c r="M347" s="28">
        <f>IF($B347&gt;0,(GETPIVOTDATA(" New Tuition Plans",'$ Pivot Table'!$A$3,"State","TN","Category",9,"Category2","Two-Year"))/$B347)*100</f>
        <v>3.596832313057551</v>
      </c>
      <c r="N347" s="28">
        <f>IF($B347&gt;0,(GETPIVOTDATA(" New Other",'$ Pivot Table'!$A$3,"State","TN","Category",9,"Category2","Two-Year"))/$B347)*100</f>
        <v>1.2606897767395491</v>
      </c>
      <c r="O347" s="86">
        <f>IF($B347&gt;0,(GETPIVOTDATA(" New Total",'$ Pivot Table'!$A$3,"State","TN","Category",9,"Category2","Two-Year"))/$B347)*100</f>
        <v>39.008176016950443</v>
      </c>
    </row>
    <row r="348" spans="1:22">
      <c r="A348" s="149" t="s">
        <v>491</v>
      </c>
      <c r="B348" s="617">
        <f>+'[2]NEW Tables 143-162'!F56</f>
        <v>48412.433266423359</v>
      </c>
      <c r="C348" s="28">
        <f>IF($B348&gt;0,(GETPIVOTDATA(" New Retirement",'$ Pivot Table'!$A$3,"State","TX","Category",9,"Category2","Two-Year"))/$B348)*100</f>
        <v>6.9690257369826956</v>
      </c>
      <c r="D348" s="28">
        <f>IF($B348&gt;0,(GETPIVOTDATA(" New Health",'$ Pivot Table'!$A$3,"State","TX","Category",9,"Category2","Two-Year"))/$B348)*100</f>
        <v>12.918659833940591</v>
      </c>
      <c r="E348" s="28">
        <f>IF($B348&gt;0,(GETPIVOTDATA(" New Disability",'$ Pivot Table'!$A$3,"State","TX","Category",9,"Category2","Two-Year"))/$B348)*100</f>
        <v>0.76214590908722735</v>
      </c>
      <c r="F348" s="28"/>
      <c r="G348" s="28">
        <f>IF($B348&gt;0,(GETPIVOTDATA(" New Social Security",'$ Pivot Table'!$A$3,"State","TX","Category",9,"Category2","Two-Year"))/$B348)*100</f>
        <v>6.070631945239362</v>
      </c>
      <c r="H348" s="28"/>
      <c r="I348" s="28">
        <f>IF($B348&gt;0,(GETPIVOTDATA(" New Unemployment",'$ Pivot Table'!$A$3,"State","TX","Category",9,"Category2","Two-Year"))/$B348)*100</f>
        <v>0.6416563482876223</v>
      </c>
      <c r="J348" s="28">
        <f>IF($B348&gt;0,(GETPIVOTDATA(" New Life Insurance",'$ Pivot Table'!$A$3,"State","TX","Category",9,"Category2","Two-Year"))/$B348)*100</f>
        <v>1.3869471473841342</v>
      </c>
      <c r="K348" s="28"/>
      <c r="L348" s="28">
        <f>IF($B348&gt;0,(GETPIVOTDATA(" New Worker's Comp",'$ Pivot Table'!$A$3,"State","TX","Category",9,"Category2","Two-Year"))/$B348)*100</f>
        <v>0.45969932053995782</v>
      </c>
      <c r="M348" s="28">
        <f>IF($B348&gt;0,(GETPIVOTDATA(" New Tuition Plans",'$ Pivot Table'!$A$3,"State","TX","Category",9,"Category2","Two-Year"))/$B348)*100</f>
        <v>0.9468911445857755</v>
      </c>
      <c r="N348" s="28">
        <f>IF($B348&gt;0,(GETPIVOTDATA(" New Other",'$ Pivot Table'!$A$3,"State","TX","Category",9,"Category2","Two-Year"))/$B348)*100</f>
        <v>0.74361062997773231</v>
      </c>
      <c r="O348" s="86">
        <f>IF($B348&gt;0,(GETPIVOTDATA(" New Total",'$ Pivot Table'!$A$3,"State","TX","Category",9,"Category2","Two-Year"))/$B348)*100</f>
        <v>22.487214402566991</v>
      </c>
    </row>
    <row r="349" spans="1:22">
      <c r="A349" s="149" t="s">
        <v>492</v>
      </c>
      <c r="B349" s="617">
        <f>+'[2]NEW Tables 143-162'!F57</f>
        <v>0</v>
      </c>
      <c r="C349" s="28">
        <f>IF($B349&gt;0,(GETPIVOTDATA(" New Retirement",'$ Pivot Table'!$A$3,"State","VA","Category",9,"Category2","Two-Year"))/$B349)*100</f>
        <v>0</v>
      </c>
      <c r="D349" s="28">
        <f>IF($B349&gt;0,(GETPIVOTDATA(" New Health",'$ Pivot Table'!$A$3,"State","VA","Category",9,"Category2","Two-Year"))/$B349)*100</f>
        <v>0</v>
      </c>
      <c r="E349" s="28">
        <f>IF($B349&gt;0,(GETPIVOTDATA(" New Disability",'$ Pivot Table'!$A$3,"State","VA","Category",9,"Category2","Two-Year"))/$B349)*100</f>
        <v>0</v>
      </c>
      <c r="F349" s="28"/>
      <c r="G349" s="28">
        <f>IF($B349&gt;0,(GETPIVOTDATA(" New Social Security",'$ Pivot Table'!$A$3,"State","VA","Category",9,"Category2","Two-Year"))/$B349)*100</f>
        <v>0</v>
      </c>
      <c r="H349" s="28"/>
      <c r="I349" s="28">
        <f>IF($B349&gt;0,(GETPIVOTDATA(" New Unemployment",'$ Pivot Table'!$A$3,"State","VA","Category",9,"Category2","Two-Year"))/$B349)*100</f>
        <v>0</v>
      </c>
      <c r="J349" s="28">
        <f>IF($B349&gt;0,(GETPIVOTDATA(" New Life Insurance",'$ Pivot Table'!$A$3,"State","VA","Category",9,"Category2","Two-Year"))/$B349)*100</f>
        <v>0</v>
      </c>
      <c r="K349" s="28"/>
      <c r="L349" s="28">
        <f>IF($B349&gt;0,(GETPIVOTDATA(" New Worker's Comp",'$ Pivot Table'!$A$3,"State","VA","Category",9,"Category2","Two-Year"))/$B349)*100</f>
        <v>0</v>
      </c>
      <c r="M349" s="28">
        <f>IF($B349&gt;0,(GETPIVOTDATA(" New Tuition Plans",'$ Pivot Table'!$A$3,"State","VA","Category",9,"Category2","Two-Year"))/$B349)*100</f>
        <v>0</v>
      </c>
      <c r="N349" s="28">
        <f>IF($B349&gt;0,(GETPIVOTDATA(" New Other",'$ Pivot Table'!$A$3,"State","VA","Category",9,"Category2","Two-Year"))/$B349)*100</f>
        <v>0</v>
      </c>
      <c r="O349" s="86">
        <f>IF($B349&gt;0,(GETPIVOTDATA(" New Total",'$ Pivot Table'!$A$3,"State","VA","Category",9,"Category2","Two-Year"))/$B349)*100</f>
        <v>0</v>
      </c>
    </row>
    <row r="350" spans="1:22">
      <c r="A350" s="630" t="s">
        <v>493</v>
      </c>
      <c r="B350" s="618">
        <f>+'[2]NEW Tables 143-162'!F58</f>
        <v>0</v>
      </c>
      <c r="C350" s="30">
        <f>IF($B350&gt;0,(GETPIVOTDATA(" New Retirement",'$ Pivot Table'!$A$3,"State","WV","Category",9,"Category2","Two-Year"))/$B350)*100</f>
        <v>0</v>
      </c>
      <c r="D350" s="30">
        <f>IF($B350&gt;0,(GETPIVOTDATA(" New Health",'$ Pivot Table'!$A$3,"State","WV","Category",9,"Category2","Two-Year"))/$B350)*100</f>
        <v>0</v>
      </c>
      <c r="E350" s="30">
        <f>IF($B350&gt;0,(GETPIVOTDATA(" New Disability",'$ Pivot Table'!$A$3,"State","WV","Category",9,"Category2","Two-Year"))/$B350)*100</f>
        <v>0</v>
      </c>
      <c r="F350" s="30"/>
      <c r="G350" s="30">
        <f>IF($B350&gt;0,(GETPIVOTDATA(" New Social Security",'$ Pivot Table'!$A$3,"State","WV","Category",9,"Category2","Two-Year"))/$B350)*100</f>
        <v>0</v>
      </c>
      <c r="H350" s="30"/>
      <c r="I350" s="30">
        <f>IF($B350&gt;0,(GETPIVOTDATA(" New Unemployment",'$ Pivot Table'!$A$3,"State","WV","Category",9,"Category2","Two-Year"))/$B350)*100</f>
        <v>0</v>
      </c>
      <c r="J350" s="30">
        <f>IF($B350&gt;0,(GETPIVOTDATA(" New Life Insurance",'$ Pivot Table'!$A$3,"State","WV","Category",9,"Category2","Two-Year"))/$B350)*100</f>
        <v>0</v>
      </c>
      <c r="K350" s="30"/>
      <c r="L350" s="30">
        <f>IF($B350&gt;0,(GETPIVOTDATA(" New Worker's Comp",'$ Pivot Table'!$A$3,"State","WV","Category",9,"Category2","Two-Year"))/$B350)*100</f>
        <v>0</v>
      </c>
      <c r="M350" s="30">
        <f>IF($B350&gt;0,(GETPIVOTDATA(" New Tuition Plans",'$ Pivot Table'!$A$3,"State","WV","Category",9,"Category2","Two-Year"))/$B350)*100</f>
        <v>0</v>
      </c>
      <c r="N350" s="30">
        <f>IF($B350&gt;0,(GETPIVOTDATA(" New Other",'$ Pivot Table'!$A$3,"State","WV","Category",9,"Category2","Two-Year"))/$B350)*100</f>
        <v>0</v>
      </c>
      <c r="O350" s="115">
        <f>IF($B350&gt;0,(GETPIVOTDATA(" New Total",'$ Pivot Table'!$A$3,"State","WV","Category",9,"Category2","Two-Year"))/$B350)*100</f>
        <v>0</v>
      </c>
    </row>
    <row r="351" spans="1:22">
      <c r="A351" s="627" t="s">
        <v>685</v>
      </c>
      <c r="B351" s="31"/>
      <c r="C351" s="28"/>
      <c r="D351" s="28"/>
      <c r="E351" s="28"/>
      <c r="F351" s="28"/>
      <c r="G351" s="28"/>
      <c r="H351" s="28"/>
      <c r="I351" s="28"/>
      <c r="J351" s="28"/>
      <c r="K351" s="28"/>
      <c r="L351" s="28"/>
      <c r="M351" s="28"/>
      <c r="N351" s="28"/>
      <c r="O351" s="86"/>
      <c r="Q351" s="116"/>
      <c r="R351" s="101"/>
      <c r="S351" s="103"/>
      <c r="T351" s="102"/>
      <c r="V351" s="117"/>
    </row>
    <row r="352" spans="1:22" ht="18" customHeight="1">
      <c r="A352" s="628" t="s">
        <v>14</v>
      </c>
      <c r="B352" s="45"/>
      <c r="C352" s="47"/>
      <c r="D352" s="47"/>
      <c r="E352" s="47"/>
      <c r="F352" s="47"/>
      <c r="G352" s="47"/>
      <c r="H352" s="47"/>
      <c r="I352" s="47"/>
      <c r="J352" s="47"/>
      <c r="K352" s="47"/>
      <c r="L352" s="47"/>
      <c r="M352" s="47"/>
      <c r="N352" s="47"/>
      <c r="O352" s="77"/>
      <c r="Q352" s="112"/>
    </row>
    <row r="353" spans="1:29" ht="18" customHeight="1">
      <c r="A353" s="628"/>
      <c r="B353" s="45"/>
      <c r="C353" s="47"/>
      <c r="D353" s="47"/>
      <c r="E353" s="47"/>
      <c r="F353" s="47"/>
      <c r="G353" s="47"/>
      <c r="H353" s="47"/>
      <c r="I353" s="47"/>
      <c r="J353" s="47"/>
      <c r="K353" s="47"/>
      <c r="L353" s="47"/>
      <c r="M353" s="47"/>
      <c r="N353" s="47"/>
      <c r="O353" s="637" t="s">
        <v>1321</v>
      </c>
      <c r="P353" s="172"/>
      <c r="Q353" s="152"/>
      <c r="R353" s="152"/>
      <c r="S353" s="152"/>
      <c r="T353" s="153"/>
      <c r="U353" s="152"/>
      <c r="V353" s="153"/>
      <c r="W353" s="152"/>
      <c r="X353" s="152"/>
      <c r="Y353" s="153"/>
      <c r="Z353" s="152"/>
      <c r="AA353" s="152"/>
      <c r="AB353" s="152"/>
      <c r="AC353" s="154"/>
    </row>
    <row r="354" spans="1:29" ht="18">
      <c r="A354" s="595" t="s">
        <v>1111</v>
      </c>
      <c r="B354" s="48"/>
      <c r="C354" s="48"/>
      <c r="D354" s="48"/>
      <c r="E354" s="48"/>
      <c r="F354" s="48"/>
      <c r="G354" s="48"/>
      <c r="H354" s="48"/>
      <c r="I354" s="48"/>
      <c r="J354" s="48"/>
      <c r="K354" s="48"/>
      <c r="L354" s="48"/>
      <c r="M354" s="48"/>
      <c r="N354" s="48"/>
      <c r="O354" s="48"/>
    </row>
    <row r="355" spans="1:29">
      <c r="A355" s="622"/>
      <c r="B355" s="50"/>
      <c r="C355" s="49"/>
      <c r="D355" s="49"/>
      <c r="E355" s="49"/>
      <c r="F355" s="49"/>
      <c r="G355" s="49"/>
      <c r="H355" s="49"/>
      <c r="I355" s="49"/>
      <c r="J355" s="49"/>
      <c r="K355" s="49"/>
      <c r="L355" s="49"/>
      <c r="M355" s="49"/>
      <c r="N355" s="49"/>
      <c r="O355" s="148"/>
    </row>
    <row r="356" spans="1:29" ht="15.75">
      <c r="A356" s="633" t="s">
        <v>466</v>
      </c>
      <c r="B356" s="48"/>
      <c r="C356" s="48"/>
      <c r="D356" s="48"/>
      <c r="E356" s="48"/>
      <c r="F356" s="48"/>
      <c r="G356" s="48"/>
      <c r="H356" s="48"/>
      <c r="I356" s="48"/>
      <c r="J356" s="48"/>
      <c r="K356" s="48"/>
      <c r="L356" s="48"/>
      <c r="M356" s="48"/>
      <c r="N356" s="48"/>
      <c r="O356" s="147"/>
    </row>
    <row r="357" spans="1:29" ht="15.75">
      <c r="A357" s="633" t="s">
        <v>1153</v>
      </c>
      <c r="B357" s="48"/>
      <c r="C357" s="48"/>
      <c r="D357" s="48"/>
      <c r="E357" s="48"/>
      <c r="F357" s="48"/>
      <c r="G357" s="48"/>
      <c r="H357" s="48"/>
      <c r="I357" s="48"/>
      <c r="J357" s="48"/>
      <c r="K357" s="48"/>
      <c r="L357" s="48"/>
      <c r="M357" s="48"/>
      <c r="N357" s="48"/>
      <c r="O357" s="147"/>
    </row>
    <row r="358" spans="1:29">
      <c r="A358" s="148"/>
      <c r="B358" s="45"/>
      <c r="C358" s="54"/>
      <c r="D358" s="54"/>
      <c r="E358" s="54"/>
      <c r="F358" s="54"/>
      <c r="G358" s="54"/>
      <c r="H358" s="54"/>
      <c r="I358" s="54"/>
      <c r="J358" s="54"/>
      <c r="K358" s="54"/>
      <c r="L358" s="54"/>
      <c r="M358" s="54"/>
      <c r="N358" s="54"/>
      <c r="O358" s="145"/>
    </row>
    <row r="359" spans="1:29">
      <c r="A359" s="634"/>
      <c r="B359" s="2" t="s">
        <v>473</v>
      </c>
      <c r="C359" s="63" t="s">
        <v>593</v>
      </c>
      <c r="D359" s="63"/>
      <c r="E359" s="63"/>
      <c r="F359" s="63"/>
      <c r="G359" s="63"/>
      <c r="H359" s="63"/>
      <c r="I359" s="63"/>
      <c r="J359" s="63"/>
      <c r="K359" s="63"/>
      <c r="L359" s="63"/>
      <c r="M359" s="63"/>
      <c r="N359" s="63"/>
      <c r="O359" s="136"/>
    </row>
    <row r="360" spans="1:29">
      <c r="A360" s="635"/>
      <c r="B360" s="4" t="s">
        <v>474</v>
      </c>
      <c r="C360" s="3" t="s">
        <v>660</v>
      </c>
      <c r="D360" s="3"/>
      <c r="E360" s="57"/>
      <c r="F360" s="57"/>
      <c r="G360" s="3" t="s">
        <v>661</v>
      </c>
      <c r="H360" s="3"/>
      <c r="I360" s="3" t="s">
        <v>662</v>
      </c>
      <c r="J360" s="3" t="s">
        <v>663</v>
      </c>
      <c r="K360" s="3"/>
      <c r="L360" s="3" t="s">
        <v>664</v>
      </c>
      <c r="M360" s="3" t="s">
        <v>665</v>
      </c>
      <c r="N360" s="3"/>
      <c r="O360" s="124" t="s">
        <v>475</v>
      </c>
    </row>
    <row r="361" spans="1:29">
      <c r="A361" s="636"/>
      <c r="B361" s="15" t="s">
        <v>476</v>
      </c>
      <c r="C361" s="16" t="s">
        <v>667</v>
      </c>
      <c r="D361" s="16" t="s">
        <v>708</v>
      </c>
      <c r="E361" s="17" t="s">
        <v>709</v>
      </c>
      <c r="F361" s="17"/>
      <c r="G361" s="16" t="s">
        <v>668</v>
      </c>
      <c r="H361" s="16"/>
      <c r="I361" s="16" t="s">
        <v>667</v>
      </c>
      <c r="J361" s="16" t="s">
        <v>669</v>
      </c>
      <c r="K361" s="16"/>
      <c r="L361" s="16" t="s">
        <v>670</v>
      </c>
      <c r="M361" s="16" t="s">
        <v>671</v>
      </c>
      <c r="N361" s="16" t="s">
        <v>701</v>
      </c>
      <c r="O361" s="146" t="s">
        <v>15</v>
      </c>
    </row>
    <row r="362" spans="1:29">
      <c r="A362" s="149" t="s">
        <v>600</v>
      </c>
      <c r="B362" s="33">
        <f>+'[2]NEW Tables 143-162'!H38</f>
        <v>46014.70414731004</v>
      </c>
      <c r="C362" s="32">
        <f>IF($B362&gt;0,(GETPIVOTDATA(" New Retirement",'$ Pivot Table'!$A$3,"Category",10,"Category2","Two-Year"))/$B362)*100</f>
        <v>11.071783815080135</v>
      </c>
      <c r="D362" s="32">
        <f>IF($B362&gt;0,(GETPIVOTDATA(" New Health",'$ Pivot Table'!$A$3,"Category",10,"Category2","Two-Year"))/$B362)*100</f>
        <v>12.709899288208529</v>
      </c>
      <c r="E362" s="32">
        <f>IF($B362&gt;0,(GETPIVOTDATA(" New Disability",'$ Pivot Table'!$A$3,"Category",10,"Category2","Two-Year"))/$B362)*100</f>
        <v>0.37905120671905695</v>
      </c>
      <c r="F362" s="32"/>
      <c r="G362" s="32">
        <f>IF($B362&gt;0,(GETPIVOTDATA(" New Social Security",'$ Pivot Table'!$A$3,"Category",10,"Category2","Two-Year"))/$B362)*100</f>
        <v>7.4412755975094251</v>
      </c>
      <c r="H362" s="32"/>
      <c r="I362" s="32">
        <f>IF($B362&gt;0,(GETPIVOTDATA(" New Unemployment",'$ Pivot Table'!$A$3,"Category",10,"Category2","Two-Year"))/$B362)*100</f>
        <v>0.41297553099113027</v>
      </c>
      <c r="J362" s="32">
        <f>IF($B362&gt;0,(GETPIVOTDATA(" New Life Insurance",'$ Pivot Table'!$A$3,"Category",10,"Category2","Two-Year"))/$B362)*100</f>
        <v>0.28822341712551197</v>
      </c>
      <c r="K362" s="32"/>
      <c r="L362" s="32">
        <f>IF($B362&gt;0,(GETPIVOTDATA(" New Worker's Comp",'$ Pivot Table'!$A$3,"Category",10,"Category2","Two-Year"))/$B362)*100</f>
        <v>0.56402386833369678</v>
      </c>
      <c r="M362" s="32">
        <f>IF($B362&gt;0,(GETPIVOTDATA(" New Tuition Plans",'$ Pivot Table'!$A$3,"Category",10,"Category2","Two-Year"))/$B362)*100</f>
        <v>2.1933624250591457</v>
      </c>
      <c r="N362" s="32">
        <f>IF($B362&gt;0,(GETPIVOTDATA(" New Other",'$ Pivot Table'!$A$3,"Category",10,"Category2","Two-Year"))/$B362)*100</f>
        <v>0.56270327515218788</v>
      </c>
      <c r="O362" s="90">
        <f>IF($B362&gt;0,(GETPIVOTDATA(" New Total",'$ Pivot Table'!$A$3,"Category",10,"Category2","Two-Year"))/$B362)*100</f>
        <v>30.469196256513246</v>
      </c>
    </row>
    <row r="363" spans="1:29">
      <c r="A363" s="149"/>
      <c r="B363" s="31">
        <f>+'[3]NEW Tables 144-163'!H39</f>
        <v>0</v>
      </c>
      <c r="C363" s="32"/>
      <c r="D363" s="34"/>
      <c r="E363" s="32"/>
      <c r="F363" s="32"/>
      <c r="G363" s="32"/>
      <c r="H363" s="32"/>
      <c r="I363" s="32"/>
      <c r="J363" s="32"/>
      <c r="K363" s="32"/>
      <c r="L363" s="32"/>
      <c r="M363" s="32"/>
      <c r="N363" s="32"/>
      <c r="O363" s="90"/>
    </row>
    <row r="364" spans="1:29">
      <c r="A364" s="149" t="s">
        <v>479</v>
      </c>
      <c r="B364" s="617">
        <f>+'[2]NEW Tables 143-162'!H40</f>
        <v>52201.459242424244</v>
      </c>
      <c r="C364" s="32">
        <f>IF($B364&gt;0,(GETPIVOTDATA(" New Retirement",'$ Pivot Table'!$A$3,"State","AL","Category",10,"Category2","Two-Year"))/$B364)*100</f>
        <v>12.421123607750514</v>
      </c>
      <c r="D364" s="32">
        <f>IF($B364&gt;0,(GETPIVOTDATA(" New Health",'$ Pivot Table'!$A$3,"State","AL","Category",10,"Category2","Two-Year"))/$B364)*100</f>
        <v>17.271663928377759</v>
      </c>
      <c r="E364" s="32">
        <f>IF($B364&gt;0,(GETPIVOTDATA(" New Disability",'$ Pivot Table'!$A$3,"State","AL","Category",10,"Category2","Two-Year"))/$B364)*100</f>
        <v>0</v>
      </c>
      <c r="F364" s="32"/>
      <c r="G364" s="32">
        <f>IF($B364&gt;0,(GETPIVOTDATA(" New Social Security",'$ Pivot Table'!$A$3,"State","AL","Category",10,"Category2","Two-Year"))/$B364)*100</f>
        <v>7.6534029250641344</v>
      </c>
      <c r="H364" s="32"/>
      <c r="I364" s="32">
        <f>IF($B364&gt;0,(GETPIVOTDATA(" New Unemployment",'$ Pivot Table'!$A$3,"State","AL","Category",10,"Category2","Two-Year"))/$B364)*100</f>
        <v>0.25621152317799201</v>
      </c>
      <c r="J364" s="32">
        <f>IF($B364&gt;0,(GETPIVOTDATA(" New Life Insurance",'$ Pivot Table'!$A$3,"State","AL","Category",10,"Category2","Two-Year"))/$B364)*100</f>
        <v>0</v>
      </c>
      <c r="K364" s="32"/>
      <c r="L364" s="32">
        <f>IF($B364&gt;0,(GETPIVOTDATA(" New Worker's Comp",'$ Pivot Table'!$A$3,"State","AL","Category",10,"Category2","Two-Year"))/$B364)*100</f>
        <v>0</v>
      </c>
      <c r="M364" s="32">
        <f>IF($B364&gt;0,(GETPIVOTDATA(" New Tuition Plans",'$ Pivot Table'!$A$3,"State","AL","Category",10,"Category2","Two-Year"))/$B364)*100</f>
        <v>2.4997353024649778</v>
      </c>
      <c r="N364" s="32">
        <f>IF($B364&gt;0,(GETPIVOTDATA(" New Other",'$ Pivot Table'!$A$3,"State","AL","Category",10,"Category2","Two-Year"))/$B364)*100</f>
        <v>0</v>
      </c>
      <c r="O364" s="90">
        <f>IF($B364&gt;0,(GETPIVOTDATA(" New Total",'$ Pivot Table'!$A$3,"State","AL","Category",10,"Category2","Two-Year"))/$B364)*100</f>
        <v>37.331981169712513</v>
      </c>
    </row>
    <row r="365" spans="1:29">
      <c r="A365" s="149" t="s">
        <v>480</v>
      </c>
      <c r="B365" s="617">
        <f>+'[2]NEW Tables 143-162'!H41</f>
        <v>41852.148659777784</v>
      </c>
      <c r="C365" s="32">
        <f>IF($B365&gt;0,(GETPIVOTDATA(" New Retirement",'$ Pivot Table'!$A$3,"State","AR","Category",10,"Category2","Two-Year"))/$B365)*100</f>
        <v>12.443563682296594</v>
      </c>
      <c r="D365" s="32">
        <f>IF($B365&gt;0,(GETPIVOTDATA(" New Health",'$ Pivot Table'!$A$3,"State","AR","Category",10,"Category2","Two-Year"))/$B365)*100</f>
        <v>14.811211829646934</v>
      </c>
      <c r="E365" s="32">
        <f>IF($B365&gt;0,(GETPIVOTDATA(" New Disability",'$ Pivot Table'!$A$3,"State","AR","Category",10,"Category2","Two-Year"))/$B365)*100</f>
        <v>0.40265686073882034</v>
      </c>
      <c r="F365" s="32"/>
      <c r="G365" s="32">
        <f>IF($B365&gt;0,(GETPIVOTDATA(" New Social Security",'$ Pivot Table'!$A$3,"State","AR","Category",10,"Category2","Two-Year"))/$B365)*100</f>
        <v>7.5345560584682962</v>
      </c>
      <c r="H365" s="32"/>
      <c r="I365" s="32">
        <f>IF($B365&gt;0,(GETPIVOTDATA(" New Unemployment",'$ Pivot Table'!$A$3,"State","AR","Category",10,"Category2","Two-Year"))/$B365)*100</f>
        <v>0.3927249974700126</v>
      </c>
      <c r="J365" s="32">
        <f>IF($B365&gt;0,(GETPIVOTDATA(" New Life Insurance",'$ Pivot Table'!$A$3,"State","AR","Category",10,"Category2","Two-Year"))/$B365)*100</f>
        <v>0.36691945172805812</v>
      </c>
      <c r="K365" s="32"/>
      <c r="L365" s="32">
        <f>IF($B365&gt;0,(GETPIVOTDATA(" New Worker's Comp",'$ Pivot Table'!$A$3,"State","AR","Category",10,"Category2","Two-Year"))/$B365)*100</f>
        <v>9.8372081093021063E-2</v>
      </c>
      <c r="M365" s="32">
        <f>IF($B365&gt;0,(GETPIVOTDATA(" New Tuition Plans",'$ Pivot Table'!$A$3,"State","AR","Category",10,"Category2","Two-Year"))/$B365)*100</f>
        <v>2.1666139943619713</v>
      </c>
      <c r="N365" s="32">
        <f>IF($B365&gt;0,(GETPIVOTDATA(" New Other",'$ Pivot Table'!$A$3,"State","AR","Category",10,"Category2","Two-Year"))/$B365)*100</f>
        <v>0</v>
      </c>
      <c r="O365" s="90">
        <f>IF($B365&gt;0,(GETPIVOTDATA(" New Total",'$ Pivot Table'!$A$3,"State","AR","Category",10,"Category2","Two-Year"))/$B365)*100</f>
        <v>32.516869404528073</v>
      </c>
    </row>
    <row r="366" spans="1:29">
      <c r="A366" s="149" t="s">
        <v>494</v>
      </c>
      <c r="B366" s="617">
        <f>+'[2]NEW Tables 143-162'!H42</f>
        <v>63715.690800000004</v>
      </c>
      <c r="C366" s="32">
        <f>IF($B366&gt;0,(GETPIVOTDATA(" New Retirement",'$ Pivot Table'!$A$3,"State","DE","Category",10,"Category2","Two-Year"))/$B366)*100</f>
        <v>17.499644911418184</v>
      </c>
      <c r="D366" s="32">
        <f>IF($B366&gt;0,(GETPIVOTDATA(" New Health",'$ Pivot Table'!$A$3,"State","DE","Category",10,"Category2","Two-Year"))/$B366)*100</f>
        <v>19.077039603512496</v>
      </c>
      <c r="E366" s="32">
        <f>IF($B366&gt;0,(GETPIVOTDATA(" New Disability",'$ Pivot Table'!$A$3,"State","DE","Category",10,"Category2","Two-Year"))/$B366)*100</f>
        <v>1.0593936776402335E-2</v>
      </c>
      <c r="F366" s="32"/>
      <c r="G366" s="32">
        <f>IF($B366&gt;0,(GETPIVOTDATA(" New Social Security",'$ Pivot Table'!$A$3,"State","DE","Category",10,"Category2","Two-Year"))/$B366)*100</f>
        <v>7.7832794210244982</v>
      </c>
      <c r="H366" s="32"/>
      <c r="I366" s="32">
        <f>IF($B366&gt;0,(GETPIVOTDATA(" New Unemployment",'$ Pivot Table'!$A$3,"State","DE","Category",10,"Category2","Two-Year"))/$B366)*100</f>
        <v>0.18441297351515176</v>
      </c>
      <c r="J366" s="32">
        <f>IF($B366&gt;0,(GETPIVOTDATA(" New Life Insurance",'$ Pivot Table'!$A$3,"State","DE","Category",10,"Category2","Two-Year"))/$B366)*100</f>
        <v>0.32535295685752808</v>
      </c>
      <c r="K366" s="32"/>
      <c r="L366" s="32">
        <f>IF($B366&gt;0,(GETPIVOTDATA(" New Worker's Comp",'$ Pivot Table'!$A$3,"State","DE","Category",10,"Category2","Two-Year"))/$B366)*100</f>
        <v>1.9839753506996429</v>
      </c>
      <c r="M366" s="32">
        <f>IF($B366&gt;0,(GETPIVOTDATA(" New Tuition Plans",'$ Pivot Table'!$A$3,"State","DE","Category",10,"Category2","Two-Year"))/$B366)*100</f>
        <v>0</v>
      </c>
      <c r="N366" s="32">
        <f>IF($B366&gt;0,(GETPIVOTDATA(" New Other",'$ Pivot Table'!$A$3,"State","DE","Category",10,"Category2","Two-Year"))/$B366)*100</f>
        <v>0</v>
      </c>
      <c r="O366" s="90">
        <f>IF($B366&gt;0,(GETPIVOTDATA(" New Total",'$ Pivot Table'!$A$3,"State","DE","Category",10,"Category2","Two-Year"))/$B366)*100</f>
        <v>43.544762557847648</v>
      </c>
    </row>
    <row r="367" spans="1:29">
      <c r="A367" s="149" t="s">
        <v>481</v>
      </c>
      <c r="B367" s="617">
        <f>+'[2]NEW Tables 143-162'!H43</f>
        <v>50101.859649122809</v>
      </c>
      <c r="C367" s="32">
        <f>IF($B367&gt;0,(GETPIVOTDATA(" New Retirement",'$ Pivot Table'!$A$3,"State","FL","Category",10,"Category2","Two-Year"))/$B367)*100</f>
        <v>8.3422969953891428</v>
      </c>
      <c r="D367" s="32">
        <f>IF($B367&gt;0,(GETPIVOTDATA(" New Health",'$ Pivot Table'!$A$3,"State","FL","Category",10,"Category2","Two-Year"))/$B367)*100</f>
        <v>7.5919979208271542</v>
      </c>
      <c r="E367" s="32">
        <f>IF($B367&gt;0,(GETPIVOTDATA(" New Disability",'$ Pivot Table'!$A$3,"State","FL","Category",10,"Category2","Two-Year"))/$B367)*100</f>
        <v>0.34522528090893728</v>
      </c>
      <c r="F367" s="32"/>
      <c r="G367" s="32">
        <f>IF($B367&gt;0,(GETPIVOTDATA(" New Social Security",'$ Pivot Table'!$A$3,"State","FL","Category",10,"Category2","Two-Year"))/$B367)*100</f>
        <v>5.9989085584394939</v>
      </c>
      <c r="H367" s="32"/>
      <c r="I367" s="32">
        <f>IF($B367&gt;0,(GETPIVOTDATA(" New Unemployment",'$ Pivot Table'!$A$3,"State","FL","Category",10,"Category2","Two-Year"))/$B367)*100</f>
        <v>0</v>
      </c>
      <c r="J367" s="32">
        <f>IF($B367&gt;0,(GETPIVOTDATA(" New Life Insurance",'$ Pivot Table'!$A$3,"State","FL","Category",10,"Category2","Two-Year"))/$B367)*100</f>
        <v>0.16471691129279387</v>
      </c>
      <c r="K367" s="32"/>
      <c r="L367" s="32">
        <f>IF($B367&gt;0,(GETPIVOTDATA(" New Worker's Comp",'$ Pivot Table'!$A$3,"State","FL","Category",10,"Category2","Two-Year"))/$B367)*100</f>
        <v>0</v>
      </c>
      <c r="M367" s="32">
        <f>IF($B367&gt;0,(GETPIVOTDATA(" New Tuition Plans",'$ Pivot Table'!$A$3,"State","FL","Category",10,"Category2","Two-Year"))/$B367)*100</f>
        <v>0</v>
      </c>
      <c r="N367" s="32">
        <f>IF($B367&gt;0,(GETPIVOTDATA(" New Other",'$ Pivot Table'!$A$3,"State","FL","Category",10,"Category2","Two-Year"))/$B367)*100</f>
        <v>2.3879923416166422E-2</v>
      </c>
      <c r="O367" s="90">
        <f>IF($B367&gt;0,(GETPIVOTDATA(" New Total",'$ Pivot Table'!$A$3,"State","FL","Category",10,"Category2","Two-Year"))/$B367)*100</f>
        <v>22.107070983700773</v>
      </c>
    </row>
    <row r="368" spans="1:29">
      <c r="A368" s="149"/>
      <c r="B368" s="617">
        <f>+'[2]NEW Tables 143-162'!H44</f>
        <v>0</v>
      </c>
      <c r="C368" s="32"/>
      <c r="D368" s="34"/>
      <c r="E368" s="32"/>
      <c r="F368" s="32"/>
      <c r="G368" s="32"/>
      <c r="H368" s="32"/>
      <c r="I368" s="32"/>
      <c r="J368" s="32"/>
      <c r="K368" s="32"/>
      <c r="L368" s="32"/>
      <c r="M368" s="32"/>
      <c r="N368" s="32"/>
      <c r="O368" s="90"/>
    </row>
    <row r="369" spans="1:22">
      <c r="A369" s="149" t="s">
        <v>482</v>
      </c>
      <c r="B369" s="617">
        <f>+'[2]NEW Tables 143-162'!H45</f>
        <v>44524.043983246076</v>
      </c>
      <c r="C369" s="32">
        <f>IF($B369&gt;0,(GETPIVOTDATA(" New Retirement",'$ Pivot Table'!$A$3,"State","GA","Category",10,"Category2","Two-Year"))/$B369)*100</f>
        <v>9.8757603682786161</v>
      </c>
      <c r="D369" s="32">
        <f>IF($B369&gt;0,(GETPIVOTDATA(" New Health",'$ Pivot Table'!$A$3,"State","GA","Category",10,"Category2","Two-Year"))/$B369)*100</f>
        <v>13.673757393619617</v>
      </c>
      <c r="E369" s="32">
        <f>IF($B369&gt;0,(GETPIVOTDATA(" New Disability",'$ Pivot Table'!$A$3,"State","GA","Category",10,"Category2","Two-Year"))/$B369)*100</f>
        <v>0</v>
      </c>
      <c r="F369" s="32"/>
      <c r="G369" s="32">
        <f>IF($B369&gt;0,(GETPIVOTDATA(" New Social Security",'$ Pivot Table'!$A$3,"State","GA","Category",10,"Category2","Two-Year"))/$B369)*100</f>
        <v>7.4833439079299415</v>
      </c>
      <c r="H369" s="32"/>
      <c r="I369" s="32">
        <f>IF($B369&gt;0,(GETPIVOTDATA(" New Unemployment",'$ Pivot Table'!$A$3,"State","GA","Category",10,"Category2","Two-Year"))/$B369)*100</f>
        <v>0.31668282434779915</v>
      </c>
      <c r="J369" s="32">
        <f>IF($B369&gt;0,(GETPIVOTDATA(" New Life Insurance",'$ Pivot Table'!$A$3,"State","GA","Category",10,"Category2","Two-Year"))/$B369)*100</f>
        <v>0.38214787032350228</v>
      </c>
      <c r="K369" s="32"/>
      <c r="L369" s="32">
        <f>IF($B369&gt;0,(GETPIVOTDATA(" New Worker's Comp",'$ Pivot Table'!$A$3,"State","GA","Category",10,"Category2","Two-Year"))/$B369)*100</f>
        <v>0.28752489093015732</v>
      </c>
      <c r="M369" s="32">
        <f>IF($B369&gt;0,(GETPIVOTDATA(" New Tuition Plans",'$ Pivot Table'!$A$3,"State","GA","Category",10,"Category2","Two-Year"))/$B369)*100</f>
        <v>0</v>
      </c>
      <c r="N369" s="32">
        <f>IF($B369&gt;0,(GETPIVOTDATA(" New Other",'$ Pivot Table'!$A$3,"State","GA","Category",10,"Category2","Two-Year"))/$B369)*100</f>
        <v>0</v>
      </c>
      <c r="O369" s="90">
        <f>IF($B369&gt;0,(GETPIVOTDATA(" New Total",'$ Pivot Table'!$A$3,"State","GA","Category",10,"Category2","Two-Year"))/$B369)*100</f>
        <v>29.961406565858912</v>
      </c>
    </row>
    <row r="370" spans="1:22">
      <c r="A370" s="149" t="s">
        <v>483</v>
      </c>
      <c r="B370" s="617">
        <f>+'[2]NEW Tables 143-162'!H46</f>
        <v>49668.487098666672</v>
      </c>
      <c r="C370" s="32">
        <f>IF($B370&gt;0,(GETPIVOTDATA(" New Retirement",'$ Pivot Table'!$A$3,"State","KY","Category",10,"Category2","Two-Year"))/$B370)*100</f>
        <v>10.587757731135808</v>
      </c>
      <c r="D370" s="32">
        <f>IF($B370&gt;0,(GETPIVOTDATA(" New Health",'$ Pivot Table'!$A$3,"State","KY","Category",10,"Category2","Two-Year"))/$B370)*100</f>
        <v>14.919095228668258</v>
      </c>
      <c r="E370" s="32">
        <f>IF($B370&gt;0,(GETPIVOTDATA(" New Disability",'$ Pivot Table'!$A$3,"State","KY","Category",10,"Category2","Two-Year"))/$B370)*100</f>
        <v>0</v>
      </c>
      <c r="F370" s="32"/>
      <c r="G370" s="32">
        <f>IF($B370&gt;0,(GETPIVOTDATA(" New Social Security",'$ Pivot Table'!$A$3,"State","KY","Category",10,"Category2","Two-Year"))/$B370)*100</f>
        <v>7.0705189060629543</v>
      </c>
      <c r="H370" s="32"/>
      <c r="I370" s="32">
        <f>IF($B370&gt;0,(GETPIVOTDATA(" New Unemployment",'$ Pivot Table'!$A$3,"State","KY","Category",10,"Category2","Two-Year"))/$B370)*100</f>
        <v>0</v>
      </c>
      <c r="J370" s="56">
        <f>IF($B370&gt;0,(GETPIVOTDATA(" New Life Insurance",'$ Pivot Table'!$A$3,"State","KY","Category",10,"Category2","Two-Year"))/$B370)*100</f>
        <v>3.4966491080372225E-2</v>
      </c>
      <c r="K370" s="32"/>
      <c r="L370" s="32">
        <f>IF($B370&gt;0,(GETPIVOTDATA(" New Worker's Comp",'$ Pivot Table'!$A$3,"State","KY","Category",10,"Category2","Two-Year"))/$B370)*100</f>
        <v>0</v>
      </c>
      <c r="M370" s="32">
        <f>IF($B370&gt;0,(GETPIVOTDATA(" New Tuition Plans",'$ Pivot Table'!$A$3,"State","KY","Category",10,"Category2","Two-Year"))/$B370)*100</f>
        <v>1.9522990853910449</v>
      </c>
      <c r="N370" s="32">
        <f>IF($B370&gt;0,(GETPIVOTDATA(" New Other",'$ Pivot Table'!$A$3,"State","KY","Category",10,"Category2","Two-Year"))/$B370)*100</f>
        <v>0</v>
      </c>
      <c r="O370" s="90">
        <f>IF($B370&gt;0,(GETPIVOTDATA(" New Total",'$ Pivot Table'!$A$3,"State","KY","Category",10,"Category2","Two-Year"))/$B370)*100</f>
        <v>32.170802632780301</v>
      </c>
    </row>
    <row r="371" spans="1:22">
      <c r="A371" s="149" t="s">
        <v>484</v>
      </c>
      <c r="B371" s="617">
        <f>+'[2]NEW Tables 143-162'!H47</f>
        <v>42470.149945714293</v>
      </c>
      <c r="C371" s="32">
        <f>IF($B371&gt;0,(GETPIVOTDATA(" New Retirement",'$ Pivot Table'!$A$3,"State","LA","Category",10,"Category2","Two-Year"))/$B371)*100</f>
        <v>15.541586625757853</v>
      </c>
      <c r="D371" s="32">
        <f>IF($B371&gt;0,(GETPIVOTDATA(" New Health",'$ Pivot Table'!$A$3,"State","LA","Category",10,"Category2","Two-Year"))/$B371)*100</f>
        <v>11.012821406762798</v>
      </c>
      <c r="E371" s="32">
        <f>IF($B371&gt;0,(GETPIVOTDATA(" New Disability",'$ Pivot Table'!$A$3,"State","LA","Category",10,"Category2","Two-Year"))/$B371)*100</f>
        <v>0</v>
      </c>
      <c r="F371" s="32"/>
      <c r="G371" s="90">
        <f>IF($B371&gt;0,(GETPIVOTDATA(" New Social Security",'$ Pivot Table'!$A$3,"State","LA","Category",10,"Category2","Two-Year"))/$B371)*100</f>
        <v>1.3007984014304048</v>
      </c>
      <c r="H371" s="91">
        <v>2</v>
      </c>
      <c r="I371" s="32">
        <f>IF($B371&gt;0,(GETPIVOTDATA(" New Unemployment",'$ Pivot Table'!$A$3,"State","LA","Category",10,"Category2","Two-Year"))/$B371)*100</f>
        <v>0.46312847559074766</v>
      </c>
      <c r="J371" s="32">
        <f>IF($B371&gt;0,(GETPIVOTDATA(" New Life Insurance",'$ Pivot Table'!$A$3,"State","LA","Category",10,"Category2","Two-Year"))/$B371)*100</f>
        <v>0.3096642881367348</v>
      </c>
      <c r="K371" s="32"/>
      <c r="L371" s="32">
        <f>IF($B371&gt;0,(GETPIVOTDATA(" New Worker's Comp",'$ Pivot Table'!$A$3,"State","LA","Category",10,"Category2","Two-Year"))/$B371)*100</f>
        <v>0</v>
      </c>
      <c r="M371" s="32">
        <f>IF($B371&gt;0,(GETPIVOTDATA(" New Tuition Plans",'$ Pivot Table'!$A$3,"State","LA","Category",10,"Category2","Two-Year"))/$B371)*100</f>
        <v>0</v>
      </c>
      <c r="N371" s="32">
        <f>IF($B371&gt;0,(GETPIVOTDATA(" New Other",'$ Pivot Table'!$A$3,"State","LA","Category",10,"Category2","Two-Year"))/$B371)*100</f>
        <v>0</v>
      </c>
      <c r="O371" s="90">
        <f>IF($B371&gt;0,(GETPIVOTDATA(" New Total",'$ Pivot Table'!$A$3,"State","LA","Category",10,"Category2","Two-Year"))/$B371)*100</f>
        <v>24.907568590559894</v>
      </c>
    </row>
    <row r="372" spans="1:22">
      <c r="A372" s="149" t="s">
        <v>485</v>
      </c>
      <c r="B372" s="617">
        <f>+'[2]NEW Tables 143-162'!H48</f>
        <v>60503.105001587297</v>
      </c>
      <c r="C372" s="32">
        <f>IF($B372&gt;0,(GETPIVOTDATA(" New Retirement",'$ Pivot Table'!$A$3,"State","MD","Category",10,"Category2","Two-Year"))/$B372)*100</f>
        <v>9.1041383987342854</v>
      </c>
      <c r="D372" s="32">
        <f>IF($B372&gt;0,(GETPIVOTDATA(" New Health",'$ Pivot Table'!$A$3,"State","MD","Category",10,"Category2","Two-Year"))/$B372)*100</f>
        <v>18.446269885558852</v>
      </c>
      <c r="E372" s="32">
        <f>IF($B372&gt;0,(GETPIVOTDATA(" New Disability",'$ Pivot Table'!$A$3,"State","MD","Category",10,"Category2","Two-Year"))/$B372)*100</f>
        <v>0.30987479231491227</v>
      </c>
      <c r="F372" s="32"/>
      <c r="G372" s="32">
        <f>IF($B372&gt;0,(GETPIVOTDATA(" New Social Security",'$ Pivot Table'!$A$3,"State","MD","Category",10,"Category2","Two-Year"))/$B372)*100</f>
        <v>7.6684632373733672</v>
      </c>
      <c r="H372" s="32"/>
      <c r="I372" s="32">
        <f>IF($B372&gt;0,(GETPIVOTDATA(" New Unemployment",'$ Pivot Table'!$A$3,"State","MD","Category",10,"Category2","Two-Year"))/$B372)*100</f>
        <v>0.37698478449001277</v>
      </c>
      <c r="J372" s="32">
        <f>IF($B372&gt;0,(GETPIVOTDATA(" New Life Insurance",'$ Pivot Table'!$A$3,"State","MD","Category",10,"Category2","Two-Year"))/$B372)*100</f>
        <v>0.2462216661804352</v>
      </c>
      <c r="K372" s="32"/>
      <c r="L372" s="32">
        <f>IF($B372&gt;0,(GETPIVOTDATA(" New Worker's Comp",'$ Pivot Table'!$A$3,"State","MD","Category",10,"Category2","Two-Year"))/$B372)*100</f>
        <v>0.44152851007813188</v>
      </c>
      <c r="M372" s="32">
        <f>IF($B372&gt;0,(GETPIVOTDATA(" New Tuition Plans",'$ Pivot Table'!$A$3,"State","MD","Category",10,"Category2","Two-Year"))/$B372)*100</f>
        <v>1.601570696205721</v>
      </c>
      <c r="N372" s="32">
        <f>IF($B372&gt;0,(GETPIVOTDATA(" New Other",'$ Pivot Table'!$A$3,"State","MD","Category",10,"Category2","Two-Year"))/$B372)*100</f>
        <v>3.3056154720448316</v>
      </c>
      <c r="O372" s="90">
        <f>IF($B372&gt;0,(GETPIVOTDATA(" New Total",'$ Pivot Table'!$A$3,"State","MD","Category",10,"Category2","Two-Year"))/$B372)*100</f>
        <v>33.720658481129632</v>
      </c>
    </row>
    <row r="373" spans="1:22">
      <c r="A373" s="149"/>
      <c r="B373" s="617">
        <f>+'[2]NEW Tables 143-162'!H49</f>
        <v>0</v>
      </c>
      <c r="C373" s="32"/>
      <c r="D373" s="34"/>
      <c r="E373" s="32"/>
      <c r="F373" s="32"/>
      <c r="G373" s="32"/>
      <c r="H373" s="32"/>
      <c r="I373" s="32"/>
      <c r="J373" s="32"/>
      <c r="K373" s="32"/>
      <c r="L373" s="32"/>
      <c r="M373" s="32"/>
      <c r="N373" s="32"/>
      <c r="O373" s="90"/>
    </row>
    <row r="374" spans="1:22">
      <c r="A374" s="149" t="s">
        <v>486</v>
      </c>
      <c r="B374" s="617">
        <f>+'[2]NEW Tables 143-162'!H50</f>
        <v>46379.342922758617</v>
      </c>
      <c r="C374" s="32">
        <f>IF($B374&gt;0,(GETPIVOTDATA(" New Retirement",'$ Pivot Table'!$A$3,"State","MS","Category",10,"Category2","Two-Year"))/$B374)*100</f>
        <v>11.999992483930932</v>
      </c>
      <c r="D374" s="32">
        <f>IF($B374&gt;0,(GETPIVOTDATA(" New Health",'$ Pivot Table'!$A$3,"State","MS","Category",10,"Category2","Two-Year"))/$B374)*100</f>
        <v>8.9155773806090082</v>
      </c>
      <c r="E374" s="32">
        <f>IF($B374&gt;0,(GETPIVOTDATA(" New Disability",'$ Pivot Table'!$A$3,"State","MS","Category",10,"Category2","Two-Year"))/$B374)*100</f>
        <v>0</v>
      </c>
      <c r="F374" s="32"/>
      <c r="G374" s="32">
        <f>IF($B374&gt;0,(GETPIVOTDATA(" New Social Security",'$ Pivot Table'!$A$3,"State","MS","Category",10,"Category2","Two-Year"))/$B374)*100</f>
        <v>7.6500077297982889</v>
      </c>
      <c r="H374" s="32"/>
      <c r="I374" s="32">
        <f>IF($B374&gt;0,(GETPIVOTDATA(" New Unemployment",'$ Pivot Table'!$A$3,"State","MS","Category",10,"Category2","Two-Year"))/$B374)*100</f>
        <v>0.2081782924323245</v>
      </c>
      <c r="J374" s="32">
        <f>IF($B374&gt;0,(GETPIVOTDATA(" New Life Insurance",'$ Pivot Table'!$A$3,"State","MS","Category",10,"Category2","Two-Year"))/$B374)*100</f>
        <v>0.24999598499166781</v>
      </c>
      <c r="K374" s="32"/>
      <c r="L374" s="32">
        <f>IF($B374&gt;0,(GETPIVOTDATA(" New Worker's Comp",'$ Pivot Table'!$A$3,"State","MS","Category",10,"Category2","Two-Year"))/$B374)*100</f>
        <v>0.48091547780690946</v>
      </c>
      <c r="M374" s="32">
        <f>IF($B374&gt;0,(GETPIVOTDATA(" New Tuition Plans",'$ Pivot Table'!$A$3,"State","MS","Category",10,"Category2","Two-Year"))/$B374)*100</f>
        <v>0</v>
      </c>
      <c r="N374" s="32">
        <f>IF($B374&gt;0,(GETPIVOTDATA(" New Other",'$ Pivot Table'!$A$3,"State","MS","Category",10,"Category2","Two-Year"))/$B374)*100</f>
        <v>0</v>
      </c>
      <c r="O374" s="90">
        <f>IF($B374&gt;0,(GETPIVOTDATA(" New Total",'$ Pivot Table'!$A$3,"State","MS","Category",10,"Category2","Two-Year"))/$B374)*100</f>
        <v>29.174229126658208</v>
      </c>
    </row>
    <row r="375" spans="1:22">
      <c r="A375" s="149" t="s">
        <v>487</v>
      </c>
      <c r="B375" s="617">
        <f>+'[2]NEW Tables 143-162'!H51</f>
        <v>45986.983667409055</v>
      </c>
      <c r="C375" s="32">
        <f>IF($B375&gt;0,(GETPIVOTDATA(" New Retirement",'$ Pivot Table'!$A$3,"State","NC","Category",10,"Category2","Two-Year"))/$B375)*100</f>
        <v>10.115813345278037</v>
      </c>
      <c r="D375" s="32">
        <f>IF($B375&gt;0,(GETPIVOTDATA(" New Health",'$ Pivot Table'!$A$3,"State","NC","Category",10,"Category2","Two-Year"))/$B375)*100</f>
        <v>9.4025925568414994</v>
      </c>
      <c r="E375" s="32">
        <f>IF($B375&gt;0,(GETPIVOTDATA(" New Disability",'$ Pivot Table'!$A$3,"State","NC","Category",10,"Category2","Two-Year"))/$B375)*100</f>
        <v>0</v>
      </c>
      <c r="F375" s="32"/>
      <c r="G375" s="32">
        <f>IF($B375&gt;0,(GETPIVOTDATA(" New Social Security",'$ Pivot Table'!$A$3,"State","NC","Category",10,"Category2","Two-Year"))/$B375)*100</f>
        <v>7.6539873623199171</v>
      </c>
      <c r="H375" s="32"/>
      <c r="I375" s="32">
        <f>IF($B375&gt;0,(GETPIVOTDATA(" New Unemployment",'$ Pivot Table'!$A$3,"State","NC","Category",10,"Category2","Two-Year"))/$B375)*100</f>
        <v>0</v>
      </c>
      <c r="J375" s="32">
        <f>IF($B375&gt;0,(GETPIVOTDATA(" New Life Insurance",'$ Pivot Table'!$A$3,"State","NC","Category",10,"Category2","Two-Year"))/$B375)*100</f>
        <v>0.22016724687647554</v>
      </c>
      <c r="K375" s="32"/>
      <c r="L375" s="32">
        <f>IF($B375&gt;0,(GETPIVOTDATA(" New Worker's Comp",'$ Pivot Table'!$A$3,"State","NC","Category",10,"Category2","Two-Year"))/$B375)*100</f>
        <v>0.25947033514556234</v>
      </c>
      <c r="M375" s="32">
        <f>IF($B375&gt;0,(GETPIVOTDATA(" New Tuition Plans",'$ Pivot Table'!$A$3,"State","NC","Category",10,"Category2","Two-Year"))/$B375)*100</f>
        <v>0</v>
      </c>
      <c r="N375" s="32">
        <f>IF($B375&gt;0,(GETPIVOTDATA(" New Other",'$ Pivot Table'!$A$3,"State","NC","Category",10,"Category2","Two-Year"))/$B375)*100</f>
        <v>0</v>
      </c>
      <c r="O375" s="90">
        <f>IF($B375&gt;0,(GETPIVOTDATA(" New Total",'$ Pivot Table'!$A$3,"State","NC","Category",10,"Category2","Two-Year"))/$B375)*100</f>
        <v>27.101690938756484</v>
      </c>
    </row>
    <row r="376" spans="1:22">
      <c r="A376" s="149" t="s">
        <v>488</v>
      </c>
      <c r="B376" s="617">
        <f>+'[2]NEW Tables 143-162'!H52</f>
        <v>43035.543432978724</v>
      </c>
      <c r="C376" s="32">
        <f>IF($B376&gt;0,(GETPIVOTDATA(" New Retirement",'$ Pivot Table'!$A$3,"State","OK","Category",10,"Category2","Two-Year"))/$B376)*100</f>
        <v>18.329227937563942</v>
      </c>
      <c r="D376" s="32">
        <f>IF($B376&gt;0,(GETPIVOTDATA(" New Health",'$ Pivot Table'!$A$3,"State","OK","Category",10,"Category2","Two-Year"))/$B376)*100</f>
        <v>13.216289778046605</v>
      </c>
      <c r="E376" s="32">
        <f>IF($B376&gt;0,(GETPIVOTDATA(" New Disability",'$ Pivot Table'!$A$3,"State","OK","Category",10,"Category2","Two-Year"))/$B376)*100</f>
        <v>0</v>
      </c>
      <c r="F376" s="32"/>
      <c r="G376" s="32">
        <f>IF($B376&gt;0,(GETPIVOTDATA(" New Social Security",'$ Pivot Table'!$A$3,"State","OK","Category",10,"Category2","Two-Year"))/$B376)*100</f>
        <v>7.3792549650908574</v>
      </c>
      <c r="H376" s="32"/>
      <c r="I376" s="32">
        <f>IF($B376&gt;0,(GETPIVOTDATA(" New Unemployment",'$ Pivot Table'!$A$3,"State","OK","Category",10,"Category2","Two-Year"))/$B376)*100</f>
        <v>0.42557598106188488</v>
      </c>
      <c r="J376" s="32">
        <f>IF($B376&gt;0,(GETPIVOTDATA(" New Life Insurance",'$ Pivot Table'!$A$3,"State","OK","Category",10,"Category2","Two-Year"))/$B376)*100</f>
        <v>0.55734627165113237</v>
      </c>
      <c r="K376" s="32"/>
      <c r="L376" s="32">
        <f>IF($B376&gt;0,(GETPIVOTDATA(" New Worker's Comp",'$ Pivot Table'!$A$3,"State","OK","Category",10,"Category2","Two-Year"))/$B376)*100</f>
        <v>1.1596858705097983</v>
      </c>
      <c r="M376" s="32">
        <f>IF($B376&gt;0,(GETPIVOTDATA(" New Tuition Plans",'$ Pivot Table'!$A$3,"State","OK","Category",10,"Category2","Two-Year"))/$B376)*100</f>
        <v>0</v>
      </c>
      <c r="N376" s="32">
        <f>IF($B376&gt;0,(GETPIVOTDATA(" New Other",'$ Pivot Table'!$A$3,"State","OK","Category",10,"Category2","Two-Year"))/$B376)*100</f>
        <v>0.41164637689550637</v>
      </c>
      <c r="O376" s="90">
        <f>IF($B376&gt;0,(GETPIVOTDATA(" New Total",'$ Pivot Table'!$A$3,"State","OK","Category",10,"Category2","Two-Year"))/$B376)*100</f>
        <v>41.169143111251152</v>
      </c>
    </row>
    <row r="377" spans="1:22">
      <c r="A377" s="149" t="s">
        <v>489</v>
      </c>
      <c r="B377" s="617">
        <f>+'[2]NEW Tables 143-162'!H53</f>
        <v>45150.896684251966</v>
      </c>
      <c r="C377" s="32">
        <f>IF($B377&gt;0,(GETPIVOTDATA(" New Retirement",'$ Pivot Table'!$A$3,"State","SC","Category",10,"Category2","Two-Year"))/$B377)*100</f>
        <v>13.447039065927735</v>
      </c>
      <c r="D377" s="32">
        <f>IF($B377&gt;0,(GETPIVOTDATA(" New Health",'$ Pivot Table'!$A$3,"State","SC","Category",10,"Category2","Two-Year"))/$B377)*100</f>
        <v>10.037681435868166</v>
      </c>
      <c r="E377" s="32">
        <f>IF($B377&gt;0,(GETPIVOTDATA(" New Disability",'$ Pivot Table'!$A$3,"State","SC","Category",10,"Category2","Two-Year"))/$B377)*100</f>
        <v>0</v>
      </c>
      <c r="F377" s="32"/>
      <c r="G377" s="32">
        <f>IF($B377&gt;0,(GETPIVOTDATA(" New Social Security",'$ Pivot Table'!$A$3,"State","SC","Category",10,"Category2","Two-Year"))/$B377)*100</f>
        <v>7.0285497399720995</v>
      </c>
      <c r="H377" s="32"/>
      <c r="I377" s="32">
        <f>IF($B377&gt;0,(GETPIVOTDATA(" New Unemployment",'$ Pivot Table'!$A$3,"State","SC","Category",10,"Category2","Two-Year"))/$B377)*100</f>
        <v>0.51605722454451974</v>
      </c>
      <c r="J377" s="32">
        <f>IF($B377&gt;0,(GETPIVOTDATA(" New Life Insurance",'$ Pivot Table'!$A$3,"State","SC","Category",10,"Category2","Two-Year"))/$B377)*100</f>
        <v>0.14819882862556394</v>
      </c>
      <c r="K377" s="32"/>
      <c r="L377" s="32">
        <f>IF($B377&gt;0,(GETPIVOTDATA(" New Worker's Comp",'$ Pivot Table'!$A$3,"State","SC","Category",10,"Category2","Two-Year"))/$B377)*100</f>
        <v>1.0085395316702777</v>
      </c>
      <c r="M377" s="32">
        <f>IF($B377&gt;0,(GETPIVOTDATA(" New Tuition Plans",'$ Pivot Table'!$A$3,"State","SC","Category",10,"Category2","Two-Year"))/$B377)*100</f>
        <v>0</v>
      </c>
      <c r="N377" s="32">
        <f>IF($B377&gt;0,(GETPIVOTDATA(" New Other",'$ Pivot Table'!$A$3,"State","SC","Category",10,"Category2","Two-Year"))/$B377)*100</f>
        <v>0</v>
      </c>
      <c r="O377" s="90">
        <f>IF($B377&gt;0,(GETPIVOTDATA(" New Total",'$ Pivot Table'!$A$3,"State","SC","Category",10,"Category2","Two-Year"))/$B377)*100</f>
        <v>31.839329370374269</v>
      </c>
    </row>
    <row r="378" spans="1:22">
      <c r="A378" s="149"/>
      <c r="B378" s="617">
        <f>+'[2]NEW Tables 143-162'!H54</f>
        <v>0</v>
      </c>
      <c r="C378" s="32"/>
      <c r="D378" s="34"/>
      <c r="E378" s="32"/>
      <c r="F378" s="32"/>
      <c r="G378" s="32"/>
      <c r="H378" s="32"/>
      <c r="I378" s="32"/>
      <c r="J378" s="32"/>
      <c r="K378" s="32"/>
      <c r="L378" s="32"/>
      <c r="M378" s="32"/>
      <c r="N378" s="32"/>
      <c r="O378" s="90"/>
    </row>
    <row r="379" spans="1:22">
      <c r="A379" s="149" t="s">
        <v>490</v>
      </c>
      <c r="B379" s="617">
        <f>+'[2]NEW Tables 143-162'!H55</f>
        <v>46516.899977358495</v>
      </c>
      <c r="C379" s="28">
        <f>IF($B379&gt;0,(GETPIVOTDATA(" New Retirement",'$ Pivot Table'!$A$3,"State","TN","Category",10,"Category2","Two-Year"))/$B379)*100</f>
        <v>11.976015273729326</v>
      </c>
      <c r="D379" s="28">
        <f>IF($B379&gt;0,(GETPIVOTDATA(" New Health",'$ Pivot Table'!$A$3,"State","TN","Category",10,"Category2","Two-Year"))/$B379)*100</f>
        <v>21.080697469725472</v>
      </c>
      <c r="E379" s="28">
        <f>IF($B379&gt;0,(GETPIVOTDATA(" New Disability",'$ Pivot Table'!$A$3,"State","TN","Category",10,"Category2","Two-Year"))/$B379)*100</f>
        <v>0</v>
      </c>
      <c r="F379" s="28"/>
      <c r="G379" s="28">
        <f>IF($B379&gt;0,(GETPIVOTDATA(" New Social Security",'$ Pivot Table'!$A$3,"State","TN","Category",10,"Category2","Two-Year"))/$B379)*100</f>
        <v>7.6668874571332566</v>
      </c>
      <c r="H379" s="28"/>
      <c r="I379" s="28">
        <f>IF($B379&gt;0,(GETPIVOTDATA(" New Unemployment",'$ Pivot Table'!$A$3,"State","TN","Category",10,"Category2","Two-Year"))/$B379)*100</f>
        <v>0</v>
      </c>
      <c r="J379" s="28">
        <f>IF($B379&gt;0,(GETPIVOTDATA(" New Life Insurance",'$ Pivot Table'!$A$3,"State","TN","Category",10,"Category2","Two-Year"))/$B379)*100</f>
        <v>0.11644396287262283</v>
      </c>
      <c r="K379" s="28"/>
      <c r="L379" s="28">
        <f>IF($B379&gt;0,(GETPIVOTDATA(" New Worker's Comp",'$ Pivot Table'!$A$3,"State","TN","Category",10,"Category2","Two-Year"))/$B379)*100</f>
        <v>0</v>
      </c>
      <c r="M379" s="28">
        <f>IF($B379&gt;0,(GETPIVOTDATA(" New Tuition Plans",'$ Pivot Table'!$A$3,"State","TN","Category",10,"Category2","Two-Year"))/$B379)*100</f>
        <v>0</v>
      </c>
      <c r="N379" s="28">
        <f>IF($B379&gt;0,(GETPIVOTDATA(" New Other",'$ Pivot Table'!$A$3,"State","TN","Category",10,"Category2","Two-Year"))/$B379)*100</f>
        <v>1.2208616159301404</v>
      </c>
      <c r="O379" s="86">
        <f>IF($B379&gt;0,(GETPIVOTDATA(" New Total",'$ Pivot Table'!$A$3,"State","TN","Category",10,"Category2","Two-Year"))/$B379)*100</f>
        <v>38.367365471612061</v>
      </c>
    </row>
    <row r="380" spans="1:22">
      <c r="A380" s="149" t="s">
        <v>491</v>
      </c>
      <c r="B380" s="617">
        <f>+'[2]NEW Tables 143-162'!H56</f>
        <v>43517.247016271191</v>
      </c>
      <c r="C380" s="28">
        <f>IF($B380&gt;0,(GETPIVOTDATA(" New Retirement",'$ Pivot Table'!$A$3,"State","TX","Category",10,"Category2","Two-Year"))/$B380)*100</f>
        <v>7.161371785501756</v>
      </c>
      <c r="D380" s="28">
        <f>IF($B380&gt;0,(GETPIVOTDATA(" New Health",'$ Pivot Table'!$A$3,"State","TX","Category",10,"Category2","Two-Year"))/$B380)*100</f>
        <v>14.302659480244156</v>
      </c>
      <c r="E380" s="28">
        <f>IF($B380&gt;0,(GETPIVOTDATA(" New Disability",'$ Pivot Table'!$A$3,"State","TX","Category",10,"Category2","Two-Year"))/$B380)*100</f>
        <v>0.59396264285639599</v>
      </c>
      <c r="F380" s="28"/>
      <c r="G380" s="28">
        <f>IF($B380&gt;0,(GETPIVOTDATA(" New Social Security",'$ Pivot Table'!$A$3,"State","TX","Category",10,"Category2","Two-Year"))/$B380)*100</f>
        <v>6.7133381772590717</v>
      </c>
      <c r="H380" s="28"/>
      <c r="I380" s="28">
        <f>IF($B380&gt;0,(GETPIVOTDATA(" New Unemployment",'$ Pivot Table'!$A$3,"State","TX","Category",10,"Category2","Two-Year"))/$B380)*100</f>
        <v>0.69945742493959995</v>
      </c>
      <c r="J380" s="28">
        <f>IF($B380&gt;0,(GETPIVOTDATA(" New Life Insurance",'$ Pivot Table'!$A$3,"State","TX","Category",10,"Category2","Two-Year"))/$B380)*100</f>
        <v>0.56468760808828256</v>
      </c>
      <c r="K380" s="28"/>
      <c r="L380" s="28">
        <f>IF($B380&gt;0,(GETPIVOTDATA(" New Worker's Comp",'$ Pivot Table'!$A$3,"State","TX","Category",10,"Category2","Two-Year"))/$B380)*100</f>
        <v>0.40371266772282721</v>
      </c>
      <c r="M380" s="28">
        <f>IF($B380&gt;0,(GETPIVOTDATA(" New Tuition Plans",'$ Pivot Table'!$A$3,"State","TX","Category",10,"Category2","Two-Year"))/$B380)*100</f>
        <v>1.0510775183664012</v>
      </c>
      <c r="N380" s="28">
        <f>IF($B380&gt;0,(GETPIVOTDATA(" New Other",'$ Pivot Table'!$A$3,"State","TX","Category",10,"Category2","Two-Year"))/$B380)*100</f>
        <v>0</v>
      </c>
      <c r="O380" s="86">
        <f>IF($B380&gt;0,(GETPIVOTDATA(" New Total",'$ Pivot Table'!$A$3,"State","TX","Category",10,"Category2","Two-Year"))/$B380)*100</f>
        <v>25.095643487712788</v>
      </c>
    </row>
    <row r="381" spans="1:22">
      <c r="A381" s="149" t="s">
        <v>492</v>
      </c>
      <c r="B381" s="617">
        <f>+'[2]NEW Tables 143-162'!H57</f>
        <v>54434.63636363636</v>
      </c>
      <c r="C381" s="28">
        <f>IF($B381&gt;0,(GETPIVOTDATA(" New Retirement",'$ Pivot Table'!$A$3,"State","VA","Category",10,"Category2","Two-Year"))/$B381)*100</f>
        <v>0</v>
      </c>
      <c r="D381" s="28">
        <f>IF($B381&gt;0,(GETPIVOTDATA(" New Health",'$ Pivot Table'!$A$3,"State","VA","Category",10,"Category2","Two-Year"))/$B381)*100</f>
        <v>0</v>
      </c>
      <c r="E381" s="28">
        <f>IF($B381&gt;0,(GETPIVOTDATA(" New Disability",'$ Pivot Table'!$A$3,"State","VA","Category",10,"Category2","Two-Year"))/$B381)*100</f>
        <v>0</v>
      </c>
      <c r="F381" s="28"/>
      <c r="G381" s="28">
        <f>IF($B381&gt;0,(GETPIVOTDATA(" New Social Security",'$ Pivot Table'!$A$3,"State","VA","Category",10,"Category2","Two-Year"))/$B381)*100</f>
        <v>0</v>
      </c>
      <c r="H381" s="28"/>
      <c r="I381" s="28">
        <f>IF($B381&gt;0,(GETPIVOTDATA(" New Unemployment",'$ Pivot Table'!$A$3,"State","VA","Category",10,"Category2","Two-Year"))/$B381)*100</f>
        <v>0</v>
      </c>
      <c r="J381" s="28">
        <f>IF($B381&gt;0,(GETPIVOTDATA(" New Life Insurance",'$ Pivot Table'!$A$3,"State","VA","Category",10,"Category2","Two-Year"))/$B381)*100</f>
        <v>0</v>
      </c>
      <c r="K381" s="28"/>
      <c r="L381" s="28">
        <f>IF($B381&gt;0,(GETPIVOTDATA(" New Worker's Comp",'$ Pivot Table'!$A$3,"State","VA","Category",10,"Category2","Two-Year"))/$B381)*100</f>
        <v>0</v>
      </c>
      <c r="M381" s="28">
        <f>IF($B381&gt;0,(GETPIVOTDATA(" New Tuition Plans",'$ Pivot Table'!$A$3,"State","VA","Category",10,"Category2","Two-Year"))/$B381)*100</f>
        <v>0</v>
      </c>
      <c r="N381" s="28">
        <f>IF($B381&gt;0,(GETPIVOTDATA(" New Other",'$ Pivot Table'!$A$3,"State","VA","Category",10,"Category2","Two-Year"))/$B381)*100</f>
        <v>0</v>
      </c>
      <c r="O381" s="86">
        <f>IF($B381&gt;0,(GETPIVOTDATA(" New Total",'$ Pivot Table'!$A$3,"State","VA","Category",10,"Category2","Two-Year"))/$B381)*100</f>
        <v>0</v>
      </c>
    </row>
    <row r="382" spans="1:22">
      <c r="A382" s="630" t="s">
        <v>493</v>
      </c>
      <c r="B382" s="618">
        <f>+'[2]NEW Tables 143-162'!H58</f>
        <v>47083.403043127961</v>
      </c>
      <c r="C382" s="30">
        <f>IF($B382&gt;0,(GETPIVOTDATA(" New Retirement",'$ Pivot Table'!$A$3,"State","WV","Category",10,"Category2","Two-Year"))/$B382)*100</f>
        <v>5.9333513283784525</v>
      </c>
      <c r="D382" s="30">
        <f>IF($B382&gt;0,(GETPIVOTDATA(" New Health",'$ Pivot Table'!$A$3,"State","WV","Category",10,"Category2","Two-Year"))/$B382)*100</f>
        <v>10.630626377881685</v>
      </c>
      <c r="E382" s="30">
        <f>IF($B382&gt;0,(GETPIVOTDATA(" New Disability",'$ Pivot Table'!$A$3,"State","WV","Category",10,"Category2","Two-Year"))/$B382)*100</f>
        <v>0</v>
      </c>
      <c r="F382" s="30"/>
      <c r="G382" s="30">
        <f>IF($B382&gt;0,(GETPIVOTDATA(" New Social Security",'$ Pivot Table'!$A$3,"State","WV","Category",10,"Category2","Two-Year"))/$B382)*100</f>
        <v>7.6500032901336183</v>
      </c>
      <c r="H382" s="30"/>
      <c r="I382" s="30">
        <f>IF($B382&gt;0,(GETPIVOTDATA(" New Unemployment",'$ Pivot Table'!$A$3,"State","WV","Category",10,"Category2","Two-Year"))/$B382)*100</f>
        <v>0</v>
      </c>
      <c r="J382" s="30">
        <f>IF($B382&gt;0,(GETPIVOTDATA(" New Life Insurance",'$ Pivot Table'!$A$3,"State","WV","Category",10,"Category2","Two-Year"))/$B382)*100</f>
        <v>0.13279516513998085</v>
      </c>
      <c r="K382" s="30"/>
      <c r="L382" s="30">
        <f>IF($B382&gt;0,(GETPIVOTDATA(" New Worker's Comp",'$ Pivot Table'!$A$3,"State","WV","Category",10,"Category2","Two-Year"))/$B382)*100</f>
        <v>0.57000024514721082</v>
      </c>
      <c r="M382" s="30">
        <f>IF($B382&gt;0,(GETPIVOTDATA(" New Tuition Plans",'$ Pivot Table'!$A$3,"State","WV","Category",10,"Category2","Two-Year"))/$B382)*100</f>
        <v>0</v>
      </c>
      <c r="N382" s="30">
        <f>IF($B382&gt;0,(GETPIVOTDATA(" New Other",'$ Pivot Table'!$A$3,"State","WV","Category",10,"Category2","Two-Year"))/$B382)*100</f>
        <v>0</v>
      </c>
      <c r="O382" s="115">
        <f>IF($B382&gt;0,(GETPIVOTDATA(" New Total",'$ Pivot Table'!$A$3,"State","WV","Category",10,"Category2","Two-Year"))/$B382)*100</f>
        <v>24.696877313881842</v>
      </c>
    </row>
    <row r="383" spans="1:22">
      <c r="A383" s="627" t="s">
        <v>685</v>
      </c>
      <c r="B383" s="31"/>
      <c r="C383" s="28"/>
      <c r="D383" s="28"/>
      <c r="E383" s="28"/>
      <c r="F383" s="28"/>
      <c r="G383" s="28"/>
      <c r="H383" s="28"/>
      <c r="I383" s="28"/>
      <c r="J383" s="28"/>
      <c r="K383" s="28"/>
      <c r="L383" s="28"/>
      <c r="M383" s="28"/>
      <c r="N383" s="28"/>
      <c r="O383" s="86"/>
      <c r="Q383" s="116"/>
      <c r="R383" s="101"/>
      <c r="S383" s="103"/>
      <c r="T383" s="102"/>
      <c r="V383" s="117"/>
    </row>
    <row r="384" spans="1:22" ht="18" customHeight="1">
      <c r="A384" s="628" t="s">
        <v>14</v>
      </c>
      <c r="B384" s="45"/>
      <c r="C384" s="47"/>
      <c r="D384" s="47"/>
      <c r="E384" s="47"/>
      <c r="F384" s="47"/>
      <c r="G384" s="47"/>
      <c r="H384" s="47"/>
      <c r="I384" s="47"/>
      <c r="J384" s="47"/>
      <c r="K384" s="47"/>
      <c r="L384" s="47"/>
      <c r="M384" s="47"/>
      <c r="N384" s="47"/>
      <c r="O384" s="77"/>
      <c r="Q384" s="112"/>
    </row>
    <row r="385" spans="1:29" ht="18" customHeight="1">
      <c r="A385" s="628" t="s">
        <v>678</v>
      </c>
      <c r="B385" s="45"/>
      <c r="C385" s="54"/>
      <c r="D385" s="54"/>
      <c r="E385" s="54"/>
      <c r="F385" s="54"/>
      <c r="G385" s="54"/>
      <c r="H385" s="54"/>
      <c r="I385" s="54"/>
      <c r="J385" s="54"/>
      <c r="K385" s="54"/>
      <c r="L385" s="54"/>
      <c r="M385" s="54"/>
      <c r="N385" s="54"/>
      <c r="O385" s="145"/>
      <c r="Q385" s="152"/>
      <c r="R385" s="152"/>
      <c r="S385" s="152"/>
      <c r="T385" s="153"/>
      <c r="U385" s="152"/>
      <c r="V385" s="153"/>
      <c r="W385" s="152"/>
      <c r="X385" s="152"/>
      <c r="Y385" s="153"/>
      <c r="Z385" s="152"/>
      <c r="AA385" s="152"/>
      <c r="AB385" s="152"/>
      <c r="AC385" s="154"/>
    </row>
    <row r="386" spans="1:29" ht="18" customHeight="1">
      <c r="A386" s="628"/>
      <c r="B386" s="45"/>
      <c r="C386" s="47"/>
      <c r="D386" s="47"/>
      <c r="E386" s="47"/>
      <c r="F386" s="47"/>
      <c r="G386" s="47"/>
      <c r="H386" s="47"/>
      <c r="I386" s="47"/>
      <c r="J386" s="47"/>
      <c r="K386" s="47"/>
      <c r="L386" s="47"/>
      <c r="M386" s="47"/>
      <c r="N386" s="47"/>
      <c r="O386" s="637" t="s">
        <v>1321</v>
      </c>
      <c r="P386" s="172"/>
    </row>
    <row r="387" spans="1:29" ht="18">
      <c r="A387" s="595" t="s">
        <v>1112</v>
      </c>
      <c r="B387" s="48"/>
      <c r="C387" s="48"/>
      <c r="D387" s="48"/>
      <c r="E387" s="48"/>
      <c r="F387" s="48"/>
      <c r="G387" s="48"/>
      <c r="H387" s="48"/>
      <c r="I387" s="48"/>
      <c r="J387" s="48"/>
      <c r="K387" s="48"/>
      <c r="L387" s="48"/>
      <c r="M387" s="48"/>
      <c r="N387" s="48"/>
      <c r="O387" s="48"/>
    </row>
    <row r="388" spans="1:29">
      <c r="A388" s="622"/>
      <c r="B388" s="50"/>
      <c r="C388" s="49"/>
      <c r="D388" s="49"/>
      <c r="E388" s="49"/>
      <c r="F388" s="49"/>
      <c r="G388" s="49"/>
      <c r="H388" s="49"/>
      <c r="I388" s="49"/>
      <c r="J388" s="49"/>
      <c r="K388" s="49"/>
      <c r="L388" s="49"/>
      <c r="M388" s="49"/>
      <c r="N388" s="49"/>
      <c r="O388" s="148"/>
    </row>
    <row r="389" spans="1:29" ht="15.75">
      <c r="A389" s="633" t="s">
        <v>466</v>
      </c>
      <c r="B389" s="48"/>
      <c r="C389" s="48"/>
      <c r="D389" s="48"/>
      <c r="E389" s="48"/>
      <c r="F389" s="48"/>
      <c r="G389" s="48"/>
      <c r="H389" s="48"/>
      <c r="I389" s="48"/>
      <c r="J389" s="48"/>
      <c r="K389" s="48"/>
      <c r="L389" s="48"/>
      <c r="M389" s="48"/>
      <c r="N389" s="48"/>
      <c r="O389" s="147"/>
    </row>
    <row r="390" spans="1:29" ht="15.75">
      <c r="A390" s="633" t="s">
        <v>1152</v>
      </c>
      <c r="B390" s="48"/>
      <c r="C390" s="48"/>
      <c r="D390" s="48"/>
      <c r="E390" s="48"/>
      <c r="F390" s="48"/>
      <c r="G390" s="48"/>
      <c r="H390" s="48"/>
      <c r="I390" s="48"/>
      <c r="J390" s="48"/>
      <c r="K390" s="48"/>
      <c r="L390" s="48"/>
      <c r="M390" s="48"/>
      <c r="N390" s="48"/>
      <c r="O390" s="147"/>
    </row>
    <row r="391" spans="1:29">
      <c r="A391" s="148"/>
      <c r="B391" s="45"/>
      <c r="C391" s="54"/>
      <c r="D391" s="54"/>
      <c r="E391" s="54"/>
      <c r="F391" s="54"/>
      <c r="G391" s="54"/>
      <c r="H391" s="54"/>
      <c r="I391" s="54"/>
      <c r="J391" s="54"/>
      <c r="K391" s="54"/>
      <c r="L391" s="54"/>
      <c r="M391" s="54"/>
      <c r="N391" s="54"/>
      <c r="O391" s="145"/>
    </row>
    <row r="392" spans="1:29">
      <c r="A392" s="634"/>
      <c r="B392" s="2" t="s">
        <v>473</v>
      </c>
      <c r="C392" s="63" t="s">
        <v>593</v>
      </c>
      <c r="D392" s="63"/>
      <c r="E392" s="63"/>
      <c r="F392" s="63"/>
      <c r="G392" s="63"/>
      <c r="H392" s="63"/>
      <c r="I392" s="63"/>
      <c r="J392" s="63"/>
      <c r="K392" s="63"/>
      <c r="L392" s="63"/>
      <c r="M392" s="63"/>
      <c r="N392" s="63"/>
      <c r="O392" s="136"/>
    </row>
    <row r="393" spans="1:29">
      <c r="A393" s="635"/>
      <c r="B393" s="4" t="s">
        <v>474</v>
      </c>
      <c r="C393" s="3" t="s">
        <v>660</v>
      </c>
      <c r="D393" s="3"/>
      <c r="E393" s="57"/>
      <c r="F393" s="57"/>
      <c r="G393" s="3" t="s">
        <v>661</v>
      </c>
      <c r="H393" s="3"/>
      <c r="I393" s="3" t="s">
        <v>662</v>
      </c>
      <c r="J393" s="3" t="s">
        <v>663</v>
      </c>
      <c r="K393" s="3"/>
      <c r="L393" s="3" t="s">
        <v>664</v>
      </c>
      <c r="M393" s="3" t="s">
        <v>665</v>
      </c>
      <c r="N393" s="3"/>
      <c r="O393" s="124" t="s">
        <v>475</v>
      </c>
    </row>
    <row r="394" spans="1:29">
      <c r="A394" s="636"/>
      <c r="B394" s="15" t="s">
        <v>476</v>
      </c>
      <c r="C394" s="16" t="s">
        <v>667</v>
      </c>
      <c r="D394" s="16" t="s">
        <v>708</v>
      </c>
      <c r="E394" s="17" t="s">
        <v>709</v>
      </c>
      <c r="F394" s="17"/>
      <c r="G394" s="16" t="s">
        <v>668</v>
      </c>
      <c r="H394" s="16"/>
      <c r="I394" s="16" t="s">
        <v>667</v>
      </c>
      <c r="J394" s="16" t="s">
        <v>669</v>
      </c>
      <c r="K394" s="16"/>
      <c r="L394" s="16" t="s">
        <v>670</v>
      </c>
      <c r="M394" s="16" t="s">
        <v>671</v>
      </c>
      <c r="N394" s="16" t="s">
        <v>701</v>
      </c>
      <c r="O394" s="146" t="s">
        <v>15</v>
      </c>
    </row>
    <row r="395" spans="1:29">
      <c r="A395" s="149" t="s">
        <v>600</v>
      </c>
      <c r="B395" s="33" t="s">
        <v>1302</v>
      </c>
      <c r="C395" s="33" t="s">
        <v>1302</v>
      </c>
      <c r="D395" s="33" t="s">
        <v>1302</v>
      </c>
      <c r="E395" s="33" t="s">
        <v>1302</v>
      </c>
      <c r="F395" s="33"/>
      <c r="G395" s="33" t="s">
        <v>1302</v>
      </c>
      <c r="H395" s="33"/>
      <c r="I395" s="33" t="s">
        <v>1302</v>
      </c>
      <c r="J395" s="33" t="s">
        <v>1302</v>
      </c>
      <c r="K395" s="33"/>
      <c r="L395" s="33" t="s">
        <v>1302</v>
      </c>
      <c r="M395" s="33" t="s">
        <v>1302</v>
      </c>
      <c r="N395" s="33" t="s">
        <v>1302</v>
      </c>
      <c r="O395" s="33" t="s">
        <v>1302</v>
      </c>
    </row>
    <row r="396" spans="1:29">
      <c r="A396" s="149"/>
      <c r="B396" s="31">
        <f>+'[3]NEW Tables 144-163'!J39</f>
        <v>0</v>
      </c>
      <c r="C396" s="32"/>
      <c r="D396" s="34"/>
      <c r="E396" s="32"/>
      <c r="F396" s="32"/>
      <c r="G396" s="32"/>
      <c r="H396" s="32"/>
      <c r="I396" s="32"/>
      <c r="J396" s="32"/>
      <c r="K396" s="32"/>
      <c r="L396" s="32"/>
      <c r="M396" s="32"/>
      <c r="N396" s="32"/>
      <c r="O396" s="90"/>
    </row>
    <row r="397" spans="1:29">
      <c r="A397" s="149" t="s">
        <v>479</v>
      </c>
      <c r="B397" s="31" t="s">
        <v>1302</v>
      </c>
      <c r="C397" s="31" t="s">
        <v>1302</v>
      </c>
      <c r="D397" s="31" t="s">
        <v>1302</v>
      </c>
      <c r="E397" s="31" t="s">
        <v>1302</v>
      </c>
      <c r="F397" s="31"/>
      <c r="G397" s="31" t="s">
        <v>1302</v>
      </c>
      <c r="H397" s="31"/>
      <c r="I397" s="31" t="s">
        <v>1302</v>
      </c>
      <c r="J397" s="31" t="s">
        <v>1302</v>
      </c>
      <c r="K397" s="31"/>
      <c r="L397" s="31" t="s">
        <v>1302</v>
      </c>
      <c r="M397" s="31" t="s">
        <v>1302</v>
      </c>
      <c r="N397" s="31" t="s">
        <v>1302</v>
      </c>
      <c r="O397" s="31" t="s">
        <v>1302</v>
      </c>
    </row>
    <row r="398" spans="1:29">
      <c r="A398" s="149" t="s">
        <v>480</v>
      </c>
      <c r="B398" s="31" t="s">
        <v>1302</v>
      </c>
      <c r="C398" s="31" t="s">
        <v>1302</v>
      </c>
      <c r="D398" s="31" t="s">
        <v>1302</v>
      </c>
      <c r="E398" s="31" t="s">
        <v>1302</v>
      </c>
      <c r="F398" s="31"/>
      <c r="G398" s="31" t="s">
        <v>1302</v>
      </c>
      <c r="H398" s="31"/>
      <c r="I398" s="31" t="s">
        <v>1302</v>
      </c>
      <c r="J398" s="31" t="s">
        <v>1302</v>
      </c>
      <c r="K398" s="31"/>
      <c r="L398" s="31" t="s">
        <v>1302</v>
      </c>
      <c r="M398" s="31" t="s">
        <v>1302</v>
      </c>
      <c r="N398" s="31" t="s">
        <v>1302</v>
      </c>
      <c r="O398" s="31" t="s">
        <v>1302</v>
      </c>
    </row>
    <row r="399" spans="1:29">
      <c r="A399" s="149" t="s">
        <v>494</v>
      </c>
      <c r="B399" s="31" t="s">
        <v>1302</v>
      </c>
      <c r="C399" s="31" t="s">
        <v>1302</v>
      </c>
      <c r="D399" s="31" t="s">
        <v>1302</v>
      </c>
      <c r="E399" s="31" t="s">
        <v>1302</v>
      </c>
      <c r="F399" s="31"/>
      <c r="G399" s="31" t="s">
        <v>1302</v>
      </c>
      <c r="H399" s="31"/>
      <c r="I399" s="31" t="s">
        <v>1302</v>
      </c>
      <c r="J399" s="31" t="s">
        <v>1302</v>
      </c>
      <c r="K399" s="31"/>
      <c r="L399" s="31" t="s">
        <v>1302</v>
      </c>
      <c r="M399" s="31" t="s">
        <v>1302</v>
      </c>
      <c r="N399" s="31" t="s">
        <v>1302</v>
      </c>
      <c r="O399" s="31" t="s">
        <v>1302</v>
      </c>
    </row>
    <row r="400" spans="1:29">
      <c r="A400" s="149" t="s">
        <v>481</v>
      </c>
      <c r="B400" s="31" t="s">
        <v>1302</v>
      </c>
      <c r="C400" s="31" t="s">
        <v>1302</v>
      </c>
      <c r="D400" s="31" t="s">
        <v>1302</v>
      </c>
      <c r="E400" s="31" t="s">
        <v>1302</v>
      </c>
      <c r="F400" s="31"/>
      <c r="G400" s="31" t="s">
        <v>1302</v>
      </c>
      <c r="H400" s="31"/>
      <c r="I400" s="31" t="s">
        <v>1302</v>
      </c>
      <c r="J400" s="31" t="s">
        <v>1302</v>
      </c>
      <c r="K400" s="31"/>
      <c r="L400" s="31" t="s">
        <v>1302</v>
      </c>
      <c r="M400" s="31" t="s">
        <v>1302</v>
      </c>
      <c r="N400" s="31" t="s">
        <v>1302</v>
      </c>
      <c r="O400" s="31" t="s">
        <v>1302</v>
      </c>
    </row>
    <row r="401" spans="1:15">
      <c r="A401" s="149"/>
      <c r="B401" s="31">
        <f>+'[3]NEW Tables 144-163'!J44</f>
        <v>0</v>
      </c>
      <c r="C401" s="32"/>
      <c r="D401" s="34"/>
      <c r="E401" s="32"/>
      <c r="F401" s="32"/>
      <c r="G401" s="32"/>
      <c r="H401" s="32"/>
      <c r="I401" s="32"/>
      <c r="J401" s="32"/>
      <c r="K401" s="32"/>
      <c r="L401" s="32"/>
      <c r="M401" s="32"/>
      <c r="N401" s="32"/>
      <c r="O401" s="90"/>
    </row>
    <row r="402" spans="1:15">
      <c r="A402" s="149" t="s">
        <v>482</v>
      </c>
      <c r="B402" s="31" t="s">
        <v>1302</v>
      </c>
      <c r="C402" s="31" t="s">
        <v>1302</v>
      </c>
      <c r="D402" s="31" t="s">
        <v>1302</v>
      </c>
      <c r="E402" s="31" t="s">
        <v>1302</v>
      </c>
      <c r="F402" s="31"/>
      <c r="G402" s="31" t="s">
        <v>1302</v>
      </c>
      <c r="H402" s="31"/>
      <c r="I402" s="31" t="s">
        <v>1302</v>
      </c>
      <c r="J402" s="31" t="s">
        <v>1302</v>
      </c>
      <c r="K402" s="31"/>
      <c r="L402" s="31" t="s">
        <v>1302</v>
      </c>
      <c r="M402" s="31" t="s">
        <v>1302</v>
      </c>
      <c r="N402" s="31" t="s">
        <v>1302</v>
      </c>
      <c r="O402" s="31" t="s">
        <v>1302</v>
      </c>
    </row>
    <row r="403" spans="1:15">
      <c r="A403" s="149" t="s">
        <v>483</v>
      </c>
      <c r="B403" s="31" t="s">
        <v>1302</v>
      </c>
      <c r="C403" s="31" t="s">
        <v>1302</v>
      </c>
      <c r="D403" s="31" t="s">
        <v>1302</v>
      </c>
      <c r="E403" s="31" t="s">
        <v>1302</v>
      </c>
      <c r="F403" s="31"/>
      <c r="G403" s="31" t="s">
        <v>1302</v>
      </c>
      <c r="H403" s="31"/>
      <c r="I403" s="31" t="s">
        <v>1302</v>
      </c>
      <c r="J403" s="31" t="s">
        <v>1302</v>
      </c>
      <c r="K403" s="31"/>
      <c r="L403" s="31" t="s">
        <v>1302</v>
      </c>
      <c r="M403" s="31" t="s">
        <v>1302</v>
      </c>
      <c r="N403" s="31" t="s">
        <v>1302</v>
      </c>
      <c r="O403" s="31" t="s">
        <v>1302</v>
      </c>
    </row>
    <row r="404" spans="1:15">
      <c r="A404" s="149" t="s">
        <v>484</v>
      </c>
      <c r="B404" s="31" t="s">
        <v>1302</v>
      </c>
      <c r="C404" s="31" t="s">
        <v>1302</v>
      </c>
      <c r="D404" s="31" t="s">
        <v>1302</v>
      </c>
      <c r="E404" s="31" t="s">
        <v>1302</v>
      </c>
      <c r="F404" s="31"/>
      <c r="G404" s="31" t="s">
        <v>1302</v>
      </c>
      <c r="H404" s="31"/>
      <c r="I404" s="31" t="s">
        <v>1302</v>
      </c>
      <c r="J404" s="31" t="s">
        <v>1302</v>
      </c>
      <c r="K404" s="31"/>
      <c r="L404" s="31" t="s">
        <v>1302</v>
      </c>
      <c r="M404" s="31" t="s">
        <v>1302</v>
      </c>
      <c r="N404" s="31" t="s">
        <v>1302</v>
      </c>
      <c r="O404" s="31" t="s">
        <v>1302</v>
      </c>
    </row>
    <row r="405" spans="1:15">
      <c r="A405" s="149" t="s">
        <v>485</v>
      </c>
      <c r="B405" s="31" t="s">
        <v>1302</v>
      </c>
      <c r="C405" s="31" t="s">
        <v>1302</v>
      </c>
      <c r="D405" s="31" t="s">
        <v>1302</v>
      </c>
      <c r="E405" s="31" t="s">
        <v>1302</v>
      </c>
      <c r="F405" s="31"/>
      <c r="G405" s="31" t="s">
        <v>1302</v>
      </c>
      <c r="H405" s="31"/>
      <c r="I405" s="31" t="s">
        <v>1302</v>
      </c>
      <c r="J405" s="31" t="s">
        <v>1302</v>
      </c>
      <c r="K405" s="31"/>
      <c r="L405" s="31" t="s">
        <v>1302</v>
      </c>
      <c r="M405" s="31" t="s">
        <v>1302</v>
      </c>
      <c r="N405" s="31" t="s">
        <v>1302</v>
      </c>
      <c r="O405" s="31" t="s">
        <v>1302</v>
      </c>
    </row>
    <row r="406" spans="1:15">
      <c r="A406" s="149"/>
      <c r="B406" s="31">
        <f>+'[3]NEW Tables 144-163'!J49</f>
        <v>0</v>
      </c>
      <c r="C406" s="32"/>
      <c r="D406" s="34"/>
      <c r="E406" s="32"/>
      <c r="F406" s="32"/>
      <c r="G406" s="32"/>
      <c r="H406" s="32"/>
      <c r="I406" s="32"/>
      <c r="J406" s="32"/>
      <c r="K406" s="32"/>
      <c r="L406" s="32"/>
      <c r="M406" s="32"/>
      <c r="N406" s="32"/>
      <c r="O406" s="90"/>
    </row>
    <row r="407" spans="1:15">
      <c r="A407" s="149" t="s">
        <v>486</v>
      </c>
      <c r="B407" s="31" t="s">
        <v>1302</v>
      </c>
      <c r="C407" s="31" t="s">
        <v>1302</v>
      </c>
      <c r="D407" s="31" t="s">
        <v>1302</v>
      </c>
      <c r="E407" s="31" t="s">
        <v>1302</v>
      </c>
      <c r="F407" s="31"/>
      <c r="G407" s="31" t="s">
        <v>1302</v>
      </c>
      <c r="H407" s="31"/>
      <c r="I407" s="31" t="s">
        <v>1302</v>
      </c>
      <c r="J407" s="31" t="s">
        <v>1302</v>
      </c>
      <c r="K407" s="31"/>
      <c r="L407" s="31" t="s">
        <v>1302</v>
      </c>
      <c r="M407" s="31" t="s">
        <v>1302</v>
      </c>
      <c r="N407" s="31" t="s">
        <v>1302</v>
      </c>
      <c r="O407" s="31" t="s">
        <v>1302</v>
      </c>
    </row>
    <row r="408" spans="1:15">
      <c r="A408" s="149" t="s">
        <v>487</v>
      </c>
      <c r="B408" s="31" t="s">
        <v>1302</v>
      </c>
      <c r="C408" s="31" t="s">
        <v>1302</v>
      </c>
      <c r="D408" s="31" t="s">
        <v>1302</v>
      </c>
      <c r="E408" s="31" t="s">
        <v>1302</v>
      </c>
      <c r="F408" s="31"/>
      <c r="G408" s="31" t="s">
        <v>1302</v>
      </c>
      <c r="H408" s="31"/>
      <c r="I408" s="31" t="s">
        <v>1302</v>
      </c>
      <c r="J408" s="31" t="s">
        <v>1302</v>
      </c>
      <c r="K408" s="31"/>
      <c r="L408" s="31" t="s">
        <v>1302</v>
      </c>
      <c r="M408" s="31" t="s">
        <v>1302</v>
      </c>
      <c r="N408" s="31" t="s">
        <v>1302</v>
      </c>
      <c r="O408" s="31" t="s">
        <v>1302</v>
      </c>
    </row>
    <row r="409" spans="1:15">
      <c r="A409" s="149" t="s">
        <v>488</v>
      </c>
      <c r="B409" s="31" t="s">
        <v>1302</v>
      </c>
      <c r="C409" s="31" t="s">
        <v>1302</v>
      </c>
      <c r="D409" s="31" t="s">
        <v>1302</v>
      </c>
      <c r="E409" s="31" t="s">
        <v>1302</v>
      </c>
      <c r="F409" s="31"/>
      <c r="G409" s="31" t="s">
        <v>1302</v>
      </c>
      <c r="H409" s="31"/>
      <c r="I409" s="31" t="s">
        <v>1302</v>
      </c>
      <c r="J409" s="31" t="s">
        <v>1302</v>
      </c>
      <c r="K409" s="31"/>
      <c r="L409" s="31" t="s">
        <v>1302</v>
      </c>
      <c r="M409" s="31" t="s">
        <v>1302</v>
      </c>
      <c r="N409" s="31" t="s">
        <v>1302</v>
      </c>
      <c r="O409" s="31" t="s">
        <v>1302</v>
      </c>
    </row>
    <row r="410" spans="1:15">
      <c r="A410" s="149" t="s">
        <v>489</v>
      </c>
      <c r="B410" s="31" t="s">
        <v>1302</v>
      </c>
      <c r="C410" s="31" t="s">
        <v>1302</v>
      </c>
      <c r="D410" s="31" t="s">
        <v>1302</v>
      </c>
      <c r="E410" s="31" t="s">
        <v>1302</v>
      </c>
      <c r="F410" s="31"/>
      <c r="G410" s="31" t="s">
        <v>1302</v>
      </c>
      <c r="H410" s="31"/>
      <c r="I410" s="31" t="s">
        <v>1302</v>
      </c>
      <c r="J410" s="31" t="s">
        <v>1302</v>
      </c>
      <c r="K410" s="31"/>
      <c r="L410" s="31" t="s">
        <v>1302</v>
      </c>
      <c r="M410" s="31" t="s">
        <v>1302</v>
      </c>
      <c r="N410" s="31" t="s">
        <v>1302</v>
      </c>
      <c r="O410" s="31" t="s">
        <v>1302</v>
      </c>
    </row>
    <row r="411" spans="1:15">
      <c r="A411" s="149"/>
      <c r="B411" s="31">
        <f>+'[3]NEW Tables 144-163'!J54</f>
        <v>0</v>
      </c>
      <c r="C411" s="32"/>
      <c r="D411" s="34"/>
      <c r="E411" s="32"/>
      <c r="F411" s="32"/>
      <c r="G411" s="32"/>
      <c r="H411" s="32"/>
      <c r="I411" s="32"/>
      <c r="J411" s="32"/>
      <c r="K411" s="32"/>
      <c r="L411" s="32"/>
      <c r="M411" s="32"/>
      <c r="N411" s="32"/>
      <c r="O411" s="90"/>
    </row>
    <row r="412" spans="1:15">
      <c r="A412" s="149" t="s">
        <v>490</v>
      </c>
      <c r="B412" s="31" t="s">
        <v>1302</v>
      </c>
      <c r="C412" s="31" t="s">
        <v>1302</v>
      </c>
      <c r="D412" s="31" t="s">
        <v>1302</v>
      </c>
      <c r="E412" s="31" t="s">
        <v>1302</v>
      </c>
      <c r="F412" s="31"/>
      <c r="G412" s="31" t="s">
        <v>1302</v>
      </c>
      <c r="H412" s="31"/>
      <c r="I412" s="31" t="s">
        <v>1302</v>
      </c>
      <c r="J412" s="31" t="s">
        <v>1302</v>
      </c>
      <c r="K412" s="31"/>
      <c r="L412" s="31" t="s">
        <v>1302</v>
      </c>
      <c r="M412" s="31" t="s">
        <v>1302</v>
      </c>
      <c r="N412" s="31" t="s">
        <v>1302</v>
      </c>
      <c r="O412" s="31" t="s">
        <v>1302</v>
      </c>
    </row>
    <row r="413" spans="1:15">
      <c r="A413" s="149" t="s">
        <v>491</v>
      </c>
      <c r="B413" s="31" t="s">
        <v>1302</v>
      </c>
      <c r="C413" s="31" t="s">
        <v>1302</v>
      </c>
      <c r="D413" s="31" t="s">
        <v>1302</v>
      </c>
      <c r="E413" s="31" t="s">
        <v>1302</v>
      </c>
      <c r="F413" s="31"/>
      <c r="G413" s="31" t="s">
        <v>1302</v>
      </c>
      <c r="H413" s="31"/>
      <c r="I413" s="31" t="s">
        <v>1302</v>
      </c>
      <c r="J413" s="31" t="s">
        <v>1302</v>
      </c>
      <c r="K413" s="31"/>
      <c r="L413" s="31" t="s">
        <v>1302</v>
      </c>
      <c r="M413" s="31" t="s">
        <v>1302</v>
      </c>
      <c r="N413" s="31" t="s">
        <v>1302</v>
      </c>
      <c r="O413" s="31" t="s">
        <v>1302</v>
      </c>
    </row>
    <row r="414" spans="1:15">
      <c r="A414" s="149" t="s">
        <v>492</v>
      </c>
      <c r="B414" s="31" t="s">
        <v>1302</v>
      </c>
      <c r="C414" s="31" t="s">
        <v>1302</v>
      </c>
      <c r="D414" s="31" t="s">
        <v>1302</v>
      </c>
      <c r="E414" s="31" t="s">
        <v>1302</v>
      </c>
      <c r="F414" s="31"/>
      <c r="G414" s="31" t="s">
        <v>1302</v>
      </c>
      <c r="H414" s="31"/>
      <c r="I414" s="31" t="s">
        <v>1302</v>
      </c>
      <c r="J414" s="31" t="s">
        <v>1302</v>
      </c>
      <c r="K414" s="31"/>
      <c r="L414" s="31" t="s">
        <v>1302</v>
      </c>
      <c r="M414" s="31" t="s">
        <v>1302</v>
      </c>
      <c r="N414" s="31" t="s">
        <v>1302</v>
      </c>
      <c r="O414" s="31" t="s">
        <v>1302</v>
      </c>
    </row>
    <row r="415" spans="1:15">
      <c r="A415" s="630" t="s">
        <v>493</v>
      </c>
      <c r="B415" s="111" t="s">
        <v>1302</v>
      </c>
      <c r="C415" s="111" t="s">
        <v>1302</v>
      </c>
      <c r="D415" s="111" t="s">
        <v>1302</v>
      </c>
      <c r="E415" s="111" t="s">
        <v>1302</v>
      </c>
      <c r="F415" s="111"/>
      <c r="G415" s="111" t="s">
        <v>1302</v>
      </c>
      <c r="H415" s="111"/>
      <c r="I415" s="111" t="s">
        <v>1302</v>
      </c>
      <c r="J415" s="111" t="s">
        <v>1302</v>
      </c>
      <c r="K415" s="111"/>
      <c r="L415" s="111" t="s">
        <v>1302</v>
      </c>
      <c r="M415" s="111" t="s">
        <v>1302</v>
      </c>
      <c r="N415" s="111" t="s">
        <v>1302</v>
      </c>
      <c r="O415" s="111" t="s">
        <v>1302</v>
      </c>
    </row>
    <row r="416" spans="1:15" ht="18" customHeight="1">
      <c r="A416" s="628" t="s">
        <v>14</v>
      </c>
      <c r="B416" s="45"/>
      <c r="C416" s="77"/>
      <c r="D416" s="47"/>
      <c r="E416" s="47"/>
      <c r="F416" s="47"/>
      <c r="G416" s="47"/>
      <c r="H416" s="47"/>
      <c r="I416" s="47"/>
      <c r="J416" s="47"/>
      <c r="K416" s="47"/>
      <c r="L416" s="47"/>
      <c r="M416" s="47"/>
      <c r="N416" s="47"/>
      <c r="O416" s="77"/>
    </row>
    <row r="417" spans="1:26" ht="18" customHeight="1">
      <c r="A417" s="628"/>
      <c r="B417" s="45"/>
      <c r="C417" s="77"/>
      <c r="D417" s="47"/>
      <c r="E417" s="47"/>
      <c r="F417" s="47"/>
      <c r="G417" s="47"/>
      <c r="H417" s="47"/>
      <c r="I417" s="47"/>
      <c r="J417" s="47"/>
      <c r="K417" s="47"/>
      <c r="L417" s="47"/>
      <c r="M417" s="47"/>
      <c r="N417" s="47"/>
      <c r="O417" s="637" t="s">
        <v>1321</v>
      </c>
      <c r="P417" s="172"/>
    </row>
    <row r="418" spans="1:26" ht="18">
      <c r="A418" s="595" t="s">
        <v>1113</v>
      </c>
      <c r="B418" s="48"/>
      <c r="C418" s="48"/>
      <c r="D418" s="48"/>
      <c r="E418" s="48"/>
      <c r="F418" s="48"/>
      <c r="G418" s="48"/>
      <c r="H418" s="48"/>
      <c r="I418" s="48"/>
      <c r="J418" s="48"/>
      <c r="K418" s="48"/>
      <c r="L418" s="48"/>
      <c r="M418" s="48"/>
      <c r="N418" s="48"/>
      <c r="O418" s="48"/>
    </row>
    <row r="419" spans="1:26">
      <c r="A419" s="622"/>
      <c r="B419" s="50"/>
      <c r="C419" s="49"/>
      <c r="D419" s="49"/>
      <c r="E419" s="49"/>
      <c r="F419" s="49"/>
      <c r="G419" s="49"/>
      <c r="H419" s="49"/>
      <c r="I419" s="49"/>
      <c r="J419" s="49"/>
      <c r="K419" s="49"/>
      <c r="L419" s="49"/>
      <c r="M419" s="49"/>
      <c r="N419" s="49"/>
      <c r="O419" s="148"/>
    </row>
    <row r="420" spans="1:26" ht="15.75">
      <c r="A420" s="633" t="s">
        <v>466</v>
      </c>
      <c r="B420" s="48"/>
      <c r="C420" s="48"/>
      <c r="D420" s="48"/>
      <c r="E420" s="48"/>
      <c r="F420" s="48"/>
      <c r="G420" s="48"/>
      <c r="H420" s="48"/>
      <c r="I420" s="48"/>
      <c r="J420" s="48"/>
      <c r="K420" s="48"/>
      <c r="L420" s="48"/>
      <c r="M420" s="48"/>
      <c r="N420" s="48"/>
      <c r="O420" s="147"/>
    </row>
    <row r="421" spans="1:26" ht="15.75">
      <c r="A421" s="633" t="s">
        <v>1148</v>
      </c>
      <c r="B421" s="48"/>
      <c r="C421" s="48"/>
      <c r="D421" s="48"/>
      <c r="E421" s="48"/>
      <c r="F421" s="48"/>
      <c r="G421" s="48"/>
      <c r="H421" s="48"/>
      <c r="I421" s="48"/>
      <c r="J421" s="48"/>
      <c r="K421" s="48"/>
      <c r="L421" s="48"/>
      <c r="M421" s="48"/>
      <c r="N421" s="48"/>
      <c r="O421" s="147"/>
    </row>
    <row r="422" spans="1:26">
      <c r="A422" s="148"/>
      <c r="B422" s="45"/>
      <c r="C422" s="54"/>
      <c r="D422" s="54"/>
      <c r="E422" s="54"/>
      <c r="F422" s="54"/>
      <c r="G422" s="54"/>
      <c r="H422" s="54"/>
      <c r="I422" s="54"/>
      <c r="J422" s="54"/>
      <c r="K422" s="54"/>
      <c r="L422" s="54"/>
      <c r="M422" s="54"/>
      <c r="N422" s="54"/>
      <c r="O422" s="145"/>
    </row>
    <row r="423" spans="1:26">
      <c r="A423" s="634"/>
      <c r="B423" s="2" t="s">
        <v>473</v>
      </c>
      <c r="C423" s="63" t="s">
        <v>593</v>
      </c>
      <c r="D423" s="63"/>
      <c r="E423" s="63"/>
      <c r="F423" s="63"/>
      <c r="G423" s="63"/>
      <c r="H423" s="63"/>
      <c r="I423" s="63"/>
      <c r="J423" s="63"/>
      <c r="K423" s="63"/>
      <c r="L423" s="63"/>
      <c r="M423" s="63"/>
      <c r="N423" s="63"/>
      <c r="O423" s="136"/>
    </row>
    <row r="424" spans="1:26">
      <c r="A424" s="635"/>
      <c r="B424" s="4" t="s">
        <v>474</v>
      </c>
      <c r="C424" s="3" t="s">
        <v>660</v>
      </c>
      <c r="D424" s="3"/>
      <c r="E424" s="57"/>
      <c r="F424" s="57"/>
      <c r="G424" s="3" t="s">
        <v>661</v>
      </c>
      <c r="H424" s="3"/>
      <c r="I424" s="3" t="s">
        <v>662</v>
      </c>
      <c r="J424" s="3" t="s">
        <v>663</v>
      </c>
      <c r="K424" s="3"/>
      <c r="L424" s="3" t="s">
        <v>664</v>
      </c>
      <c r="M424" s="3" t="s">
        <v>665</v>
      </c>
      <c r="N424" s="3"/>
      <c r="O424" s="124" t="s">
        <v>475</v>
      </c>
      <c r="W424" s="36" t="s">
        <v>1142</v>
      </c>
      <c r="X424" s="36" t="s">
        <v>1143</v>
      </c>
      <c r="Y424" s="36" t="s">
        <v>1144</v>
      </c>
    </row>
    <row r="425" spans="1:26">
      <c r="A425" s="636"/>
      <c r="B425" s="15" t="s">
        <v>476</v>
      </c>
      <c r="C425" s="16" t="s">
        <v>667</v>
      </c>
      <c r="D425" s="16" t="s">
        <v>708</v>
      </c>
      <c r="E425" s="17" t="s">
        <v>709</v>
      </c>
      <c r="F425" s="17"/>
      <c r="G425" s="16" t="s">
        <v>668</v>
      </c>
      <c r="H425" s="16"/>
      <c r="I425" s="16" t="s">
        <v>667</v>
      </c>
      <c r="J425" s="16" t="s">
        <v>669</v>
      </c>
      <c r="K425" s="16"/>
      <c r="L425" s="16" t="s">
        <v>670</v>
      </c>
      <c r="M425" s="16" t="s">
        <v>671</v>
      </c>
      <c r="N425" s="16" t="s">
        <v>701</v>
      </c>
      <c r="O425" s="146" t="s">
        <v>15</v>
      </c>
      <c r="Q425" s="100" t="s">
        <v>679</v>
      </c>
      <c r="R425" s="100" t="s">
        <v>681</v>
      </c>
      <c r="S425" s="100" t="s">
        <v>680</v>
      </c>
      <c r="T425" s="100" t="s">
        <v>682</v>
      </c>
    </row>
    <row r="426" spans="1:26">
      <c r="A426" s="149" t="s">
        <v>600</v>
      </c>
      <c r="B426" s="33">
        <f>+'[2]NEW Tables 143-162'!H68</f>
        <v>44097.216963692648</v>
      </c>
      <c r="C426" s="32">
        <f>IF($B426&gt;0,(GETPIVOTDATA(" New Retirement",'$ Pivot Table'!$A$3,"Category2","Technical Institutes"))/$B426)*100</f>
        <v>9.9369983760559482</v>
      </c>
      <c r="D426" s="32">
        <f>IF($B426&gt;0,(GETPIVOTDATA(" New Health",'$ Pivot Table'!$A$3,"Category2","Technical Institutes"))/$B426)*100</f>
        <v>21.12081315895141</v>
      </c>
      <c r="E426" s="32">
        <f>IF($B426&gt;0,(GETPIVOTDATA(" New Disability",'$ Pivot Table'!$A$3,"Category2","Technical Institutes"))/$B426)*100</f>
        <v>0</v>
      </c>
      <c r="F426" s="32"/>
      <c r="G426" s="32">
        <f>IF($B426&gt;0,(GETPIVOTDATA(" New Social Security",'$ Pivot Table'!$A$3,"Category2","Technical Institutes"))/$B426)*100</f>
        <v>3.8341962734887844</v>
      </c>
      <c r="H426" s="32"/>
      <c r="I426" s="32">
        <f>IF($B426&gt;0,(GETPIVOTDATA(" New Unemployment",'$ Pivot Table'!$A$3,"Category2","Technical Institutes"))/$B426)*100</f>
        <v>0.30661287897192302</v>
      </c>
      <c r="J426" s="32">
        <f>IF($B426&gt;0,(GETPIVOTDATA(" New Life Insurance",'$ Pivot Table'!$A$3,"Category2","Technical Institutes"))/$B426)*100</f>
        <v>0.50284765621288807</v>
      </c>
      <c r="K426" s="32"/>
      <c r="L426" s="32">
        <f>IF($B426&gt;0,(GETPIVOTDATA(" New Worker's Comp",'$ Pivot Table'!$A$3,"Category2","Technical Institutes"))/$B426)*100</f>
        <v>0.59382956262495457</v>
      </c>
      <c r="M426" s="32">
        <f>IF($B426&gt;0,(GETPIVOTDATA(" New Tuition Plans",'$ Pivot Table'!$A$3,"Category2","Technical Institutes"))/$B426)*100</f>
        <v>1.9697737055165123</v>
      </c>
      <c r="N426" s="32">
        <f>IF($B426&gt;0,(GETPIVOTDATA(" New Other",'$ Pivot Table'!$A$3,"Category2","Technical Institutes"))/$B426)*100</f>
        <v>10.207736397191749</v>
      </c>
      <c r="O426" s="90">
        <f>IF($B426&gt;0,(GETPIVOTDATA(" New Total",'$ Pivot Table'!$A$3,"Category2","Technical Institutes"))/$B426)*100</f>
        <v>30.293401479414943</v>
      </c>
      <c r="P426" s="6" t="s">
        <v>600</v>
      </c>
      <c r="Q426" s="165">
        <f>+'[2]OLD Tables'!H68</f>
        <v>44650.237449161286</v>
      </c>
      <c r="R426" s="165">
        <f>+GETPIVOTDATA(" Old Total",'$ Pivot Table'!$A$3,"Category2","Technical Institutes")</f>
        <v>11938.055425779428</v>
      </c>
      <c r="S426" s="167">
        <f>IF(Q426&gt;0,R426/Q426*100,)</f>
        <v>26.736824052441122</v>
      </c>
      <c r="T426" s="168">
        <f>+O426-S426</f>
        <v>3.5565774269738206</v>
      </c>
      <c r="U426" s="6" t="s">
        <v>600</v>
      </c>
      <c r="W426" s="247">
        <v>28.612617072290874</v>
      </c>
      <c r="X426" s="247">
        <v>32.272707980125858</v>
      </c>
      <c r="Y426" s="247">
        <v>-3.6600909078349844</v>
      </c>
      <c r="Z426" s="247"/>
    </row>
    <row r="427" spans="1:26">
      <c r="A427" s="149"/>
      <c r="B427" s="31">
        <f>+'[3]NEW Tables 144-163'!H69</f>
        <v>0</v>
      </c>
      <c r="C427" s="32"/>
      <c r="D427" s="34"/>
      <c r="E427" s="32"/>
      <c r="F427" s="32"/>
      <c r="G427" s="32"/>
      <c r="H427" s="32"/>
      <c r="I427" s="32"/>
      <c r="J427" s="32"/>
      <c r="K427" s="32"/>
      <c r="L427" s="32"/>
      <c r="M427" s="32"/>
      <c r="N427" s="32"/>
      <c r="O427" s="90"/>
      <c r="P427" s="6"/>
      <c r="Q427" s="165">
        <f>+'[3]NEW Tables 144-163'!S69</f>
        <v>0</v>
      </c>
      <c r="R427" s="165"/>
      <c r="S427" s="167">
        <f t="shared" ref="S427" si="4">IF(Q427&gt;0,R427/Q427*100,)</f>
        <v>0</v>
      </c>
      <c r="T427" s="168"/>
      <c r="U427" s="6"/>
      <c r="W427" s="247"/>
      <c r="X427" s="247">
        <v>0</v>
      </c>
      <c r="Y427" s="247"/>
      <c r="Z427" s="247"/>
    </row>
    <row r="428" spans="1:26">
      <c r="A428" s="149" t="s">
        <v>479</v>
      </c>
      <c r="B428" s="617">
        <f>+'[2]NEW Tables 143-162'!H70</f>
        <v>53421.884542857144</v>
      </c>
      <c r="C428" s="32">
        <f>IF($B428&gt;0,(GETPIVOTDATA(" New Retirement",'$ Pivot Table'!$A$3,"State","AL","Category2","Technical Institutes"))/$B428)*100</f>
        <v>12.520330844623986</v>
      </c>
      <c r="D428" s="32">
        <f>IF($B428&gt;0,(GETPIVOTDATA(" New Health",'$ Pivot Table'!$A$3,"State","AL","Category2","Technical Institutes"))/$B428)*100</f>
        <v>16.210537303950069</v>
      </c>
      <c r="E428" s="32">
        <f>IF($B428&gt;0,(GETPIVOTDATA(" New Disability",'$ Pivot Table'!$A$3,"State","AL","Category2","Technical Institutes"))/$B428)*100</f>
        <v>0</v>
      </c>
      <c r="F428" s="32"/>
      <c r="G428" s="32">
        <f>IF($B428&gt;0,(GETPIVOTDATA(" New Social Security",'$ Pivot Table'!$A$3,"State","AL","Category2","Technical Institutes"))/$B428)*100</f>
        <v>7.471539631991658</v>
      </c>
      <c r="H428" s="32"/>
      <c r="I428" s="32">
        <f>IF($B428&gt;0,(GETPIVOTDATA(" New Unemployment",'$ Pivot Table'!$A$3,"State","AL","Category2","Technical Institutes"))/$B428)*100</f>
        <v>0</v>
      </c>
      <c r="J428" s="32">
        <f>IF($B428&gt;0,(GETPIVOTDATA(" New Life Insurance",'$ Pivot Table'!$A$3,"State","AL","Category2","Technical Institutes"))/$B428)*100</f>
        <v>13.820996513286079</v>
      </c>
      <c r="K428" s="32"/>
      <c r="L428" s="32">
        <f>IF($B428&gt;0,(GETPIVOTDATA(" New Worker's Comp",'$ Pivot Table'!$A$3,"State","AL","Category2","Technical Institutes"))/$B428)*100</f>
        <v>0</v>
      </c>
      <c r="M428" s="32">
        <f>IF($B428&gt;0,(GETPIVOTDATA(" New Tuition Plans",'$ Pivot Table'!$A$3,"State","AL","Category2","Technical Institutes"))/$B428)*100</f>
        <v>1.6828309365963807</v>
      </c>
      <c r="N428" s="32">
        <f>IF($B428&gt;0,(GETPIVOTDATA(" New Other",'$ Pivot Table'!$A$3,"State","AL","Category2","Technical Institutes"))/$B428)*100</f>
        <v>6.7388113145127591</v>
      </c>
      <c r="O428" s="90">
        <f>IF($B428&gt;0,(GETPIVOTDATA(" New Total",'$ Pivot Table'!$A$3,"State","AL","Category2","Technical Institutes"))/$B428)*100</f>
        <v>35.836758200806777</v>
      </c>
      <c r="P428" s="6" t="s">
        <v>479</v>
      </c>
      <c r="Q428" s="165">
        <f>+'[2]OLD Tables'!H70</f>
        <v>53687.952004907973</v>
      </c>
      <c r="R428" s="165">
        <f>+GETPIVOTDATA(" Old Total",'$ Pivot Table'!$A$3,"State","AL","Category2","Technical Institutes")</f>
        <v>19191.73372</v>
      </c>
      <c r="S428" s="167">
        <f t="shared" ref="S428:S446" si="5">IF(Q428&gt;0,R428/Q428*100,)</f>
        <v>35.74681656369674</v>
      </c>
      <c r="T428" s="168">
        <f t="shared" ref="T428:T446" si="6">+O428-S428</f>
        <v>8.994163711003722E-2</v>
      </c>
      <c r="U428" s="6" t="s">
        <v>479</v>
      </c>
      <c r="W428" s="247">
        <v>35.74681656369674</v>
      </c>
      <c r="X428" s="247">
        <v>35.4099979304792</v>
      </c>
      <c r="Y428" s="247">
        <v>0.3368186332175398</v>
      </c>
      <c r="Z428" s="247"/>
    </row>
    <row r="429" spans="1:26">
      <c r="A429" s="149" t="s">
        <v>480</v>
      </c>
      <c r="B429" s="617">
        <f>+'[2]NEW Tables 143-162'!H71</f>
        <v>0</v>
      </c>
      <c r="C429" s="32">
        <f>IF($B429&gt;0,(GETPIVOTDATA(" New Retirement",'$ Pivot Table'!$A$3,"State","AR","Category2","Technical Institutes"))/$B429)*100</f>
        <v>0</v>
      </c>
      <c r="D429" s="32">
        <f>IF($B429&gt;0,(GETPIVOTDATA(" New Health",'$ Pivot Table'!$A$3,"State","AR","Category2","Technical Institutes"))/$B429)*100</f>
        <v>0</v>
      </c>
      <c r="E429" s="32">
        <f>IF($B429&gt;0,(GETPIVOTDATA(" New Disability",'$ Pivot Table'!$A$3,"State","AR","Category2","Technical Institutes"))/$B429)*100</f>
        <v>0</v>
      </c>
      <c r="F429" s="32"/>
      <c r="G429" s="32">
        <f>IF($B429&gt;0,(GETPIVOTDATA(" New Social Security",'$ Pivot Table'!$A$3,"State","AR","Category2","Technical Institutes"))/$B429)*100</f>
        <v>0</v>
      </c>
      <c r="H429" s="32"/>
      <c r="I429" s="32">
        <f>IF($B429&gt;0,(GETPIVOTDATA(" New Unemployment",'$ Pivot Table'!$A$3,"State","AR","Category2","Technical Institutes"))/$B429)*100</f>
        <v>0</v>
      </c>
      <c r="J429" s="32">
        <f>IF($B429&gt;0,(GETPIVOTDATA(" New Life Insurance",'$ Pivot Table'!$A$3,"State","AR","Category2","Technical Institutes"))/$B429)*100</f>
        <v>0</v>
      </c>
      <c r="K429" s="32"/>
      <c r="L429" s="32">
        <f>IF($B429&gt;0,(GETPIVOTDATA(" New Worker's Comp",'$ Pivot Table'!$A$3,"State","AR","Category2","Technical Institutes"))/$B429)*100</f>
        <v>0</v>
      </c>
      <c r="M429" s="32">
        <f>IF($B429&gt;0,(GETPIVOTDATA(" New Tuition Plans",'$ Pivot Table'!$A$3,"State","AR","Category2","Technical Institutes"))/$B429)*100</f>
        <v>0</v>
      </c>
      <c r="N429" s="32">
        <f>IF($B429&gt;0,(GETPIVOTDATA(" New Other",'$ Pivot Table'!$A$3,"State","AR","Category2","Technical Institutes"))/$B429)*100</f>
        <v>0</v>
      </c>
      <c r="O429" s="90">
        <f>IF($B429&gt;0,(GETPIVOTDATA(" New Total",'$ Pivot Table'!$A$3,"State","AR","Category2","Technical Institutes"))/$B429)*100</f>
        <v>0</v>
      </c>
      <c r="P429" s="6" t="s">
        <v>480</v>
      </c>
      <c r="Q429" s="165">
        <f>+'[2]OLD Tables'!H71</f>
        <v>0</v>
      </c>
      <c r="R429" s="165">
        <f>+GETPIVOTDATA(" Old Total",'$ Pivot Table'!$A$3,"State","AR","Category2","Technical Institutes")</f>
        <v>0</v>
      </c>
      <c r="S429" s="167">
        <f t="shared" si="5"/>
        <v>0</v>
      </c>
      <c r="T429" s="168">
        <f t="shared" si="6"/>
        <v>0</v>
      </c>
      <c r="U429" s="6" t="s">
        <v>480</v>
      </c>
      <c r="W429" s="247">
        <v>0</v>
      </c>
      <c r="X429" s="247">
        <v>0</v>
      </c>
      <c r="Y429" s="247">
        <v>0</v>
      </c>
      <c r="Z429" s="247"/>
    </row>
    <row r="430" spans="1:26">
      <c r="A430" s="149" t="s">
        <v>494</v>
      </c>
      <c r="B430" s="617">
        <f>+'[2]NEW Tables 143-162'!H72</f>
        <v>0</v>
      </c>
      <c r="C430" s="32">
        <f>IF($B430&gt;0,(GETPIVOTDATA(" New Retirement",'$ Pivot Table'!$A$3,"State","DE","Category2","Technical Institutes"))/$B430)*100</f>
        <v>0</v>
      </c>
      <c r="D430" s="32">
        <f>IF($B430&gt;0,(GETPIVOTDATA(" New Health",'$ Pivot Table'!$A$3,"State","DE","Category2","Technical Institutes"))/$B430)*100</f>
        <v>0</v>
      </c>
      <c r="E430" s="32">
        <f>IF($B430&gt;0,(GETPIVOTDATA(" New Disability",'$ Pivot Table'!$A$3,"State","DE","Category2","Technical Institutes"))/$B430)*100</f>
        <v>0</v>
      </c>
      <c r="F430" s="32"/>
      <c r="G430" s="32">
        <f>IF($B430&gt;0,(GETPIVOTDATA(" New Social Security",'$ Pivot Table'!$A$3,"State","DE","Category2","Technical Institutes"))/$B430)*100</f>
        <v>0</v>
      </c>
      <c r="H430" s="32"/>
      <c r="I430" s="32">
        <f>IF($B430&gt;0,(GETPIVOTDATA(" New Unemployment",'$ Pivot Table'!$A$3,"State","DE","Category2","Technical Institutes"))/$B430)*100</f>
        <v>0</v>
      </c>
      <c r="J430" s="32">
        <f>IF($B430&gt;0,(GETPIVOTDATA(" New Life Insurance",'$ Pivot Table'!$A$3,"State","DE","Category2","Technical Institutes"))/$B430)*100</f>
        <v>0</v>
      </c>
      <c r="K430" s="32"/>
      <c r="L430" s="32">
        <f>IF($B430&gt;0,(GETPIVOTDATA(" New Worker's Comp",'$ Pivot Table'!$A$3,"State","DE","Category2","Technical Institutes"))/$B430)*100</f>
        <v>0</v>
      </c>
      <c r="M430" s="32">
        <f>IF($B430&gt;0,(GETPIVOTDATA(" New Tuition Plans",'$ Pivot Table'!$A$3,"State","DE","Category2","Technical Institutes"))/$B430)*100</f>
        <v>0</v>
      </c>
      <c r="N430" s="32">
        <f>IF($B430&gt;0,(GETPIVOTDATA(" New Other",'$ Pivot Table'!$A$3,"State","DE","Category2","Technical Institutes"))/$B430)*100</f>
        <v>0</v>
      </c>
      <c r="O430" s="90">
        <f>IF($B430&gt;0,(GETPIVOTDATA(" New Total",'$ Pivot Table'!$A$3,"State","DE","Category2","Technical Institutes"))/$B430)*100</f>
        <v>0</v>
      </c>
      <c r="P430" s="6" t="s">
        <v>494</v>
      </c>
      <c r="Q430" s="166">
        <f>+'[2]OLD Tables'!H72</f>
        <v>0</v>
      </c>
      <c r="R430" s="166">
        <f>+GETPIVOTDATA(" Old Total",'$ Pivot Table'!$A$3,"State","DE","Category2","Technical Institutes")</f>
        <v>0</v>
      </c>
      <c r="S430" s="167">
        <f t="shared" si="5"/>
        <v>0</v>
      </c>
      <c r="T430" s="168">
        <f t="shared" si="6"/>
        <v>0</v>
      </c>
      <c r="U430" s="6" t="s">
        <v>494</v>
      </c>
      <c r="W430" s="247">
        <v>0</v>
      </c>
      <c r="X430" s="247">
        <v>0</v>
      </c>
      <c r="Y430" s="247">
        <v>0</v>
      </c>
      <c r="Z430" s="247"/>
    </row>
    <row r="431" spans="1:26">
      <c r="A431" s="149" t="s">
        <v>481</v>
      </c>
      <c r="B431" s="617">
        <f>+'[2]NEW Tables 143-162'!H73</f>
        <v>0</v>
      </c>
      <c r="C431" s="32">
        <f>IF($B431&gt;0,(GETPIVOTDATA(" New Retirement",'$ Pivot Table'!$A$3,"State","FL","Category2","Technical Institutes"))/$B431)*100</f>
        <v>0</v>
      </c>
      <c r="D431" s="32">
        <f>IF($B431&gt;0,(GETPIVOTDATA(" New Health",'$ Pivot Table'!$A$3,"State","FL","Category2","Technical Institutes"))/$B431)*100</f>
        <v>0</v>
      </c>
      <c r="E431" s="32">
        <f>IF($B431&gt;0,(GETPIVOTDATA(" New Disability",'$ Pivot Table'!$A$3,"State","FL","Category2","Technical Institutes"))/$B431)*100</f>
        <v>0</v>
      </c>
      <c r="F431" s="32"/>
      <c r="G431" s="32">
        <f>IF($B431&gt;0,(GETPIVOTDATA(" New Social Security",'$ Pivot Table'!$A$3,"State","FL","Category2","Technical Institutes"))/$B431)*100</f>
        <v>0</v>
      </c>
      <c r="H431" s="32"/>
      <c r="I431" s="32">
        <f>IF($B431&gt;0,(GETPIVOTDATA(" New Unemployment",'$ Pivot Table'!$A$3,"State","FL","Category2","Technical Institutes"))/$B431)*100</f>
        <v>0</v>
      </c>
      <c r="J431" s="32">
        <f>IF($B431&gt;0,(GETPIVOTDATA(" New Life Insurance",'$ Pivot Table'!$A$3,"State","FL","Category2","Technical Institutes"))/$B431)*100</f>
        <v>0</v>
      </c>
      <c r="K431" s="32"/>
      <c r="L431" s="32">
        <f>IF($B431&gt;0,(GETPIVOTDATA(" New Worker's Comp",'$ Pivot Table'!$A$3,"State","FL","Category2","Technical Institutes"))/$B431)*100</f>
        <v>0</v>
      </c>
      <c r="M431" s="32">
        <f>IF($B431&gt;0,(GETPIVOTDATA(" New Tuition Plans",'$ Pivot Table'!$A$3,"State","FL","Category2","Technical Institutes"))/$B431)*100</f>
        <v>0</v>
      </c>
      <c r="N431" s="32">
        <f>IF($B431&gt;0,(GETPIVOTDATA(" New Other",'$ Pivot Table'!$A$3,"State","FL","Category2","Technical Institutes"))/$B431)*100</f>
        <v>0</v>
      </c>
      <c r="O431" s="90">
        <f>IF($B431&gt;0,(GETPIVOTDATA(" New Total",'$ Pivot Table'!$A$3,"State","FL","Category2","Technical Institutes"))/$B431)*100</f>
        <v>0</v>
      </c>
      <c r="P431" s="6" t="s">
        <v>481</v>
      </c>
      <c r="Q431" s="165">
        <f>+'[2]OLD Tables'!H73</f>
        <v>0</v>
      </c>
      <c r="R431" s="165">
        <f>+GETPIVOTDATA(" Old Total",'$ Pivot Table'!$A$3,"State","FL","Category2","Technical Institutes")</f>
        <v>0</v>
      </c>
      <c r="S431" s="167">
        <f t="shared" si="5"/>
        <v>0</v>
      </c>
      <c r="T431" s="168">
        <f t="shared" si="6"/>
        <v>0</v>
      </c>
      <c r="U431" s="6" t="s">
        <v>481</v>
      </c>
      <c r="W431" s="247">
        <v>0</v>
      </c>
      <c r="X431" s="247">
        <v>0</v>
      </c>
      <c r="Y431" s="247">
        <v>0</v>
      </c>
      <c r="Z431" s="247"/>
    </row>
    <row r="432" spans="1:26">
      <c r="A432" s="149"/>
      <c r="B432" s="617">
        <f>+'[2]NEW Tables 143-162'!H74</f>
        <v>0</v>
      </c>
      <c r="C432" s="32"/>
      <c r="D432" s="32"/>
      <c r="E432" s="32"/>
      <c r="F432" s="32"/>
      <c r="G432" s="32"/>
      <c r="H432" s="32"/>
      <c r="I432" s="32"/>
      <c r="J432" s="32"/>
      <c r="K432" s="32"/>
      <c r="L432" s="32"/>
      <c r="M432" s="32"/>
      <c r="N432" s="32"/>
      <c r="O432" s="90"/>
      <c r="P432" s="6"/>
      <c r="Q432" s="165">
        <f>+'[2]OLD Tables'!H74</f>
        <v>0</v>
      </c>
      <c r="R432" s="165"/>
      <c r="S432" s="167"/>
      <c r="T432" s="168"/>
      <c r="U432" s="6"/>
      <c r="W432" s="247"/>
      <c r="X432" s="247"/>
      <c r="Y432" s="247"/>
      <c r="Z432" s="247"/>
    </row>
    <row r="433" spans="1:26">
      <c r="A433" s="149" t="s">
        <v>482</v>
      </c>
      <c r="B433" s="617">
        <f>+'[2]NEW Tables 143-162'!H75</f>
        <v>45023.665847234421</v>
      </c>
      <c r="C433" s="32">
        <f>IF($B433&gt;0,(GETPIVOTDATA(" New Retirement",'$ Pivot Table'!$A$3,"State","GA","Category2","Technical Institutes"))/$B433)*100</f>
        <v>9.3790694457230082</v>
      </c>
      <c r="D433" s="32">
        <f>IF($B433&gt;0,(GETPIVOTDATA(" New Health",'$ Pivot Table'!$A$3,"State","GA","Category2","Technical Institutes"))/$B433)*100</f>
        <v>27.066916035493609</v>
      </c>
      <c r="E433" s="90">
        <f>IF($B433&gt;0,(GETPIVOTDATA(" New Disability",'$ Pivot Table'!$A$3,"State","GA","Category2","Technical Institutes"))/$B433)*100</f>
        <v>0</v>
      </c>
      <c r="F433" s="90"/>
      <c r="G433" s="90">
        <f>IF($B433&gt;0,(GETPIVOTDATA(" New Social Security",'$ Pivot Table'!$A$3,"State","GA","Category2","Technical Institutes"))/$B433)*100</f>
        <v>2.7691254032929611</v>
      </c>
      <c r="H433" s="91">
        <v>2</v>
      </c>
      <c r="I433" s="32">
        <f>IF($B433&gt;0,(GETPIVOTDATA(" New Unemployment",'$ Pivot Table'!$A$3,"State","GA","Category2","Technical Institutes"))/$B433)*100</f>
        <v>0.3003037267947794</v>
      </c>
      <c r="J433" s="32">
        <f>IF($B433&gt;0,(GETPIVOTDATA(" New Life Insurance",'$ Pivot Table'!$A$3,"State","GA","Category2","Technical Institutes"))/$B433)*100</f>
        <v>0</v>
      </c>
      <c r="K433" s="32"/>
      <c r="L433" s="32">
        <f>IF($B433&gt;0,(GETPIVOTDATA(" New Worker's Comp",'$ Pivot Table'!$A$3,"State","GA","Category2","Technical Institutes"))/$B433)*100</f>
        <v>0.5834241655436484</v>
      </c>
      <c r="M433" s="32">
        <f>IF($B433&gt;0,(GETPIVOTDATA(" New Tuition Plans",'$ Pivot Table'!$A$3,"State","GA","Category2","Technical Institutes"))/$B433)*100</f>
        <v>0</v>
      </c>
      <c r="N433" s="32">
        <f>IF($B433&gt;0,(GETPIVOTDATA(" New Other",'$ Pivot Table'!$A$3,"State","GA","Category2","Technical Institutes"))/$B433)*100</f>
        <v>29.034437635915317</v>
      </c>
      <c r="O433" s="90">
        <f>IF($B433&gt;0,(GETPIVOTDATA(" New Total",'$ Pivot Table'!$A$3,"State","GA","Category2","Technical Institutes"))/$B433)*100</f>
        <v>34.602654398386115</v>
      </c>
      <c r="P433" s="6" t="s">
        <v>482</v>
      </c>
      <c r="Q433" s="165">
        <f>+'[2]OLD Tables'!H75</f>
        <v>44879.06612536747</v>
      </c>
      <c r="R433" s="165">
        <f>+GETPIVOTDATA(" Old Total",'$ Pivot Table'!$A$3,"State","GA","Category2","Technical Institutes")</f>
        <v>12409.230815975794</v>
      </c>
      <c r="S433" s="167">
        <f t="shared" si="5"/>
        <v>27.650376639547748</v>
      </c>
      <c r="T433" s="168">
        <f t="shared" si="6"/>
        <v>6.9522777588383669</v>
      </c>
      <c r="U433" s="6" t="s">
        <v>482</v>
      </c>
      <c r="W433" s="247">
        <v>32.05690000645761</v>
      </c>
      <c r="X433" s="247">
        <v>39.661648014763301</v>
      </c>
      <c r="Y433" s="247">
        <v>-7.6047480083056911</v>
      </c>
      <c r="Z433" s="247"/>
    </row>
    <row r="434" spans="1:26">
      <c r="A434" s="149" t="s">
        <v>483</v>
      </c>
      <c r="B434" s="617">
        <f>+'[2]NEW Tables 143-162'!H76</f>
        <v>44076.473624050632</v>
      </c>
      <c r="C434" s="32">
        <f>IF($B434&gt;0,(GETPIVOTDATA(" New Retirement",'$ Pivot Table'!$A$3,"State","KY","Category2","Technical Institutes"))/$B434)*100</f>
        <v>12.632490573556437</v>
      </c>
      <c r="D434" s="32">
        <f>IF($B434&gt;0,(GETPIVOTDATA(" New Health",'$ Pivot Table'!$A$3,"State","KY","Category2","Technical Institutes"))/$B434)*100</f>
        <v>16.964904473413803</v>
      </c>
      <c r="E434" s="90">
        <f>IF($B434&gt;0,(GETPIVOTDATA(" New Disability",'$ Pivot Table'!$A$3,"State","KY","Category2","Technical Institutes"))/$B434)*100</f>
        <v>0</v>
      </c>
      <c r="F434" s="90"/>
      <c r="G434" s="90">
        <f>IF($B434&gt;0,(GETPIVOTDATA(" New Social Security",'$ Pivot Table'!$A$3,"State","KY","Category2","Technical Institutes"))/$B434)*100</f>
        <v>5.1766991499928183</v>
      </c>
      <c r="H434" s="90"/>
      <c r="I434" s="32">
        <f>IF($B434&gt;0,(GETPIVOTDATA(" New Unemployment",'$ Pivot Table'!$A$3,"State","KY","Category2","Technical Institutes"))/$B434)*100</f>
        <v>0</v>
      </c>
      <c r="J434" s="56">
        <f>IF($B434&gt;0,(GETPIVOTDATA(" New Life Insurance",'$ Pivot Table'!$A$3,"State","KY","Category2","Technical Institutes"))/$B434)*100</f>
        <v>4.0859269890930618E-2</v>
      </c>
      <c r="K434" s="32"/>
      <c r="L434" s="32">
        <f>IF($B434&gt;0,(GETPIVOTDATA(" New Worker's Comp",'$ Pivot Table'!$A$3,"State","KY","Category2","Technical Institutes"))/$B434)*100</f>
        <v>0</v>
      </c>
      <c r="M434" s="32">
        <f>IF($B434&gt;0,(GETPIVOTDATA(" New Tuition Plans",'$ Pivot Table'!$A$3,"State","KY","Category2","Technical Institutes"))/$B434)*100</f>
        <v>1.9500198843743433</v>
      </c>
      <c r="N434" s="32">
        <f>IF($B434&gt;0,(GETPIVOTDATA(" New Other",'$ Pivot Table'!$A$3,"State","KY","Category2","Technical Institutes"))/$B434)*100</f>
        <v>0</v>
      </c>
      <c r="O434" s="90">
        <f>IF($B434&gt;0,(GETPIVOTDATA(" New Total",'$ Pivot Table'!$A$3,"State","KY","Category2","Technical Institutes"))/$B434)*100</f>
        <v>32.508565383544955</v>
      </c>
      <c r="P434" s="6" t="s">
        <v>483</v>
      </c>
      <c r="Q434" s="165">
        <f>+'[2]OLD Tables'!H76</f>
        <v>44346.303811034486</v>
      </c>
      <c r="R434" s="165">
        <f>+GETPIVOTDATA(" Old Total",'$ Pivot Table'!$A$3,"State","KY","Category2","Technical Institutes")</f>
        <v>13429.126571862069</v>
      </c>
      <c r="S434" s="167">
        <f t="shared" si="5"/>
        <v>30.282403307128746</v>
      </c>
      <c r="T434" s="168">
        <f t="shared" si="6"/>
        <v>2.2261620764162089</v>
      </c>
      <c r="U434" s="6" t="s">
        <v>483</v>
      </c>
      <c r="W434" s="247">
        <v>30.282403307128746</v>
      </c>
      <c r="X434" s="247">
        <v>29.628413301043071</v>
      </c>
      <c r="Y434" s="247">
        <v>0.65399000608567448</v>
      </c>
      <c r="Z434" s="247"/>
    </row>
    <row r="435" spans="1:26">
      <c r="A435" s="149" t="s">
        <v>484</v>
      </c>
      <c r="B435" s="617">
        <f>+'[2]NEW Tables 143-162'!H77</f>
        <v>39888.010683912697</v>
      </c>
      <c r="C435" s="32">
        <f>IF($B435&gt;0,(GETPIVOTDATA(" New Retirement",'$ Pivot Table'!$A$3,"State","LA","Category2","Technical Institutes"))/$B435)*100</f>
        <v>15.086013461968461</v>
      </c>
      <c r="D435" s="32">
        <f>IF($B435&gt;0,(GETPIVOTDATA(" New Health",'$ Pivot Table'!$A$3,"State","LA","Category2","Technical Institutes"))/$B435)*100</f>
        <v>14.786850144110117</v>
      </c>
      <c r="E435" s="90">
        <f>IF($B435&gt;0,(GETPIVOTDATA(" New Disability",'$ Pivot Table'!$A$3,"State","LA","Category2","Technical Institutes"))/$B435)*100</f>
        <v>0</v>
      </c>
      <c r="F435" s="90"/>
      <c r="G435" s="90">
        <f>IF($B435&gt;0,(GETPIVOTDATA(" New Social Security",'$ Pivot Table'!$A$3,"State","LA","Category2","Technical Institutes"))/$B435)*100</f>
        <v>1.3190217225152194</v>
      </c>
      <c r="H435" s="91">
        <v>2</v>
      </c>
      <c r="I435" s="32">
        <f>IF($B435&gt;0,(GETPIVOTDATA(" New Unemployment",'$ Pivot Table'!$A$3,"State","LA","Category2","Technical Institutes"))/$B435)*100</f>
        <v>0</v>
      </c>
      <c r="J435" s="32">
        <f>IF($B435&gt;0,(GETPIVOTDATA(" New Life Insurance",'$ Pivot Table'!$A$3,"State","LA","Category2","Technical Institutes"))/$B435)*100</f>
        <v>0.59047225799374514</v>
      </c>
      <c r="K435" s="32"/>
      <c r="L435" s="32">
        <f>IF($B435&gt;0,(GETPIVOTDATA(" New Worker's Comp",'$ Pivot Table'!$A$3,"State","LA","Category2","Technical Institutes"))/$B435)*100</f>
        <v>0.32409638330782531</v>
      </c>
      <c r="M435" s="32">
        <f>IF($B435&gt;0,(GETPIVOTDATA(" New Tuition Plans",'$ Pivot Table'!$A$3,"State","LA","Category2","Technical Institutes"))/$B435)*100</f>
        <v>0</v>
      </c>
      <c r="N435" s="32">
        <f>IF($B435&gt;0,(GETPIVOTDATA(" New Other",'$ Pivot Table'!$A$3,"State","LA","Category2","Technical Institutes"))/$B435)*100</f>
        <v>0</v>
      </c>
      <c r="O435" s="90">
        <f>IF($B435&gt;0,(GETPIVOTDATA(" New Total",'$ Pivot Table'!$A$3,"State","LA","Category2","Technical Institutes"))/$B435)*100</f>
        <v>25.106176977654656</v>
      </c>
      <c r="P435" s="6" t="s">
        <v>484</v>
      </c>
      <c r="Q435" s="165">
        <f>+'[2]OLD Tables'!H77</f>
        <v>40111.521519540227</v>
      </c>
      <c r="R435" s="165">
        <f>+GETPIVOTDATA(" Old Total",'$ Pivot Table'!$A$3,"State","LA","Category2","Technical Institutes")</f>
        <v>10941.286098632479</v>
      </c>
      <c r="S435" s="167">
        <f t="shared" si="5"/>
        <v>27.277165473023651</v>
      </c>
      <c r="T435" s="168">
        <f t="shared" si="6"/>
        <v>-2.1709884953689951</v>
      </c>
      <c r="U435" s="6" t="s">
        <v>484</v>
      </c>
      <c r="W435" s="247">
        <v>27.277165473023651</v>
      </c>
      <c r="X435" s="247">
        <v>29.438769033798586</v>
      </c>
      <c r="Y435" s="247">
        <v>-2.1616035607749353</v>
      </c>
      <c r="Z435" s="247"/>
    </row>
    <row r="436" spans="1:26">
      <c r="A436" s="149" t="s">
        <v>485</v>
      </c>
      <c r="B436" s="617">
        <f>+'[2]NEW Tables 143-162'!H78</f>
        <v>0</v>
      </c>
      <c r="C436" s="32">
        <f>IF($B436&gt;0,(GETPIVOTDATA(" New Retirement",'$ Pivot Table'!$A$3,"State","MD","Category2","Technical Institutes"))/$B436)*100</f>
        <v>0</v>
      </c>
      <c r="D436" s="32">
        <f>IF($B436&gt;0,(GETPIVOTDATA(" New Health",'$ Pivot Table'!$A$3,"State","MD","Category2","Technical Institutes"))/$B436)*100</f>
        <v>0</v>
      </c>
      <c r="E436" s="90">
        <f>IF($B436&gt;0,(GETPIVOTDATA(" New Disability",'$ Pivot Table'!$A$3,"State","MD","Category2","Technical Institutes"))/$B436)*100</f>
        <v>0</v>
      </c>
      <c r="F436" s="90"/>
      <c r="G436" s="90">
        <f>IF($B436&gt;0,(GETPIVOTDATA(" New Social Security",'$ Pivot Table'!$A$3,"State","MD","Category2","Technical Institutes"))/$B436)*100</f>
        <v>0</v>
      </c>
      <c r="H436" s="90"/>
      <c r="I436" s="32">
        <f>IF($B436&gt;0,(GETPIVOTDATA(" New Unemployment",'$ Pivot Table'!$A$3,"State","MD","Category2","Technical Institutes"))/$B436)*100</f>
        <v>0</v>
      </c>
      <c r="J436" s="32">
        <f>IF($B436&gt;0,(GETPIVOTDATA(" New Life Insurance",'$ Pivot Table'!$A$3,"State","MD","Category2","Technical Institutes"))/$B436)*100</f>
        <v>0</v>
      </c>
      <c r="K436" s="32"/>
      <c r="L436" s="32">
        <f>IF($B436&gt;0,(GETPIVOTDATA(" New Worker's Comp",'$ Pivot Table'!$A$3,"State","MD","Category2","Technical Institutes"))/$B436)*100</f>
        <v>0</v>
      </c>
      <c r="M436" s="32">
        <f>IF($B436&gt;0,(GETPIVOTDATA(" New Tuition Plans",'$ Pivot Table'!$A$3,"State","MD","Category2","Technical Institutes"))/$B436)*100</f>
        <v>0</v>
      </c>
      <c r="N436" s="32">
        <f>IF($B436&gt;0,(GETPIVOTDATA(" New Other",'$ Pivot Table'!$A$3,"State","MD","Category2","Technical Institutes"))/$B436)*100</f>
        <v>0</v>
      </c>
      <c r="O436" s="90">
        <f>IF($B436&gt;0,(GETPIVOTDATA(" New Total",'$ Pivot Table'!$A$3,"State","MD","Category2","Technical Institutes"))/$B436)*100</f>
        <v>0</v>
      </c>
      <c r="P436" s="6" t="s">
        <v>485</v>
      </c>
      <c r="Q436" s="165">
        <f>+'[2]OLD Tables'!H78</f>
        <v>0</v>
      </c>
      <c r="R436" s="165">
        <f>+GETPIVOTDATA(" Old Total",'$ Pivot Table'!$A$3,"State","MD","Category2","Technical Institutes")</f>
        <v>0</v>
      </c>
      <c r="S436" s="167">
        <f t="shared" si="5"/>
        <v>0</v>
      </c>
      <c r="T436" s="168">
        <f t="shared" si="6"/>
        <v>0</v>
      </c>
      <c r="U436" s="6" t="s">
        <v>485</v>
      </c>
      <c r="W436" s="247">
        <v>0</v>
      </c>
      <c r="X436" s="247">
        <v>0</v>
      </c>
      <c r="Y436" s="247">
        <v>0</v>
      </c>
      <c r="Z436" s="247"/>
    </row>
    <row r="437" spans="1:26">
      <c r="A437" s="149"/>
      <c r="B437" s="617">
        <f>+'[2]NEW Tables 143-162'!H79</f>
        <v>0</v>
      </c>
      <c r="C437" s="32"/>
      <c r="D437" s="32"/>
      <c r="E437" s="90"/>
      <c r="F437" s="90"/>
      <c r="G437" s="90"/>
      <c r="H437" s="90"/>
      <c r="I437" s="32"/>
      <c r="J437" s="32"/>
      <c r="K437" s="32"/>
      <c r="L437" s="32"/>
      <c r="M437" s="32"/>
      <c r="N437" s="32"/>
      <c r="O437" s="90"/>
      <c r="P437" s="6"/>
      <c r="Q437" s="165">
        <f>+'[2]OLD Tables'!H79</f>
        <v>0</v>
      </c>
      <c r="R437" s="165"/>
      <c r="S437" s="167"/>
      <c r="T437" s="168"/>
      <c r="U437" s="6"/>
      <c r="W437" s="247"/>
      <c r="X437" s="247"/>
      <c r="Y437" s="247"/>
      <c r="Z437" s="247"/>
    </row>
    <row r="438" spans="1:26">
      <c r="A438" s="149" t="s">
        <v>486</v>
      </c>
      <c r="B438" s="617">
        <f>+'[2]NEW Tables 143-162'!H80</f>
        <v>0</v>
      </c>
      <c r="C438" s="32">
        <f>IF($B438&gt;0,(GETPIVOTDATA(" New Retirement",'$ Pivot Table'!$A$3,"State","MS","Category2","Technical Institutes"))/$B438)*100</f>
        <v>0</v>
      </c>
      <c r="D438" s="32">
        <f>IF($B438&gt;0,(GETPIVOTDATA(" New Health",'$ Pivot Table'!$A$3,"State","MS","Category2","Technical Institutes"))/$B438)*100</f>
        <v>0</v>
      </c>
      <c r="E438" s="90">
        <f>IF($B438&gt;0,(GETPIVOTDATA(" New Disability",'$ Pivot Table'!$A$3,"State","MS","Category2","Technical Institutes"))/$B438)*100</f>
        <v>0</v>
      </c>
      <c r="F438" s="90"/>
      <c r="G438" s="90">
        <f>IF($B438&gt;0,(GETPIVOTDATA(" New Social Security",'$ Pivot Table'!$A$3,"State","MS","Category2","Technical Institutes"))/$B438)*100</f>
        <v>0</v>
      </c>
      <c r="H438" s="90"/>
      <c r="I438" s="32">
        <f>IF($B438&gt;0,(GETPIVOTDATA(" New Unemployment",'$ Pivot Table'!$A$3,"State","MS","Category2","Technical Institutes"))/$B438)*100</f>
        <v>0</v>
      </c>
      <c r="J438" s="32">
        <f>IF($B438&gt;0,(GETPIVOTDATA(" New Life Insurance",'$ Pivot Table'!$A$3,"State","MS","Category2","Technical Institutes"))/$B438)*100</f>
        <v>0</v>
      </c>
      <c r="K438" s="32"/>
      <c r="L438" s="32">
        <f>IF($B438&gt;0,(GETPIVOTDATA(" New Worker's Comp",'$ Pivot Table'!$A$3,"State","MS","Category2","Technical Institutes"))/$B438)*100</f>
        <v>0</v>
      </c>
      <c r="M438" s="32">
        <f>IF($B438&gt;0,(GETPIVOTDATA(" New Tuition Plans",'$ Pivot Table'!$A$3,"State","MS","Category2","Technical Institutes"))/$B438)*100</f>
        <v>0</v>
      </c>
      <c r="N438" s="32">
        <f>IF($B438&gt;0,(GETPIVOTDATA(" New Other",'$ Pivot Table'!$A$3,"State","MS","Category2","Technical Institutes"))/$B438)*100</f>
        <v>0</v>
      </c>
      <c r="O438" s="90">
        <f>IF($B438&gt;0,(GETPIVOTDATA(" New Total",'$ Pivot Table'!$A$3,"State","MS","Category2","Technical Institutes"))/$B438)*100</f>
        <v>0</v>
      </c>
      <c r="P438" s="6" t="s">
        <v>486</v>
      </c>
      <c r="Q438" s="165">
        <f>+'[2]OLD Tables'!H80</f>
        <v>0</v>
      </c>
      <c r="R438" s="165">
        <f>+GETPIVOTDATA(" Old Total",'$ Pivot Table'!$A$3,"State","MS","Category2","Technical Institutes")</f>
        <v>0</v>
      </c>
      <c r="S438" s="167">
        <f t="shared" si="5"/>
        <v>0</v>
      </c>
      <c r="T438" s="168">
        <f t="shared" si="6"/>
        <v>0</v>
      </c>
      <c r="U438" s="6" t="s">
        <v>486</v>
      </c>
      <c r="W438" s="247">
        <v>0</v>
      </c>
      <c r="X438" s="247">
        <v>0</v>
      </c>
      <c r="Y438" s="247">
        <v>0</v>
      </c>
      <c r="Z438" s="247"/>
    </row>
    <row r="439" spans="1:26">
      <c r="A439" s="149" t="s">
        <v>487</v>
      </c>
      <c r="B439" s="617">
        <f>+'[2]NEW Tables 143-162'!H81</f>
        <v>0</v>
      </c>
      <c r="C439" s="32">
        <f>IF($B439&gt;0,(GETPIVOTDATA(" New Retirement",'$ Pivot Table'!$A$3,"State","NC","Category2","Technical Institutes"))/$B439)*100</f>
        <v>0</v>
      </c>
      <c r="D439" s="32">
        <f>IF($B439&gt;0,(GETPIVOTDATA(" New Health",'$ Pivot Table'!$A$3,"State","NC","Category2","Technical Institutes"))/$B439)*100</f>
        <v>0</v>
      </c>
      <c r="E439" s="90">
        <f>IF($B439&gt;0,(GETPIVOTDATA(" New Disability",'$ Pivot Table'!$A$3,"State","NC","Category2","Technical Institutes"))/$B439)*100</f>
        <v>0</v>
      </c>
      <c r="F439" s="90"/>
      <c r="G439" s="90">
        <f>IF($B439&gt;0,(GETPIVOTDATA(" New Social Security",'$ Pivot Table'!$A$3,"State","NC","Category2","Technical Institutes"))/$B439)*100</f>
        <v>0</v>
      </c>
      <c r="H439" s="90"/>
      <c r="I439" s="32">
        <f>IF($B439&gt;0,(GETPIVOTDATA(" New Unemployment",'$ Pivot Table'!$A$3,"State","NC","Category2","Technical Institutes"))/$B439)*100</f>
        <v>0</v>
      </c>
      <c r="J439" s="32">
        <f>IF($B439&gt;0,(GETPIVOTDATA(" New Life Insurance",'$ Pivot Table'!$A$3,"State","NC","Category2","Technical Institutes"))/$B439)*100</f>
        <v>0</v>
      </c>
      <c r="K439" s="32"/>
      <c r="L439" s="32">
        <f>IF($B439&gt;0,(GETPIVOTDATA(" New Worker's Comp",'$ Pivot Table'!$A$3,"State","NC","Category2","Technical Institutes"))/$B439)*100</f>
        <v>0</v>
      </c>
      <c r="M439" s="32">
        <f>IF($B439&gt;0,(GETPIVOTDATA(" New Tuition Plans",'$ Pivot Table'!$A$3,"State","NC","Category2","Technical Institutes"))/$B439)*100</f>
        <v>0</v>
      </c>
      <c r="N439" s="32">
        <f>IF($B439&gt;0,(GETPIVOTDATA(" New Other",'$ Pivot Table'!$A$3,"State","NC","Category2","Technical Institutes"))/$B439)*100</f>
        <v>0</v>
      </c>
      <c r="O439" s="90">
        <f>IF($B439&gt;0,(GETPIVOTDATA(" New Total",'$ Pivot Table'!$A$3,"State","NC","Category2","Technical Institutes"))/$B439)*100</f>
        <v>0</v>
      </c>
      <c r="P439" s="6" t="s">
        <v>487</v>
      </c>
      <c r="Q439" s="165">
        <f>+'[2]OLD Tables'!H81</f>
        <v>0</v>
      </c>
      <c r="R439" s="165">
        <f>+GETPIVOTDATA(" Old Total",'$ Pivot Table'!$A$3,"State","NC","Category2","Technical Institutes")</f>
        <v>0</v>
      </c>
      <c r="S439" s="167">
        <f t="shared" si="5"/>
        <v>0</v>
      </c>
      <c r="T439" s="168">
        <f t="shared" si="6"/>
        <v>0</v>
      </c>
      <c r="U439" s="6" t="s">
        <v>487</v>
      </c>
      <c r="W439" s="247">
        <v>0</v>
      </c>
      <c r="X439" s="247">
        <v>0</v>
      </c>
      <c r="Y439" s="247">
        <v>0</v>
      </c>
      <c r="Z439" s="247"/>
    </row>
    <row r="440" spans="1:26">
      <c r="A440" s="149" t="s">
        <v>488</v>
      </c>
      <c r="B440" s="617">
        <f>+'[2]NEW Tables 143-162'!H82</f>
        <v>48882.789532329502</v>
      </c>
      <c r="C440" s="32">
        <f>IF($B440&gt;0,(GETPIVOTDATA(" New Retirement",'$ Pivot Table'!$A$3,"State","OK","Category2","Technical Institutes"))/$B440)*100</f>
        <v>7.5288149404558702</v>
      </c>
      <c r="D440" s="32">
        <f>IF($B440&gt;0,(GETPIVOTDATA(" New Health",'$ Pivot Table'!$A$3,"State","OK","Category2","Technical Institutes"))/$B440)*100</f>
        <v>11.878702884429181</v>
      </c>
      <c r="E440" s="90">
        <f>IF($B440&gt;0,(GETPIVOTDATA(" New Disability",'$ Pivot Table'!$A$3,"State","OK","Category2","Technical Institutes"))/$B440)*100</f>
        <v>0</v>
      </c>
      <c r="F440" s="90"/>
      <c r="G440" s="90">
        <f>IF($B440&gt;0,(GETPIVOTDATA(" New Social Security",'$ Pivot Table'!$A$3,"State","OK","Category2","Technical Institutes"))/$B440)*100</f>
        <v>0</v>
      </c>
      <c r="H440" s="90"/>
      <c r="I440" s="32">
        <f>IF($B440&gt;0,(GETPIVOTDATA(" New Unemployment",'$ Pivot Table'!$A$3,"State","OK","Category2","Technical Institutes"))/$B440)*100</f>
        <v>0</v>
      </c>
      <c r="J440" s="32">
        <f>IF($B440&gt;0,(GETPIVOTDATA(" New Life Insurance",'$ Pivot Table'!$A$3,"State","OK","Category2","Technical Institutes"))/$B440)*100</f>
        <v>0</v>
      </c>
      <c r="K440" s="32"/>
      <c r="L440" s="32">
        <f>IF($B440&gt;0,(GETPIVOTDATA(" New Worker's Comp",'$ Pivot Table'!$A$3,"State","OK","Category2","Technical Institutes"))/$B440)*100</f>
        <v>0</v>
      </c>
      <c r="M440" s="32">
        <f>IF($B440&gt;0,(GETPIVOTDATA(" New Tuition Plans",'$ Pivot Table'!$A$3,"State","OK","Category2","Technical Institutes"))/$B440)*100</f>
        <v>0</v>
      </c>
      <c r="N440" s="32">
        <f>IF($B440&gt;0,(GETPIVOTDATA(" New Other",'$ Pivot Table'!$A$3,"State","OK","Category2","Technical Institutes"))/$B440)*100</f>
        <v>5.6102099103611618</v>
      </c>
      <c r="O440" s="90">
        <f>IF($B440&gt;0,(GETPIVOTDATA(" New Total",'$ Pivot Table'!$A$3,"State","OK","Category2","Technical Institutes"))/$B440)*100</f>
        <v>20.521319094536747</v>
      </c>
      <c r="P440" s="6" t="s">
        <v>488</v>
      </c>
      <c r="Q440" s="165">
        <f>+'[2]OLD Tables'!H82</f>
        <v>48726.991984505796</v>
      </c>
      <c r="R440" s="165">
        <f>+GETPIVOTDATA(" Old Total",'$ Pivot Table'!$A$3,"State","OK","Category2","Technical Institutes")</f>
        <v>9975.4215931960607</v>
      </c>
      <c r="S440" s="167">
        <f t="shared" si="5"/>
        <v>20.472065249519289</v>
      </c>
      <c r="T440" s="168">
        <f t="shared" si="6"/>
        <v>4.925384501745711E-2</v>
      </c>
      <c r="U440" s="6" t="s">
        <v>488</v>
      </c>
      <c r="W440" s="247">
        <v>20.516475234592953</v>
      </c>
      <c r="X440" s="247">
        <v>20.653008448763856</v>
      </c>
      <c r="Y440" s="247">
        <v>-0.13653321417090325</v>
      </c>
      <c r="Z440" s="247"/>
    </row>
    <row r="441" spans="1:26">
      <c r="A441" s="149" t="s">
        <v>489</v>
      </c>
      <c r="B441" s="617">
        <f>+'[2]NEW Tables 143-162'!H83</f>
        <v>0</v>
      </c>
      <c r="C441" s="32">
        <f>IF($B441&gt;0,(GETPIVOTDATA(" New Retirement",'$ Pivot Table'!$A$3,"State","SC","Category2","Technical Institutes"))/$B441)*100</f>
        <v>0</v>
      </c>
      <c r="D441" s="32">
        <f>IF($B441&gt;0,(GETPIVOTDATA(" New Health",'$ Pivot Table'!$A$3,"State","SC","Category2","Technical Institutes"))/$B441)*100</f>
        <v>0</v>
      </c>
      <c r="E441" s="32">
        <f>IF($B441&gt;0,(GETPIVOTDATA(" New Disability",'$ Pivot Table'!$A$3,"State","SC","Category2","Technical Institutes"))/$B441)*100</f>
        <v>0</v>
      </c>
      <c r="F441" s="32"/>
      <c r="G441" s="32">
        <f>IF($B441&gt;0,(GETPIVOTDATA(" New Social Security",'$ Pivot Table'!$A$3,"State","SC","Category2","Technical Institutes"))/$B441)*100</f>
        <v>0</v>
      </c>
      <c r="H441" s="32"/>
      <c r="I441" s="32">
        <f>IF($B441&gt;0,(GETPIVOTDATA(" New Unemployment",'$ Pivot Table'!$A$3,"State","SC","Category2","Technical Institutes"))/$B441)*100</f>
        <v>0</v>
      </c>
      <c r="J441" s="32">
        <f>IF($B441&gt;0,(GETPIVOTDATA(" New Life Insurance",'$ Pivot Table'!$A$3,"State","SC","Category2","Technical Institutes"))/$B441)*100</f>
        <v>0</v>
      </c>
      <c r="K441" s="32"/>
      <c r="L441" s="32">
        <f>IF($B441&gt;0,(GETPIVOTDATA(" New Worker's Comp",'$ Pivot Table'!$A$3,"State","SC","Category2","Technical Institutes"))/$B441)*100</f>
        <v>0</v>
      </c>
      <c r="M441" s="32">
        <f>IF($B441&gt;0,(GETPIVOTDATA(" New Tuition Plans",'$ Pivot Table'!$A$3,"State","SC","Category2","Technical Institutes"))/$B441)*100</f>
        <v>0</v>
      </c>
      <c r="N441" s="32">
        <f>IF($B441&gt;0,(GETPIVOTDATA(" New Other",'$ Pivot Table'!$A$3,"State","SC","Category2","Technical Institutes"))/$B441)*100</f>
        <v>0</v>
      </c>
      <c r="O441" s="90">
        <f>IF($B441&gt;0,(GETPIVOTDATA(" New Total",'$ Pivot Table'!$A$3,"State","SC","Category2","Technical Institutes"))/$B441)*100</f>
        <v>0</v>
      </c>
      <c r="P441" s="6" t="s">
        <v>489</v>
      </c>
      <c r="Q441" s="165">
        <f>+'[2]OLD Tables'!H83</f>
        <v>0</v>
      </c>
      <c r="R441" s="165">
        <f>+GETPIVOTDATA(" Old Total",'$ Pivot Table'!$A$3,"State","SC","Category2","Technical Institutes")</f>
        <v>0</v>
      </c>
      <c r="S441" s="167">
        <f t="shared" si="5"/>
        <v>0</v>
      </c>
      <c r="T441" s="168">
        <f t="shared" si="6"/>
        <v>0</v>
      </c>
      <c r="U441" s="6" t="s">
        <v>489</v>
      </c>
      <c r="W441" s="247">
        <v>0</v>
      </c>
      <c r="X441" s="247">
        <v>0</v>
      </c>
      <c r="Y441" s="247">
        <v>0</v>
      </c>
      <c r="Z441" s="247"/>
    </row>
    <row r="442" spans="1:26">
      <c r="A442" s="149"/>
      <c r="B442" s="617">
        <f>+'[2]NEW Tables 143-162'!H84</f>
        <v>0</v>
      </c>
      <c r="C442" s="32"/>
      <c r="D442" s="32"/>
      <c r="E442" s="32"/>
      <c r="F442" s="32"/>
      <c r="G442" s="32"/>
      <c r="H442" s="32"/>
      <c r="I442" s="32"/>
      <c r="J442" s="32"/>
      <c r="K442" s="32"/>
      <c r="L442" s="32"/>
      <c r="M442" s="32"/>
      <c r="N442" s="32"/>
      <c r="O442" s="90"/>
      <c r="P442" s="6"/>
      <c r="Q442" s="165">
        <f>+'[2]OLD Tables'!H84</f>
        <v>0</v>
      </c>
      <c r="R442" s="165"/>
      <c r="S442" s="167"/>
      <c r="T442" s="168"/>
      <c r="U442" s="6"/>
      <c r="W442" s="247"/>
      <c r="X442" s="247"/>
      <c r="Y442" s="247"/>
      <c r="Z442" s="247"/>
    </row>
    <row r="443" spans="1:26">
      <c r="A443" s="149" t="s">
        <v>490</v>
      </c>
      <c r="B443" s="617">
        <f>+'[2]NEW Tables 143-162'!H85</f>
        <v>36905.217244990548</v>
      </c>
      <c r="C443" s="28">
        <f>IF($B443&gt;0,(GETPIVOTDATA(" New Retirement",'$ Pivot Table'!$A$3,"State","TN","Category2","Technical Institutes"))/$B443)*100</f>
        <v>10</v>
      </c>
      <c r="D443" s="28">
        <f>IF($B443&gt;0,(GETPIVOTDATA(" New Health",'$ Pivot Table'!$A$3,"State","TN","Category2","Technical Institutes"))/$B443)*100</f>
        <v>19.914814507489574</v>
      </c>
      <c r="E443" s="28">
        <f>IF($B443&gt;0,(GETPIVOTDATA(" New Disability",'$ Pivot Table'!$A$3,"State","TN","Category2","Technical Institutes"))/$B443)*100</f>
        <v>0</v>
      </c>
      <c r="F443" s="28"/>
      <c r="G443" s="28">
        <f>IF($B443&gt;0,(GETPIVOTDATA(" New Social Security",'$ Pivot Table'!$A$3,"State","TN","Category2","Technical Institutes"))/$B443)*100</f>
        <v>7.6499999999999986</v>
      </c>
      <c r="H443" s="28"/>
      <c r="I443" s="28">
        <f>IF($B443&gt;0,(GETPIVOTDATA(" New Unemployment",'$ Pivot Table'!$A$3,"State","TN","Category2","Technical Institutes"))/$B443)*100</f>
        <v>0</v>
      </c>
      <c r="J443" s="28">
        <f>IF($B443&gt;0,(GETPIVOTDATA(" New Life Insurance",'$ Pivot Table'!$A$3,"State","TN","Category2","Technical Institutes"))/$B443)*100</f>
        <v>0</v>
      </c>
      <c r="K443" s="28"/>
      <c r="L443" s="28">
        <f>IF($B443&gt;0,(GETPIVOTDATA(" New Worker's Comp",'$ Pivot Table'!$A$3,"State","TN","Category2","Technical Institutes"))/$B443)*100</f>
        <v>0</v>
      </c>
      <c r="M443" s="28">
        <f>IF($B443&gt;0,(GETPIVOTDATA(" New Tuition Plans",'$ Pivot Table'!$A$3,"State","TN","Category2","Technical Institutes"))/$B443)*100</f>
        <v>0</v>
      </c>
      <c r="N443" s="28">
        <f>IF($B443&gt;0,(GETPIVOTDATA(" New Other",'$ Pivot Table'!$A$3,"State","TN","Category2","Technical Institutes"))/$B443)*100</f>
        <v>0</v>
      </c>
      <c r="O443" s="86">
        <f>IF($B443&gt;0,(GETPIVOTDATA(" New Total",'$ Pivot Table'!$A$3,"State","TN","Category2","Technical Institutes"))/$B443)*100</f>
        <v>33.943471498880804</v>
      </c>
      <c r="P443" s="6" t="s">
        <v>490</v>
      </c>
      <c r="Q443" s="165">
        <f>+'[2]OLD Tables'!H85</f>
        <v>37213.522648303377</v>
      </c>
      <c r="R443" s="165">
        <f>+GETPIVOTDATA(" Old Total",'$ Pivot Table'!$A$3,"State","TN","Category2","Technical Institutes")</f>
        <v>12596.469502067506</v>
      </c>
      <c r="S443" s="167">
        <f t="shared" si="5"/>
        <v>33.849172573942823</v>
      </c>
      <c r="T443" s="168">
        <f t="shared" si="6"/>
        <v>9.4298924937980644E-2</v>
      </c>
      <c r="U443" s="6" t="s">
        <v>490</v>
      </c>
      <c r="W443" s="247">
        <v>33.849172573942823</v>
      </c>
      <c r="X443" s="247">
        <v>34.049167685162544</v>
      </c>
      <c r="Y443" s="247">
        <v>-0.19999511121972091</v>
      </c>
      <c r="Z443" s="247"/>
    </row>
    <row r="444" spans="1:26">
      <c r="A444" s="149" t="s">
        <v>491</v>
      </c>
      <c r="B444" s="617">
        <f>+'[2]NEW Tables 143-162'!H86</f>
        <v>0</v>
      </c>
      <c r="C444" s="28">
        <f>IF($B444&gt;0,(GETPIVOTDATA(" New Retirement",'$ Pivot Table'!$A$3,"State","TX","Category2","Technical Institutes"))/$B444)*100</f>
        <v>0</v>
      </c>
      <c r="D444" s="28">
        <f>IF($B444&gt;0,(GETPIVOTDATA(" New Health",'$ Pivot Table'!$A$3,"State","TX","Category2","Technical Institutes"))/$B444)*100</f>
        <v>0</v>
      </c>
      <c r="E444" s="28">
        <f>IF($B444&gt;0,(GETPIVOTDATA(" New Disability",'$ Pivot Table'!$A$3,"State","TX","Category2","Technical Institutes"))/$B444)*100</f>
        <v>0</v>
      </c>
      <c r="F444" s="28"/>
      <c r="G444" s="28">
        <f>IF($B444&gt;0,(GETPIVOTDATA(" New Social Security",'$ Pivot Table'!$A$3,"State","TX","Category2","Technical Institutes"))/$B444)*100</f>
        <v>0</v>
      </c>
      <c r="H444" s="28"/>
      <c r="I444" s="28">
        <f>IF($B444&gt;0,(GETPIVOTDATA(" New Unemployment",'$ Pivot Table'!$A$3,"State","TX","Category2","Technical Institutes"))/$B444)*100</f>
        <v>0</v>
      </c>
      <c r="J444" s="28">
        <f>IF($B444&gt;0,(GETPIVOTDATA(" New Life Insurance",'$ Pivot Table'!$A$3,"State","TX","Category2","Technical Institutes"))/$B444)*100</f>
        <v>0</v>
      </c>
      <c r="K444" s="28"/>
      <c r="L444" s="28">
        <f>IF($B444&gt;0,(GETPIVOTDATA(" New Worker's Comp",'$ Pivot Table'!$A$3,"State","TX","Category2","Technical Institutes"))/$B444)*100</f>
        <v>0</v>
      </c>
      <c r="M444" s="28">
        <f>IF($B444&gt;0,(GETPIVOTDATA(" New Tuition Plans",'$ Pivot Table'!$A$3,"State","TX","Category2","Technical Institutes"))/$B444)*100</f>
        <v>0</v>
      </c>
      <c r="N444" s="28">
        <f>IF($B444&gt;0,(GETPIVOTDATA(" New Other",'$ Pivot Table'!$A$3,"State","TX","Category2","Technical Institutes"))/$B444)*100</f>
        <v>0</v>
      </c>
      <c r="O444" s="86">
        <f>IF($B444&gt;0,(GETPIVOTDATA(" New Total",'$ Pivot Table'!$A$3,"State","TX","Category2","Technical Institutes"))/$B444)*100</f>
        <v>0</v>
      </c>
      <c r="P444" s="6" t="s">
        <v>491</v>
      </c>
      <c r="Q444" s="165">
        <f>+'[2]OLD Tables'!H86</f>
        <v>0</v>
      </c>
      <c r="R444" s="165">
        <f>+GETPIVOTDATA(" Old Total",'$ Pivot Table'!$A$3,"State","TX","Category2","Technical Institutes")</f>
        <v>0</v>
      </c>
      <c r="S444" s="167">
        <f t="shared" si="5"/>
        <v>0</v>
      </c>
      <c r="T444" s="168">
        <f t="shared" si="6"/>
        <v>0</v>
      </c>
      <c r="U444" s="6" t="s">
        <v>491</v>
      </c>
    </row>
    <row r="445" spans="1:26">
      <c r="A445" s="149" t="s">
        <v>492</v>
      </c>
      <c r="B445" s="617">
        <f>+'[2]NEW Tables 143-162'!H87</f>
        <v>0</v>
      </c>
      <c r="C445" s="28">
        <f>IF($B445&gt;0,(GETPIVOTDATA(" New Retirement",'$ Pivot Table'!$A$3,"State","VA","Category2","Technical Institutes"))/$B445)*100</f>
        <v>0</v>
      </c>
      <c r="D445" s="28">
        <f>IF($B445&gt;0,(GETPIVOTDATA(" New Health",'$ Pivot Table'!$A$3,"State","VA","Category2","Technical Institutes"))/$B445)*100</f>
        <v>0</v>
      </c>
      <c r="E445" s="28">
        <f>IF($B445&gt;0,(GETPIVOTDATA(" New Disability",'$ Pivot Table'!$A$3,"State","VA","Category2","Technical Institutes"))/$B445)*100</f>
        <v>0</v>
      </c>
      <c r="F445" s="28"/>
      <c r="G445" s="28">
        <f>IF($B445&gt;0,(GETPIVOTDATA(" New Social Security",'$ Pivot Table'!$A$3,"State","VA","Category2","Technical Institutes"))/$B445)*100</f>
        <v>0</v>
      </c>
      <c r="H445" s="28"/>
      <c r="I445" s="28">
        <f>IF($B445&gt;0,(GETPIVOTDATA(" New Unemployment",'$ Pivot Table'!$A$3,"State","VA","Category2","Technical Institutes"))/$B445)*100</f>
        <v>0</v>
      </c>
      <c r="J445" s="28">
        <f>IF($B445&gt;0,(GETPIVOTDATA(" New Life Insurance",'$ Pivot Table'!$A$3,"State","VA","Category2","Technical Institutes"))/$B445)*100</f>
        <v>0</v>
      </c>
      <c r="K445" s="28"/>
      <c r="L445" s="28">
        <f>IF($B445&gt;0,(GETPIVOTDATA(" New Worker's Comp",'$ Pivot Table'!$A$3,"State","VA","Category2","Technical Institutes"))/$B445)*100</f>
        <v>0</v>
      </c>
      <c r="M445" s="28">
        <f>IF($B445&gt;0,(GETPIVOTDATA(" New Tuition Plans",'$ Pivot Table'!$A$3,"State","VA","Category2","Technical Institutes"))/$B445)*100</f>
        <v>0</v>
      </c>
      <c r="N445" s="28">
        <f>IF($B445&gt;0,(GETPIVOTDATA(" New Other",'$ Pivot Table'!$A$3,"State","VA","Category2","Technical Institutes"))/$B445)*100</f>
        <v>0</v>
      </c>
      <c r="O445" s="86">
        <f>IF($B445&gt;0,(GETPIVOTDATA(" New Total",'$ Pivot Table'!$A$3,"State","VA","Category2","Technical Institutes"))/$B445)*100</f>
        <v>0</v>
      </c>
      <c r="P445" s="6" t="s">
        <v>492</v>
      </c>
      <c r="Q445" s="165">
        <f>+'[2]OLD Tables'!H87</f>
        <v>0</v>
      </c>
      <c r="R445" s="165">
        <f>+GETPIVOTDATA(" Old Total",'$ Pivot Table'!$A$3,"State","VA","Category2","Technical Institutes")</f>
        <v>0</v>
      </c>
      <c r="S445" s="167">
        <f t="shared" si="5"/>
        <v>0</v>
      </c>
      <c r="T445" s="168">
        <f t="shared" si="6"/>
        <v>0</v>
      </c>
      <c r="U445" s="6" t="s">
        <v>492</v>
      </c>
    </row>
    <row r="446" spans="1:26">
      <c r="A446" s="630" t="s">
        <v>493</v>
      </c>
      <c r="B446" s="618">
        <f>+'[2]NEW Tables 143-162'!H88</f>
        <v>0</v>
      </c>
      <c r="C446" s="30">
        <f>IF($B446&gt;0,(GETPIVOTDATA(" New Retirement",'$ Pivot Table'!$A$3,"State","WV","Category2","Technical Institutes"))/$B446)*100</f>
        <v>0</v>
      </c>
      <c r="D446" s="30">
        <f>IF($B446&gt;0,(GETPIVOTDATA(" New Health",'$ Pivot Table'!$A$3,"State","WV","Category2","Technical Institutes"))/$B446)*100</f>
        <v>0</v>
      </c>
      <c r="E446" s="30">
        <f>IF($B446&gt;0,(GETPIVOTDATA(" New Disability",'$ Pivot Table'!$A$3,"State","WV","Category2","Technical Institutes"))/$B446)*100</f>
        <v>0</v>
      </c>
      <c r="F446" s="30"/>
      <c r="G446" s="30">
        <f>IF($B446&gt;0,(GETPIVOTDATA(" New Social Security",'$ Pivot Table'!$A$3,"State","WV","Category2","Technical Institutes"))/$B446)*100</f>
        <v>0</v>
      </c>
      <c r="H446" s="30"/>
      <c r="I446" s="30">
        <f>IF($B446&gt;0,(GETPIVOTDATA(" New Unemployment",'$ Pivot Table'!$A$3,"State","WV","Category2","Technical Institutes"))/$B446)*100</f>
        <v>0</v>
      </c>
      <c r="J446" s="30">
        <f>IF($B446&gt;0,(GETPIVOTDATA(" New Life Insurance",'$ Pivot Table'!$A$3,"State","WV","Category2","Technical Institutes"))/$B446)*100</f>
        <v>0</v>
      </c>
      <c r="K446" s="30"/>
      <c r="L446" s="30">
        <f>IF($B446&gt;0,(GETPIVOTDATA(" New Worker's Comp",'$ Pivot Table'!$A$3,"State","WV","Category2","Technical Institutes"))/$B446)*100</f>
        <v>0</v>
      </c>
      <c r="M446" s="30">
        <f>IF($B446&gt;0,(GETPIVOTDATA(" New Tuition Plans",'$ Pivot Table'!$A$3,"State","WV","Category2","Technical Institutes"))/$B446)*100</f>
        <v>0</v>
      </c>
      <c r="N446" s="30">
        <f>IF($B446&gt;0,(GETPIVOTDATA(" New Other",'$ Pivot Table'!$A$3,"State","WV","Category2","Technical Institutes"))/$B446)*100</f>
        <v>0</v>
      </c>
      <c r="O446" s="115">
        <f>IF($B446&gt;0,(GETPIVOTDATA(" New Total",'$ Pivot Table'!$A$3,"State","WV","Category2","Technical Institutes"))/$B446)*100</f>
        <v>0</v>
      </c>
      <c r="P446" s="25" t="s">
        <v>493</v>
      </c>
      <c r="Q446" s="165">
        <f>+'[2]OLD Tables'!H88</f>
        <v>0</v>
      </c>
      <c r="R446" s="165">
        <f>+GETPIVOTDATA(" Old Total",'$ Pivot Table'!$A$3,"State","WV","Category2","Technical Institutes")</f>
        <v>0</v>
      </c>
      <c r="S446" s="167">
        <f t="shared" si="5"/>
        <v>0</v>
      </c>
      <c r="T446" s="168">
        <f t="shared" si="6"/>
        <v>0</v>
      </c>
      <c r="U446" s="25" t="s">
        <v>493</v>
      </c>
    </row>
    <row r="447" spans="1:26" ht="18" customHeight="1">
      <c r="A447" s="628" t="s">
        <v>14</v>
      </c>
      <c r="B447" s="45"/>
      <c r="C447" s="47"/>
      <c r="D447" s="47"/>
      <c r="E447" s="47"/>
      <c r="F447" s="47"/>
      <c r="G447" s="47"/>
      <c r="H447" s="47"/>
      <c r="I447" s="47"/>
      <c r="J447" s="47"/>
      <c r="K447" s="47"/>
      <c r="L447" s="47"/>
      <c r="M447" s="47"/>
      <c r="N447" s="47"/>
      <c r="O447" s="77"/>
    </row>
    <row r="448" spans="1:26" ht="18" customHeight="1">
      <c r="A448" s="628" t="s">
        <v>678</v>
      </c>
      <c r="B448" s="45"/>
      <c r="C448" s="54"/>
      <c r="D448" s="54"/>
      <c r="E448" s="54"/>
      <c r="F448" s="54"/>
      <c r="G448" s="54"/>
      <c r="H448" s="54"/>
      <c r="I448" s="54"/>
      <c r="J448" s="54"/>
      <c r="K448" s="54"/>
      <c r="L448" s="54"/>
      <c r="M448" s="54"/>
      <c r="N448" s="54"/>
      <c r="O448" s="145"/>
    </row>
    <row r="449" spans="1:16" ht="18" customHeight="1">
      <c r="A449" s="628"/>
      <c r="B449" s="45"/>
      <c r="C449" s="47"/>
      <c r="D449" s="47"/>
      <c r="E449" s="47"/>
      <c r="F449" s="47"/>
      <c r="G449" s="47"/>
      <c r="H449" s="47"/>
      <c r="I449" s="47"/>
      <c r="J449" s="47"/>
      <c r="K449" s="47"/>
      <c r="L449" s="47"/>
      <c r="M449" s="47"/>
      <c r="N449" s="47"/>
      <c r="O449" s="637" t="s">
        <v>1321</v>
      </c>
      <c r="P449" s="172"/>
    </row>
    <row r="450" spans="1:16" ht="18">
      <c r="A450" s="595" t="s">
        <v>1114</v>
      </c>
      <c r="B450" s="48"/>
      <c r="C450" s="48"/>
      <c r="D450" s="48"/>
      <c r="E450" s="48"/>
      <c r="F450" s="48"/>
      <c r="G450" s="48"/>
      <c r="H450" s="48"/>
      <c r="I450" s="48"/>
      <c r="J450" s="48"/>
      <c r="K450" s="48"/>
      <c r="L450" s="48"/>
      <c r="M450" s="48"/>
      <c r="N450" s="48"/>
      <c r="O450" s="48"/>
    </row>
    <row r="451" spans="1:16">
      <c r="A451" s="622"/>
      <c r="B451" s="50"/>
      <c r="C451" s="49"/>
      <c r="D451" s="49"/>
      <c r="E451" s="49"/>
      <c r="F451" s="49"/>
      <c r="G451" s="49"/>
      <c r="H451" s="49"/>
      <c r="I451" s="49"/>
      <c r="J451" s="49"/>
      <c r="K451" s="49"/>
      <c r="L451" s="49"/>
      <c r="M451" s="49"/>
      <c r="N451" s="49"/>
      <c r="O451" s="148"/>
    </row>
    <row r="452" spans="1:16" ht="15.75">
      <c r="A452" s="633" t="s">
        <v>466</v>
      </c>
      <c r="B452" s="48"/>
      <c r="C452" s="48"/>
      <c r="D452" s="48"/>
      <c r="E452" s="48"/>
      <c r="F452" s="48"/>
      <c r="G452" s="48"/>
      <c r="H452" s="48"/>
      <c r="I452" s="48"/>
      <c r="J452" s="48"/>
      <c r="K452" s="48"/>
      <c r="L452" s="48"/>
      <c r="M452" s="48"/>
      <c r="N452" s="48"/>
      <c r="O452" s="147"/>
    </row>
    <row r="453" spans="1:16" ht="15.75">
      <c r="A453" s="633" t="s">
        <v>1151</v>
      </c>
      <c r="B453" s="48"/>
      <c r="C453" s="48"/>
      <c r="D453" s="48"/>
      <c r="E453" s="48"/>
      <c r="F453" s="48"/>
      <c r="G453" s="48"/>
      <c r="H453" s="48"/>
      <c r="I453" s="48"/>
      <c r="J453" s="48"/>
      <c r="K453" s="48"/>
      <c r="L453" s="48"/>
      <c r="M453" s="48"/>
      <c r="N453" s="48"/>
      <c r="O453" s="147"/>
    </row>
    <row r="454" spans="1:16">
      <c r="A454" s="148"/>
      <c r="B454" s="45"/>
      <c r="C454" s="54"/>
      <c r="D454" s="54"/>
      <c r="E454" s="54"/>
      <c r="F454" s="54"/>
      <c r="G454" s="54"/>
      <c r="H454" s="54"/>
      <c r="I454" s="54"/>
      <c r="J454" s="54"/>
      <c r="K454" s="54"/>
      <c r="L454" s="54"/>
      <c r="M454" s="54"/>
      <c r="N454" s="54"/>
      <c r="O454" s="145"/>
    </row>
    <row r="455" spans="1:16">
      <c r="A455" s="634"/>
      <c r="B455" s="2" t="s">
        <v>473</v>
      </c>
      <c r="C455" s="63" t="s">
        <v>593</v>
      </c>
      <c r="D455" s="63"/>
      <c r="E455" s="63"/>
      <c r="F455" s="63"/>
      <c r="G455" s="63"/>
      <c r="H455" s="63"/>
      <c r="I455" s="63"/>
      <c r="J455" s="63"/>
      <c r="K455" s="63"/>
      <c r="L455" s="63"/>
      <c r="M455" s="63"/>
      <c r="N455" s="63"/>
      <c r="O455" s="136"/>
    </row>
    <row r="456" spans="1:16">
      <c r="A456" s="635"/>
      <c r="B456" s="4" t="s">
        <v>474</v>
      </c>
      <c r="C456" s="3" t="s">
        <v>660</v>
      </c>
      <c r="D456" s="3"/>
      <c r="E456" s="57"/>
      <c r="F456" s="57"/>
      <c r="G456" s="3" t="s">
        <v>661</v>
      </c>
      <c r="H456" s="3"/>
      <c r="I456" s="3" t="s">
        <v>662</v>
      </c>
      <c r="J456" s="3" t="s">
        <v>663</v>
      </c>
      <c r="K456" s="3"/>
      <c r="L456" s="3" t="s">
        <v>664</v>
      </c>
      <c r="M456" s="3" t="s">
        <v>665</v>
      </c>
      <c r="N456" s="3"/>
      <c r="O456" s="124" t="s">
        <v>475</v>
      </c>
    </row>
    <row r="457" spans="1:16">
      <c r="A457" s="636"/>
      <c r="B457" s="15" t="s">
        <v>476</v>
      </c>
      <c r="C457" s="16" t="s">
        <v>667</v>
      </c>
      <c r="D457" s="16" t="s">
        <v>708</v>
      </c>
      <c r="E457" s="17" t="s">
        <v>709</v>
      </c>
      <c r="F457" s="17"/>
      <c r="G457" s="16" t="s">
        <v>668</v>
      </c>
      <c r="H457" s="16"/>
      <c r="I457" s="16" t="s">
        <v>667</v>
      </c>
      <c r="J457" s="16" t="s">
        <v>669</v>
      </c>
      <c r="K457" s="16"/>
      <c r="L457" s="16" t="s">
        <v>670</v>
      </c>
      <c r="M457" s="16" t="s">
        <v>671</v>
      </c>
      <c r="N457" s="16" t="s">
        <v>701</v>
      </c>
      <c r="O457" s="146" t="s">
        <v>15</v>
      </c>
    </row>
    <row r="458" spans="1:16">
      <c r="A458" s="149" t="s">
        <v>600</v>
      </c>
      <c r="B458" s="33">
        <f>+'[2]NEW Tables 143-162'!B68</f>
        <v>45855.188354653605</v>
      </c>
      <c r="C458" s="32">
        <f>IF($B458&gt;0,(GETPIVOTDATA(" New Retirement",'$ Pivot Table'!$A$3,"Category",12,"Category2","Technical Institutes"))/$B458)*100</f>
        <v>9.588343169058053</v>
      </c>
      <c r="D458" s="32">
        <f>IF($B458&gt;0,(GETPIVOTDATA(" New Health",'$ Pivot Table'!$A$3,"Category",12,"Category2","Technical Institutes"))/$B458)*100</f>
        <v>24.738644790229532</v>
      </c>
      <c r="E458" s="32">
        <f>IF($B458&gt;0,(GETPIVOTDATA(" New Disability",'$ Pivot Table'!$A$3,"Category",12,"Category2","Technical Institutes"))/$B458)*100</f>
        <v>0</v>
      </c>
      <c r="F458" s="32"/>
      <c r="G458" s="32">
        <f>IF($B458&gt;0,(GETPIVOTDATA(" New Social Security",'$ Pivot Table'!$A$3,"Category",12,"Category2","Technical Institutes"))/$B458)*100</f>
        <v>3.1748207799846919</v>
      </c>
      <c r="H458" s="32"/>
      <c r="I458" s="32">
        <f>IF($B458&gt;0,(GETPIVOTDATA(" New Unemployment",'$ Pivot Table'!$A$3,"Category",12,"Category2","Technical Institutes"))/$B458)*100</f>
        <v>0.2956194236183855</v>
      </c>
      <c r="J458" s="32">
        <f>IF($B458&gt;0,(GETPIVOTDATA(" New Life Insurance",'$ Pivot Table'!$A$3,"Category",12,"Category2","Technical Institutes"))/$B458)*100</f>
        <v>0.11666421793155914</v>
      </c>
      <c r="K458" s="32"/>
      <c r="L458" s="32">
        <f>IF($B458&gt;0,(GETPIVOTDATA(" New Worker's Comp",'$ Pivot Table'!$A$3,"Category",12,"Category2","Technical Institutes"))/$B458)*100</f>
        <v>0.57927197294156985</v>
      </c>
      <c r="M458" s="32">
        <f>IF($B458&gt;0,(GETPIVOTDATA(" New Tuition Plans",'$ Pivot Table'!$A$3,"Category",12,"Category2","Technical Institutes"))/$B458)*100</f>
        <v>1.96488125407201</v>
      </c>
      <c r="N458" s="32">
        <f>IF($B458&gt;0,(GETPIVOTDATA(" New Other",'$ Pivot Table'!$A$3,"Category",12,"Category2","Technical Institutes"))/$B458)*100</f>
        <v>14.970373049615523</v>
      </c>
      <c r="O458" s="90">
        <f>IF($B458&gt;0,(GETPIVOTDATA(" New Total",'$ Pivot Table'!$A$3,"Category",12,"Category2","Technical Institutes"))/$B458)*100</f>
        <v>32.073917924797321</v>
      </c>
    </row>
    <row r="459" spans="1:16">
      <c r="A459" s="149"/>
      <c r="B459" s="31">
        <f>+'[3]NEW Tables 144-163'!B69</f>
        <v>0</v>
      </c>
      <c r="C459" s="32"/>
      <c r="D459" s="34"/>
      <c r="E459" s="32"/>
      <c r="F459" s="32"/>
      <c r="G459" s="32"/>
      <c r="H459" s="32"/>
      <c r="I459" s="32"/>
      <c r="J459" s="32"/>
      <c r="K459" s="32"/>
      <c r="L459" s="32"/>
      <c r="M459" s="32"/>
      <c r="N459" s="32"/>
      <c r="O459" s="90"/>
    </row>
    <row r="460" spans="1:16">
      <c r="A460" s="149" t="s">
        <v>479</v>
      </c>
      <c r="B460" s="617">
        <f>+'[2]NEW Tables 143-162'!B70</f>
        <v>54504.933505263158</v>
      </c>
      <c r="C460" s="32">
        <f>IF($B460&gt;0,(GETPIVOTDATA(" New Retirement",'$ Pivot Table'!$A$3,"State","AL","Category",12,"Category2","Technical Institutes"))/$B460)*100</f>
        <v>12.510004992434599</v>
      </c>
      <c r="D460" s="32">
        <f>IF($B460&gt;0,(GETPIVOTDATA(" New Health",'$ Pivot Table'!$A$3,"State","AL","Category",12,"Category2","Technical Institutes"))/$B460)*100</f>
        <v>15.176607818815576</v>
      </c>
      <c r="E460" s="32">
        <f>IF($B460&gt;0,(GETPIVOTDATA(" New Disability",'$ Pivot Table'!$A$3,"State","AL","Category",12,"Category2","Technical Institutes"))/$B460)*100</f>
        <v>0</v>
      </c>
      <c r="F460" s="32"/>
      <c r="G460" s="32">
        <f>IF($B460&gt;0,(GETPIVOTDATA(" New Social Security",'$ Pivot Table'!$A$3,"State","AL","Category",12,"Category2","Technical Institutes"))/$B460)*100</f>
        <v>7.6499910534511049</v>
      </c>
      <c r="H460" s="32"/>
      <c r="I460" s="32">
        <f>IF($B460&gt;0,(GETPIVOTDATA(" New Unemployment",'$ Pivot Table'!$A$3,"State","AL","Category",12,"Category2","Technical Institutes"))/$B460)*100</f>
        <v>0</v>
      </c>
      <c r="J460" s="32">
        <f>IF($B460&gt;0,(GETPIVOTDATA(" New Life Insurance",'$ Pivot Table'!$A$3,"State","AL","Category",12,"Category2","Technical Institutes"))/$B460)*100</f>
        <v>0</v>
      </c>
      <c r="K460" s="32"/>
      <c r="L460" s="32">
        <f>IF($B460&gt;0,(GETPIVOTDATA(" New Worker's Comp",'$ Pivot Table'!$A$3,"State","AL","Category",12,"Category2","Technical Institutes"))/$B460)*100</f>
        <v>0</v>
      </c>
      <c r="M460" s="32">
        <f>IF($B460&gt;0,(GETPIVOTDATA(" New Tuition Plans",'$ Pivot Table'!$A$3,"State","AL","Category",12,"Category2","Technical Institutes"))/$B460)*100</f>
        <v>2.033760851929046</v>
      </c>
      <c r="N460" s="32">
        <f>IF($B460&gt;0,(GETPIVOTDATA(" New Other",'$ Pivot Table'!$A$3,"State","AL","Category",12,"Category2","Technical Institutes"))/$B460)*100</f>
        <v>0</v>
      </c>
      <c r="O460" s="90">
        <f>IF($B460&gt;0,(GETPIVOTDATA(" New Total",'$ Pivot Table'!$A$3,"State","AL","Category",12,"Category2","Technical Institutes"))/$B460)*100</f>
        <v>35.135907565414684</v>
      </c>
    </row>
    <row r="461" spans="1:16">
      <c r="A461" s="149" t="s">
        <v>480</v>
      </c>
      <c r="B461" s="617">
        <f>+'[2]NEW Tables 143-162'!B71</f>
        <v>0</v>
      </c>
      <c r="C461" s="32">
        <f>IF($B461&gt;0,(GETPIVOTDATA(" New Retirement",'$ Pivot Table'!$A$3,"State","AR","Category",12,"Category2","Technical Institutes"))/$B461)*100</f>
        <v>0</v>
      </c>
      <c r="D461" s="32">
        <f>IF($B461&gt;0,(GETPIVOTDATA(" New Health",'$ Pivot Table'!$A$3,"State","AR","Category",12,"Category2","Technical Institutes"))/$B461)*100</f>
        <v>0</v>
      </c>
      <c r="E461" s="32">
        <f>IF($B461&gt;0,(GETPIVOTDATA(" New Disability",'$ Pivot Table'!$A$3,"State","AR","Category",12,"Category2","Technical Institutes"))/$B461)*100</f>
        <v>0</v>
      </c>
      <c r="F461" s="32"/>
      <c r="G461" s="32">
        <f>IF($B461&gt;0,(GETPIVOTDATA(" New Social Security",'$ Pivot Table'!$A$3,"State","AR","Category",12,"Category2","Technical Institutes"))/$B461)*100</f>
        <v>0</v>
      </c>
      <c r="H461" s="32"/>
      <c r="I461" s="32">
        <f>IF($B461&gt;0,(GETPIVOTDATA(" New Unemployment",'$ Pivot Table'!$A$3,"State","AR","Category",12,"Category2","Technical Institutes"))/$B461)*100</f>
        <v>0</v>
      </c>
      <c r="J461" s="32">
        <f>IF($B461&gt;0,(GETPIVOTDATA(" New Life Insurance",'$ Pivot Table'!$A$3,"State","AR","Category",12,"Category2","Technical Institutes"))/$B461)*100</f>
        <v>0</v>
      </c>
      <c r="K461" s="32"/>
      <c r="L461" s="32">
        <f>IF($B461&gt;0,(GETPIVOTDATA(" New Worker's Comp",'$ Pivot Table'!$A$3,"State","AR","Category",12,"Category2","Technical Institutes"))/$B461)*100</f>
        <v>0</v>
      </c>
      <c r="M461" s="32">
        <f>IF($B461&gt;0,(GETPIVOTDATA(" New Tuition Plans",'$ Pivot Table'!$A$3,"State","AR","Category",12,"Category2","Technical Institutes"))/$B461)*100</f>
        <v>0</v>
      </c>
      <c r="N461" s="32">
        <f>IF($B461&gt;0,(GETPIVOTDATA(" New Other",'$ Pivot Table'!$A$3,"State","AR","Category",12,"Category2","Technical Institutes"))/$B461)*100</f>
        <v>0</v>
      </c>
      <c r="O461" s="90">
        <f>IF($B461&gt;0,(GETPIVOTDATA(" New Total",'$ Pivot Table'!$A$3,"State","AR","Category",12,"Category2","Technical Institutes"))/$B461)*100</f>
        <v>0</v>
      </c>
    </row>
    <row r="462" spans="1:16">
      <c r="A462" s="149" t="s">
        <v>494</v>
      </c>
      <c r="B462" s="617">
        <f>+'[2]NEW Tables 143-162'!B72</f>
        <v>0</v>
      </c>
      <c r="C462" s="32">
        <f>IF($B462&gt;0,(GETPIVOTDATA(" New Retirement",'$ Pivot Table'!$A$3,"State","DE","Category",12,"Category2","Technical Institutes"))/$B462)*100</f>
        <v>0</v>
      </c>
      <c r="D462" s="32">
        <f>IF($B462&gt;0,(GETPIVOTDATA(" New Health",'$ Pivot Table'!$A$3,"State","DE","Category",12,"Category2","Technical Institutes"))/$B462)*100</f>
        <v>0</v>
      </c>
      <c r="E462" s="32">
        <f>IF($B462&gt;0,(GETPIVOTDATA(" New Disability",'$ Pivot Table'!$A$3,"State","DE","Category",12,"Category2","Technical Institutes"))/$B462)*100</f>
        <v>0</v>
      </c>
      <c r="F462" s="32"/>
      <c r="G462" s="32">
        <f>IF($B462&gt;0,(GETPIVOTDATA(" New Social Security",'$ Pivot Table'!$A$3,"State","DE","Category",12,"Category2","Technical Institutes"))/$B462)*100</f>
        <v>0</v>
      </c>
      <c r="H462" s="32"/>
      <c r="I462" s="32">
        <f>IF($B462&gt;0,(GETPIVOTDATA(" New Unemployment",'$ Pivot Table'!$A$3,"State","DE","Category",12,"Category2","Technical Institutes"))/$B462)*100</f>
        <v>0</v>
      </c>
      <c r="J462" s="32">
        <f>IF($B462&gt;0,(GETPIVOTDATA(" New Life Insurance",'$ Pivot Table'!$A$3,"State","DE","Category",12,"Category2","Technical Institutes"))/$B462)*100</f>
        <v>0</v>
      </c>
      <c r="K462" s="32"/>
      <c r="L462" s="32">
        <f>IF($B462&gt;0,(GETPIVOTDATA(" New Worker's Comp",'$ Pivot Table'!$A$3,"State","DE","Category",12,"Category2","Technical Institutes"))/$B462)*100</f>
        <v>0</v>
      </c>
      <c r="M462" s="32">
        <f>IF($B462&gt;0,(GETPIVOTDATA(" New Tuition Plans",'$ Pivot Table'!$A$3,"State","DE","Category",12,"Category2","Technical Institutes"))/$B462)*100</f>
        <v>0</v>
      </c>
      <c r="N462" s="32">
        <f>IF($B462&gt;0,(GETPIVOTDATA(" New Other",'$ Pivot Table'!$A$3,"State","DE","Category",12,"Category2","Technical Institutes"))/$B462)*100</f>
        <v>0</v>
      </c>
      <c r="O462" s="90">
        <f>IF($B462&gt;0,(GETPIVOTDATA(" New Total",'$ Pivot Table'!$A$3,"State","DE","Category",12,"Category2","Technical Institutes"))/$B462)*100</f>
        <v>0</v>
      </c>
    </row>
    <row r="463" spans="1:16">
      <c r="A463" s="149" t="s">
        <v>481</v>
      </c>
      <c r="B463" s="617">
        <f>+'[2]NEW Tables 143-162'!B73</f>
        <v>0</v>
      </c>
      <c r="C463" s="32">
        <f>IF($B463&gt;0,(GETPIVOTDATA(" New Retirement",'$ Pivot Table'!$A$3,"State","FL","Category",12,"Category2","Technical Institutes"))/$B463)*100</f>
        <v>0</v>
      </c>
      <c r="D463" s="32">
        <f>IF($B463&gt;0,(GETPIVOTDATA(" New Health",'$ Pivot Table'!$A$3,"State","FL","Category",12,"Category2","Technical Institutes"))/$B463)*100</f>
        <v>0</v>
      </c>
      <c r="E463" s="32">
        <f>IF($B463&gt;0,(GETPIVOTDATA(" New Disability",'$ Pivot Table'!$A$3,"State","FL","Category",12,"Category2","Technical Institutes"))/$B463)*100</f>
        <v>0</v>
      </c>
      <c r="F463" s="32"/>
      <c r="G463" s="32">
        <f>IF($B463&gt;0,(GETPIVOTDATA(" New Social Security",'$ Pivot Table'!$A$3,"State","FL","Category",12,"Category2","Technical Institutes"))/$B463)*100</f>
        <v>0</v>
      </c>
      <c r="H463" s="32"/>
      <c r="I463" s="32">
        <f>IF($B463&gt;0,(GETPIVOTDATA(" New Unemployment",'$ Pivot Table'!$A$3,"State","FL","Category",12,"Category2","Technical Institutes"))/$B463)*100</f>
        <v>0</v>
      </c>
      <c r="J463" s="32">
        <f>IF($B463&gt;0,(GETPIVOTDATA(" New Life Insurance",'$ Pivot Table'!$A$3,"State","FL","Category",12,"Category2","Technical Institutes"))/$B463)*100</f>
        <v>0</v>
      </c>
      <c r="K463" s="32"/>
      <c r="L463" s="32">
        <f>IF($B463&gt;0,(GETPIVOTDATA(" New Worker's Comp",'$ Pivot Table'!$A$3,"State","FL","Category",12,"Category2","Technical Institutes"))/$B463)*100</f>
        <v>0</v>
      </c>
      <c r="M463" s="32">
        <f>IF($B463&gt;0,(GETPIVOTDATA(" New Tuition Plans",'$ Pivot Table'!$A$3,"State","FL","Category",12,"Category2","Technical Institutes"))/$B463)*100</f>
        <v>0</v>
      </c>
      <c r="N463" s="32">
        <f>IF($B463&gt;0,(GETPIVOTDATA(" New Other",'$ Pivot Table'!$A$3,"State","FL","Category",12,"Category2","Technical Institutes"))/$B463)*100</f>
        <v>0</v>
      </c>
      <c r="O463" s="90">
        <f>IF($B463&gt;0,(GETPIVOTDATA(" New Total",'$ Pivot Table'!$A$3,"State","FL","Category",12,"Category2","Technical Institutes"))/$B463)*100</f>
        <v>0</v>
      </c>
    </row>
    <row r="464" spans="1:16">
      <c r="A464" s="149"/>
      <c r="B464" s="617">
        <f>+'[2]NEW Tables 143-162'!B74</f>
        <v>0</v>
      </c>
      <c r="C464" s="32"/>
      <c r="D464" s="34"/>
      <c r="E464" s="32"/>
      <c r="F464" s="32"/>
      <c r="G464" s="32"/>
      <c r="H464" s="32"/>
      <c r="I464" s="32"/>
      <c r="J464" s="32"/>
      <c r="K464" s="32"/>
      <c r="L464" s="32"/>
      <c r="M464" s="32"/>
      <c r="N464" s="32"/>
      <c r="O464" s="90"/>
    </row>
    <row r="465" spans="1:15">
      <c r="A465" s="149" t="s">
        <v>482</v>
      </c>
      <c r="B465" s="617">
        <f>+'[2]NEW Tables 143-162'!B75</f>
        <v>45125.410549044027</v>
      </c>
      <c r="C465" s="32">
        <f>IF($B465&gt;0,(GETPIVOTDATA(" New Retirement",'$ Pivot Table'!$A$3,"State","GA","Category",12,"Category2","Technical Institutes"))/$B465)*100</f>
        <v>9.3695578171237575</v>
      </c>
      <c r="D465" s="32">
        <f>IF($B465&gt;0,(GETPIVOTDATA(" New Health",'$ Pivot Table'!$A$3,"State","GA","Category",12,"Category2","Technical Institutes"))/$B465)*100</f>
        <v>27.024189615169647</v>
      </c>
      <c r="E465" s="32">
        <f>IF($B465&gt;0,(GETPIVOTDATA(" New Disability",'$ Pivot Table'!$A$3,"State","GA","Category",12,"Category2","Technical Institutes"))/$B465)*100</f>
        <v>0</v>
      </c>
      <c r="F465" s="32"/>
      <c r="G465" s="90">
        <f>IF($B465&gt;0,(GETPIVOTDATA(" New Social Security",'$ Pivot Table'!$A$3,"State","GA","Category",12,"Category2","Technical Institutes"))/$B465)*100</f>
        <v>2.7895179053730397</v>
      </c>
      <c r="H465" s="91">
        <v>2</v>
      </c>
      <c r="I465" s="32">
        <f>IF($B465&gt;0,(GETPIVOTDATA(" New Unemployment",'$ Pivot Table'!$A$3,"State","GA","Category",12,"Category2","Technical Institutes"))/$B465)*100</f>
        <v>0.30040024426109901</v>
      </c>
      <c r="J465" s="32">
        <f>IF($B465&gt;0,(GETPIVOTDATA(" New Life Insurance",'$ Pivot Table'!$A$3,"State","GA","Category",12,"Category2","Technical Institutes"))/$B465)*100</f>
        <v>0</v>
      </c>
      <c r="K465" s="32"/>
      <c r="L465" s="32">
        <f>IF($B465&gt;0,(GETPIVOTDATA(" New Worker's Comp",'$ Pivot Table'!$A$3,"State","GA","Category",12,"Category2","Technical Institutes"))/$B465)*100</f>
        <v>0.58864008337249829</v>
      </c>
      <c r="M465" s="32">
        <f>IF($B465&gt;0,(GETPIVOTDATA(" New Tuition Plans",'$ Pivot Table'!$A$3,"State","GA","Category",12,"Category2","Technical Institutes"))/$B465)*100</f>
        <v>0</v>
      </c>
      <c r="N465" s="32">
        <f>IF($B465&gt;0,(GETPIVOTDATA(" New Other",'$ Pivot Table'!$A$3,"State","GA","Category",12,"Category2","Technical Institutes"))/$B465)*100</f>
        <v>28.968973407146358</v>
      </c>
      <c r="O465" s="90">
        <f>IF($B465&gt;0,(GETPIVOTDATA(" New Total",'$ Pivot Table'!$A$3,"State","GA","Category",12,"Category2","Technical Institutes"))/$B465)*100</f>
        <v>34.570460343499832</v>
      </c>
    </row>
    <row r="466" spans="1:15">
      <c r="A466" s="149" t="s">
        <v>483</v>
      </c>
      <c r="B466" s="617">
        <f>+'[2]NEW Tables 143-162'!B76</f>
        <v>44076.473624050632</v>
      </c>
      <c r="C466" s="32">
        <f>IF($B466&gt;0,(GETPIVOTDATA(" New Retirement",'$ Pivot Table'!$A$3,"State","KY","Category",12,"Category2","Technical Institutes"))/$B466)*100</f>
        <v>12.632490573556437</v>
      </c>
      <c r="D466" s="32">
        <f>IF($B466&gt;0,(GETPIVOTDATA(" New Health",'$ Pivot Table'!$A$3,"State","KY","Category",12,"Category2","Technical Institutes"))/$B466)*100</f>
        <v>16.964904473413803</v>
      </c>
      <c r="E466" s="32">
        <f>IF($B466&gt;0,(GETPIVOTDATA(" New Disability",'$ Pivot Table'!$A$3,"State","KY","Category",12,"Category2","Technical Institutes"))/$B466)*100</f>
        <v>0</v>
      </c>
      <c r="F466" s="32"/>
      <c r="G466" s="90">
        <f>IF($B466&gt;0,(GETPIVOTDATA(" New Social Security",'$ Pivot Table'!$A$3,"State","KY","Category",12,"Category2","Technical Institutes"))/$B466)*100</f>
        <v>5.1766991499928183</v>
      </c>
      <c r="H466" s="90"/>
      <c r="I466" s="32">
        <f>IF($B466&gt;0,(GETPIVOTDATA(" New Unemployment",'$ Pivot Table'!$A$3,"State","KY","Category",12,"Category2","Technical Institutes"))/$B466)*100</f>
        <v>0</v>
      </c>
      <c r="J466" s="56">
        <f>IF($B466&gt;0,(GETPIVOTDATA(" New Life Insurance",'$ Pivot Table'!$A$3,"State","KY","Category",12,"Category2","Technical Institutes"))/$B466)*100</f>
        <v>4.0859269890930618E-2</v>
      </c>
      <c r="K466" s="32"/>
      <c r="L466" s="32">
        <f>IF($B466&gt;0,(GETPIVOTDATA(" New Worker's Comp",'$ Pivot Table'!$A$3,"State","KY","Category",12,"Category2","Technical Institutes"))/$B466)*100</f>
        <v>0</v>
      </c>
      <c r="M466" s="32">
        <f>IF($B466&gt;0,(GETPIVOTDATA(" New Tuition Plans",'$ Pivot Table'!$A$3,"State","KY","Category",12,"Category2","Technical Institutes"))/$B466)*100</f>
        <v>1.9500198843743433</v>
      </c>
      <c r="N466" s="32">
        <f>IF($B466&gt;0,(GETPIVOTDATA(" New Other",'$ Pivot Table'!$A$3,"State","KY","Category",12,"Category2","Technical Institutes"))/$B466)*100</f>
        <v>0</v>
      </c>
      <c r="O466" s="90">
        <f>IF($B466&gt;0,(GETPIVOTDATA(" New Total",'$ Pivot Table'!$A$3,"State","KY","Category",12,"Category2","Technical Institutes"))/$B466)*100</f>
        <v>32.508565383544955</v>
      </c>
    </row>
    <row r="467" spans="1:15">
      <c r="A467" s="149" t="s">
        <v>484</v>
      </c>
      <c r="B467" s="617">
        <f>+'[2]NEW Tables 143-162'!B77</f>
        <v>40903.802615151515</v>
      </c>
      <c r="C467" s="32">
        <f>IF($B467&gt;0,(GETPIVOTDATA(" New Retirement",'$ Pivot Table'!$A$3,"State","LA","Category",12,"Category2","Technical Institutes"))/$B467)*100</f>
        <v>14.867252170130998</v>
      </c>
      <c r="D467" s="32">
        <f>IF($B467&gt;0,(GETPIVOTDATA(" New Health",'$ Pivot Table'!$A$3,"State","LA","Category",12,"Category2","Technical Institutes"))/$B467)*100</f>
        <v>14.393934769491986</v>
      </c>
      <c r="E467" s="32">
        <f>IF($B467&gt;0,(GETPIVOTDATA(" New Disability",'$ Pivot Table'!$A$3,"State","LA","Category",12,"Category2","Technical Institutes"))/$B467)*100</f>
        <v>0</v>
      </c>
      <c r="F467" s="32"/>
      <c r="G467" s="32">
        <f>IF($B467&gt;0,(GETPIVOTDATA(" New Social Security",'$ Pivot Table'!$A$3,"State","LA","Category",12,"Category2","Technical Institutes"))/$B467)*100</f>
        <v>0</v>
      </c>
      <c r="H467" s="32"/>
      <c r="I467" s="32">
        <f>IF($B467&gt;0,(GETPIVOTDATA(" New Unemployment",'$ Pivot Table'!$A$3,"State","LA","Category",12,"Category2","Technical Institutes"))/$B467)*100</f>
        <v>0</v>
      </c>
      <c r="J467" s="32">
        <f>IF($B467&gt;0,(GETPIVOTDATA(" New Life Insurance",'$ Pivot Table'!$A$3,"State","LA","Category",12,"Category2","Technical Institutes"))/$B467)*100</f>
        <v>0.53395533258615746</v>
      </c>
      <c r="K467" s="32"/>
      <c r="L467" s="32">
        <f>IF($B467&gt;0,(GETPIVOTDATA(" New Worker's Comp",'$ Pivot Table'!$A$3,"State","LA","Category",12,"Category2","Technical Institutes"))/$B467)*100</f>
        <v>0</v>
      </c>
      <c r="M467" s="32">
        <f>IF($B467&gt;0,(GETPIVOTDATA(" New Tuition Plans",'$ Pivot Table'!$A$3,"State","LA","Category",12,"Category2","Technical Institutes"))/$B467)*100</f>
        <v>0</v>
      </c>
      <c r="N467" s="32">
        <f>IF($B467&gt;0,(GETPIVOTDATA(" New Other",'$ Pivot Table'!$A$3,"State","LA","Category",12,"Category2","Technical Institutes"))/$B467)*100</f>
        <v>0</v>
      </c>
      <c r="O467" s="90">
        <f>IF($B467&gt;0,(GETPIVOTDATA(" New Total",'$ Pivot Table'!$A$3,"State","LA","Category",12,"Category2","Technical Institutes"))/$B467)*100</f>
        <v>24.645572651686656</v>
      </c>
    </row>
    <row r="468" spans="1:15">
      <c r="A468" s="149" t="s">
        <v>485</v>
      </c>
      <c r="B468" s="617">
        <f>+'[2]NEW Tables 143-162'!B78</f>
        <v>0</v>
      </c>
      <c r="C468" s="32">
        <f>IF($B468&gt;0,(GETPIVOTDATA(" New Retirement",'$ Pivot Table'!$A$3,"State","MD","Category",12,"Category2","Technical Institutes"))/$B468)*100</f>
        <v>0</v>
      </c>
      <c r="D468" s="32">
        <f>IF($B468&gt;0,(GETPIVOTDATA(" New Health",'$ Pivot Table'!$A$3,"State","MD","Category",12,"Category2","Technical Institutes"))/$B468)*100</f>
        <v>0</v>
      </c>
      <c r="E468" s="32">
        <f>IF($B468&gt;0,(GETPIVOTDATA(" New Disability",'$ Pivot Table'!$A$3,"State","MD","Category",12,"Category2","Technical Institutes"))/$B468)*100</f>
        <v>0</v>
      </c>
      <c r="F468" s="32"/>
      <c r="G468" s="32">
        <f>IF($B468&gt;0,(GETPIVOTDATA(" New Social Security",'$ Pivot Table'!$A$3,"State","MD","Category",12,"Category2","Technical Institutes"))/$B468)*100</f>
        <v>0</v>
      </c>
      <c r="H468" s="32"/>
      <c r="I468" s="32">
        <f>IF($B468&gt;0,(GETPIVOTDATA(" New Unemployment",'$ Pivot Table'!$A$3,"State","MD","Category",12,"Category2","Technical Institutes"))/$B468)*100</f>
        <v>0</v>
      </c>
      <c r="J468" s="32">
        <f>IF($B468&gt;0,(GETPIVOTDATA(" New Life Insurance",'$ Pivot Table'!$A$3,"State","MD","Category",12,"Category2","Technical Institutes"))/$B468)*100</f>
        <v>0</v>
      </c>
      <c r="K468" s="32"/>
      <c r="L468" s="32">
        <f>IF($B468&gt;0,(GETPIVOTDATA(" New Worker's Comp",'$ Pivot Table'!$A$3,"State","MD","Category",12,"Category2","Technical Institutes"))/$B468)*100</f>
        <v>0</v>
      </c>
      <c r="M468" s="32">
        <f>IF($B468&gt;0,(GETPIVOTDATA(" New Tuition Plans",'$ Pivot Table'!$A$3,"State","MD","Category",12,"Category2","Technical Institutes"))/$B468)*100</f>
        <v>0</v>
      </c>
      <c r="N468" s="32">
        <f>IF($B468&gt;0,(GETPIVOTDATA(" New Other",'$ Pivot Table'!$A$3,"State","MD","Category",12,"Category2","Technical Institutes"))/$B468)*100</f>
        <v>0</v>
      </c>
      <c r="O468" s="90">
        <f>IF($B468&gt;0,(GETPIVOTDATA(" New Total",'$ Pivot Table'!$A$3,"State","MD","Category",12,"Category2","Technical Institutes"))/$B468)*100</f>
        <v>0</v>
      </c>
    </row>
    <row r="469" spans="1:15">
      <c r="A469" s="149"/>
      <c r="B469" s="617">
        <f>+'[2]NEW Tables 143-162'!B79</f>
        <v>0</v>
      </c>
      <c r="C469" s="32"/>
      <c r="D469" s="34"/>
      <c r="E469" s="32"/>
      <c r="F469" s="32"/>
      <c r="G469" s="32"/>
      <c r="H469" s="32"/>
      <c r="I469" s="32"/>
      <c r="J469" s="32"/>
      <c r="K469" s="32"/>
      <c r="L469" s="32"/>
      <c r="M469" s="32"/>
      <c r="N469" s="32"/>
      <c r="O469" s="90"/>
    </row>
    <row r="470" spans="1:15">
      <c r="A470" s="149" t="s">
        <v>486</v>
      </c>
      <c r="B470" s="617">
        <f>+'[2]NEW Tables 143-162'!B80</f>
        <v>0</v>
      </c>
      <c r="C470" s="32">
        <f>IF($B470&gt;0,(GETPIVOTDATA(" New Retirement",'$ Pivot Table'!$A$3,"State","MS","Category",12,"Category2","Technical Institutes"))/$B470)*100</f>
        <v>0</v>
      </c>
      <c r="D470" s="32">
        <f>IF($B470&gt;0,(GETPIVOTDATA(" New Health",'$ Pivot Table'!$A$3,"State","MS","Category",12,"Category2","Technical Institutes"))/$B470)*100</f>
        <v>0</v>
      </c>
      <c r="E470" s="32">
        <f>IF($B470&gt;0,(GETPIVOTDATA(" New Disability",'$ Pivot Table'!$A$3,"State","MS","Category",12,"Category2","Technical Institutes"))/$B470)*100</f>
        <v>0</v>
      </c>
      <c r="F470" s="32"/>
      <c r="G470" s="32">
        <f>IF($B470&gt;0,(GETPIVOTDATA(" New Social Security",'$ Pivot Table'!$A$3,"State","MS","Category",12,"Category2","Technical Institutes"))/$B470)*100</f>
        <v>0</v>
      </c>
      <c r="H470" s="32"/>
      <c r="I470" s="32">
        <f>IF($B470&gt;0,(GETPIVOTDATA(" New Unemployment",'$ Pivot Table'!$A$3,"State","MS","Category",12,"Category2","Technical Institutes"))/$B470)*100</f>
        <v>0</v>
      </c>
      <c r="J470" s="32">
        <f>IF($B470&gt;0,(GETPIVOTDATA(" New Life Insurance",'$ Pivot Table'!$A$3,"State","MS","Category",12,"Category2","Technical Institutes"))/$B470)*100</f>
        <v>0</v>
      </c>
      <c r="K470" s="32"/>
      <c r="L470" s="32">
        <f>IF($B470&gt;0,(GETPIVOTDATA(" New Worker's Comp",'$ Pivot Table'!$A$3,"State","MS","Category",12,"Category2","Technical Institutes"))/$B470)*100</f>
        <v>0</v>
      </c>
      <c r="M470" s="32">
        <f>IF($B470&gt;0,(GETPIVOTDATA(" New Tuition Plans",'$ Pivot Table'!$A$3,"State","MS","Category",12,"Category2","Technical Institutes"))/$B470)*100</f>
        <v>0</v>
      </c>
      <c r="N470" s="32">
        <f>IF($B470&gt;0,(GETPIVOTDATA(" New Other",'$ Pivot Table'!$A$3,"State","MS","Category",12,"Category2","Technical Institutes"))/$B470)*100</f>
        <v>0</v>
      </c>
      <c r="O470" s="90">
        <f>IF($B470&gt;0,(GETPIVOTDATA(" New Total",'$ Pivot Table'!$A$3,"State","MS","Category",12,"Category2","Technical Institutes"))/$B470)*100</f>
        <v>0</v>
      </c>
    </row>
    <row r="471" spans="1:15">
      <c r="A471" s="149" t="s">
        <v>487</v>
      </c>
      <c r="B471" s="617">
        <f>+'[2]NEW Tables 143-162'!B81</f>
        <v>0</v>
      </c>
      <c r="C471" s="32">
        <f>IF($B471&gt;0,(GETPIVOTDATA(" New Retirement",'$ Pivot Table'!$A$3,"State","NC","Category",12,"Category2","Technical Institutes"))/$B471)*100</f>
        <v>0</v>
      </c>
      <c r="D471" s="32">
        <f>IF($B471&gt;0,(GETPIVOTDATA(" New Health",'$ Pivot Table'!$A$3,"State","NC","Category",12,"Category2","Technical Institutes"))/$B471)*100</f>
        <v>0</v>
      </c>
      <c r="E471" s="32">
        <f>IF($B471&gt;0,(GETPIVOTDATA(" New Disability",'$ Pivot Table'!$A$3,"State","NC","Category",12,"Category2","Technical Institutes"))/$B471)*100</f>
        <v>0</v>
      </c>
      <c r="F471" s="32"/>
      <c r="G471" s="32">
        <f>IF($B471&gt;0,(GETPIVOTDATA(" New Social Security",'$ Pivot Table'!$A$3,"State","NC","Category",12,"Category2","Technical Institutes"))/$B471)*100</f>
        <v>0</v>
      </c>
      <c r="H471" s="32"/>
      <c r="I471" s="32">
        <f>IF($B471&gt;0,(GETPIVOTDATA(" New Unemployment",'$ Pivot Table'!$A$3,"State","NC","Category",12,"Category2","Technical Institutes"))/$B471)*100</f>
        <v>0</v>
      </c>
      <c r="J471" s="32">
        <f>IF($B471&gt;0,(GETPIVOTDATA(" New Life Insurance",'$ Pivot Table'!$A$3,"State","NC","Category",12,"Category2","Technical Institutes"))/$B471)*100</f>
        <v>0</v>
      </c>
      <c r="K471" s="32"/>
      <c r="L471" s="32">
        <f>IF($B471&gt;0,(GETPIVOTDATA(" New Worker's Comp",'$ Pivot Table'!$A$3,"State","NC","Category",12,"Category2","Technical Institutes"))/$B471)*100</f>
        <v>0</v>
      </c>
      <c r="M471" s="32">
        <f>IF($B471&gt;0,(GETPIVOTDATA(" New Tuition Plans",'$ Pivot Table'!$A$3,"State","NC","Category",12,"Category2","Technical Institutes"))/$B471)*100</f>
        <v>0</v>
      </c>
      <c r="N471" s="32">
        <f>IF($B471&gt;0,(GETPIVOTDATA(" New Other",'$ Pivot Table'!$A$3,"State","NC","Category",12,"Category2","Technical Institutes"))/$B471)*100</f>
        <v>0</v>
      </c>
      <c r="O471" s="90">
        <f>IF($B471&gt;0,(GETPIVOTDATA(" New Total",'$ Pivot Table'!$A$3,"State","NC","Category",12,"Category2","Technical Institutes"))/$B471)*100</f>
        <v>0</v>
      </c>
    </row>
    <row r="472" spans="1:15">
      <c r="A472" s="149" t="s">
        <v>488</v>
      </c>
      <c r="B472" s="617">
        <f>+'[2]NEW Tables 143-162'!B82</f>
        <v>51006.379421359226</v>
      </c>
      <c r="C472" s="32">
        <f>IF($B472&gt;0,(GETPIVOTDATA(" New Retirement",'$ Pivot Table'!$A$3,"State","OK","Category",12,"Category2","Technical Institutes"))/$B472)*100</f>
        <v>8.1529929795250613</v>
      </c>
      <c r="D472" s="32">
        <f>IF($B472&gt;0,(GETPIVOTDATA(" New Health",'$ Pivot Table'!$A$3,"State","OK","Category",12,"Category2","Technical Institutes"))/$B472)*100</f>
        <v>12.661867149299216</v>
      </c>
      <c r="E472" s="32">
        <f>IF($B472&gt;0,(GETPIVOTDATA(" New Disability",'$ Pivot Table'!$A$3,"State","OK","Category",12,"Category2","Technical Institutes"))/$B472)*100</f>
        <v>0</v>
      </c>
      <c r="F472" s="32"/>
      <c r="G472" s="32">
        <f>IF($B472&gt;0,(GETPIVOTDATA(" New Social Security",'$ Pivot Table'!$A$3,"State","OK","Category",12,"Category2","Technical Institutes"))/$B472)*100</f>
        <v>0</v>
      </c>
      <c r="H472" s="32"/>
      <c r="I472" s="32">
        <f>IF($B472&gt;0,(GETPIVOTDATA(" New Unemployment",'$ Pivot Table'!$A$3,"State","OK","Category",12,"Category2","Technical Institutes"))/$B472)*100</f>
        <v>0</v>
      </c>
      <c r="J472" s="32">
        <f>IF($B472&gt;0,(GETPIVOTDATA(" New Life Insurance",'$ Pivot Table'!$A$3,"State","OK","Category",12,"Category2","Technical Institutes"))/$B472)*100</f>
        <v>0</v>
      </c>
      <c r="K472" s="32"/>
      <c r="L472" s="32">
        <f>IF($B472&gt;0,(GETPIVOTDATA(" New Worker's Comp",'$ Pivot Table'!$A$3,"State","OK","Category",12,"Category2","Technical Institutes"))/$B472)*100</f>
        <v>0</v>
      </c>
      <c r="M472" s="32">
        <f>IF($B472&gt;0,(GETPIVOTDATA(" New Tuition Plans",'$ Pivot Table'!$A$3,"State","OK","Category",12,"Category2","Technical Institutes"))/$B472)*100</f>
        <v>0</v>
      </c>
      <c r="N472" s="32">
        <f>IF($B472&gt;0,(GETPIVOTDATA(" New Other",'$ Pivot Table'!$A$3,"State","OK","Category",12,"Category2","Technical Institutes"))/$B472)*100</f>
        <v>4.2575160904033726</v>
      </c>
      <c r="O472" s="90">
        <f>IF($B472&gt;0,(GETPIVOTDATA(" New Total",'$ Pivot Table'!$A$3,"State","OK","Category",12,"Category2","Technical Institutes"))/$B472)*100</f>
        <v>16.072840308093834</v>
      </c>
    </row>
    <row r="473" spans="1:15">
      <c r="A473" s="149" t="s">
        <v>489</v>
      </c>
      <c r="B473" s="617">
        <f>+'[2]NEW Tables 143-162'!B83</f>
        <v>0</v>
      </c>
      <c r="C473" s="32">
        <f>IF($B473&gt;0,(GETPIVOTDATA(" New Retirement",'$ Pivot Table'!$A$3,"State","SC","Category",12,"Category2","Technical Institutes"))/$B473)*100</f>
        <v>0</v>
      </c>
      <c r="D473" s="32">
        <f>IF($B473&gt;0,(GETPIVOTDATA(" New Health",'$ Pivot Table'!$A$3,"State","SC","Category",12,"Category2","Technical Institutes"))/$B473)*100</f>
        <v>0</v>
      </c>
      <c r="E473" s="32">
        <f>IF($B473&gt;0,(GETPIVOTDATA(" New Disability",'$ Pivot Table'!$A$3,"State","SC","Category",12,"Category2","Technical Institutes"))/$B473)*100</f>
        <v>0</v>
      </c>
      <c r="F473" s="32"/>
      <c r="G473" s="32">
        <f>IF($B473&gt;0,(GETPIVOTDATA(" New Social Security",'$ Pivot Table'!$A$3,"State","SC","Category",12,"Category2","Technical Institutes"))/$B473)*100</f>
        <v>0</v>
      </c>
      <c r="H473" s="32"/>
      <c r="I473" s="32">
        <f>IF($B473&gt;0,(GETPIVOTDATA(" New Unemployment",'$ Pivot Table'!$A$3,"State","SC","Category",12,"Category2","Technical Institutes"))/$B473)*100</f>
        <v>0</v>
      </c>
      <c r="J473" s="32">
        <f>IF($B473&gt;0,(GETPIVOTDATA(" New Life Insurance",'$ Pivot Table'!$A$3,"State","SC","Category",12,"Category2","Technical Institutes"))/$B473)*100</f>
        <v>0</v>
      </c>
      <c r="K473" s="32"/>
      <c r="L473" s="32">
        <f>IF($B473&gt;0,(GETPIVOTDATA(" New Worker's Comp",'$ Pivot Table'!$A$3,"State","SC","Category",12,"Category2","Technical Institutes"))/$B473)*100</f>
        <v>0</v>
      </c>
      <c r="M473" s="32">
        <f>IF($B473&gt;0,(GETPIVOTDATA(" New Tuition Plans",'$ Pivot Table'!$A$3,"State","SC","Category",12,"Category2","Technical Institutes"))/$B473)*100</f>
        <v>0</v>
      </c>
      <c r="N473" s="32">
        <f>IF($B473&gt;0,(GETPIVOTDATA(" New Other",'$ Pivot Table'!$A$3,"State","SC","Category",12,"Category2","Technical Institutes"))/$B473)*100</f>
        <v>0</v>
      </c>
      <c r="O473" s="90">
        <f>IF($B473&gt;0,(GETPIVOTDATA(" New Total",'$ Pivot Table'!$A$3,"State","SC","Category",12,"Category2","Technical Institutes"))/$B473)*100</f>
        <v>0</v>
      </c>
    </row>
    <row r="474" spans="1:15">
      <c r="A474" s="149"/>
      <c r="B474" s="617">
        <f>+'[2]NEW Tables 143-162'!B84</f>
        <v>0</v>
      </c>
      <c r="C474" s="32"/>
      <c r="D474" s="34"/>
      <c r="E474" s="32"/>
      <c r="F474" s="32"/>
      <c r="G474" s="32"/>
      <c r="H474" s="32"/>
      <c r="I474" s="32"/>
      <c r="J474" s="32"/>
      <c r="K474" s="32"/>
      <c r="L474" s="32"/>
      <c r="M474" s="32"/>
      <c r="N474" s="32"/>
      <c r="O474" s="90"/>
    </row>
    <row r="475" spans="1:15">
      <c r="A475" s="149" t="s">
        <v>490</v>
      </c>
      <c r="B475" s="617">
        <f>+'[2]NEW Tables 143-162'!B85</f>
        <v>0</v>
      </c>
      <c r="C475" s="28">
        <f>IF($B475&gt;0,(GETPIVOTDATA(" New Retirement",'$ Pivot Table'!$A$3,"State","TN","Category",12,"Category2","Technical Institutes"))/$B475)*100</f>
        <v>0</v>
      </c>
      <c r="D475" s="28">
        <f>IF($B475&gt;0,(GETPIVOTDATA(" New Health",'$ Pivot Table'!$A$3,"State","TN","Category",12,"Category2","Technical Institutes"))/$B475)*100</f>
        <v>0</v>
      </c>
      <c r="E475" s="28">
        <f>IF($B475&gt;0,(GETPIVOTDATA(" New Disability",'$ Pivot Table'!$A$3,"State","TN","Category",12,"Category2","Technical Institutes"))/$B475)*100</f>
        <v>0</v>
      </c>
      <c r="F475" s="28"/>
      <c r="G475" s="28">
        <f>IF($B475&gt;0,(GETPIVOTDATA(" New Social Security",'$ Pivot Table'!$A$3,"State","TN","Category",12,"Category2","Technical Institutes"))/$B475)*100</f>
        <v>0</v>
      </c>
      <c r="H475" s="28"/>
      <c r="I475" s="28">
        <f>IF($B475&gt;0,(GETPIVOTDATA(" New Unemployment",'$ Pivot Table'!$A$3,"State","TN","Category",12,"Category2","Technical Institutes"))/$B475)*100</f>
        <v>0</v>
      </c>
      <c r="J475" s="28">
        <f>IF($B475&gt;0,(GETPIVOTDATA(" New Life Insurance",'$ Pivot Table'!$A$3,"State","TN","Category",12,"Category2","Technical Institutes"))/$B475)*100</f>
        <v>0</v>
      </c>
      <c r="K475" s="28"/>
      <c r="L475" s="28">
        <f>IF($B475&gt;0,(GETPIVOTDATA(" New Worker's Comp",'$ Pivot Table'!$A$3,"State","TN","Category",12,"Category2","Technical Institutes"))/$B475)*100</f>
        <v>0</v>
      </c>
      <c r="M475" s="28">
        <f>IF($B475&gt;0,(GETPIVOTDATA(" New Tuition Plans",'$ Pivot Table'!$A$3,"State","TN","Category",12,"Category2","Technical Institutes"))/$B475)*100</f>
        <v>0</v>
      </c>
      <c r="N475" s="28">
        <f>IF($B475&gt;0,(GETPIVOTDATA(" New Other",'$ Pivot Table'!$A$3,"State","TN","Category",12,"Category2","Technical Institutes"))/$B475)*100</f>
        <v>0</v>
      </c>
      <c r="O475" s="86">
        <f>IF($B475&gt;0,(GETPIVOTDATA(" New Total",'$ Pivot Table'!$A$3,"State","TN","Category",12,"Category2","Technical Institutes"))/$B475)*100</f>
        <v>0</v>
      </c>
    </row>
    <row r="476" spans="1:15">
      <c r="A476" s="149" t="s">
        <v>491</v>
      </c>
      <c r="B476" s="617">
        <f>+'[2]NEW Tables 143-162'!B86</f>
        <v>0</v>
      </c>
      <c r="C476" s="28">
        <f>IF($B476&gt;0,(GETPIVOTDATA(" New Retirement",'$ Pivot Table'!$A$3,"State","TX","Category",12,"Category2","Technical Institutes"))/$B476)*100</f>
        <v>0</v>
      </c>
      <c r="D476" s="28">
        <f>IF($B476&gt;0,(GETPIVOTDATA(" New Health",'$ Pivot Table'!$A$3,"State","TX","Category",12,"Category2","Technical Institutes"))/$B476)*100</f>
        <v>0</v>
      </c>
      <c r="E476" s="28">
        <f>IF($B476&gt;0,(GETPIVOTDATA(" New Disability",'$ Pivot Table'!$A$3,"State","TX","Category",12,"Category2","Technical Institutes"))/$B476)*100</f>
        <v>0</v>
      </c>
      <c r="F476" s="28"/>
      <c r="G476" s="28">
        <f>IF($B476&gt;0,(GETPIVOTDATA(" New Social Security",'$ Pivot Table'!$A$3,"State","TX","Category",12,"Category2","Technical Institutes"))/$B476)*100</f>
        <v>0</v>
      </c>
      <c r="H476" s="28"/>
      <c r="I476" s="28">
        <f>IF($B476&gt;0,(GETPIVOTDATA(" New Unemployment",'$ Pivot Table'!$A$3,"State","TX","Category",12,"Category2","Technical Institutes"))/$B476)*100</f>
        <v>0</v>
      </c>
      <c r="J476" s="28">
        <f>IF($B476&gt;0,(GETPIVOTDATA(" New Life Insurance",'$ Pivot Table'!$A$3,"State","TX","Category",12,"Category2","Technical Institutes"))/$B476)*100</f>
        <v>0</v>
      </c>
      <c r="K476" s="28"/>
      <c r="L476" s="28">
        <f>IF($B476&gt;0,(GETPIVOTDATA(" New Worker's Comp",'$ Pivot Table'!$A$3,"State","TX","Category",12,"Category2","Technical Institutes"))/$B476)*100</f>
        <v>0</v>
      </c>
      <c r="M476" s="28">
        <f>IF($B476&gt;0,(GETPIVOTDATA(" New Tuition Plans",'$ Pivot Table'!$A$3,"State","TX","Category",12,"Category2","Technical Institutes"))/$B476)*100</f>
        <v>0</v>
      </c>
      <c r="N476" s="28">
        <f>IF($B476&gt;0,(GETPIVOTDATA(" New Other",'$ Pivot Table'!$A$3,"State","TX","Category",12,"Category2","Technical Institutes"))/$B476)*100</f>
        <v>0</v>
      </c>
      <c r="O476" s="86">
        <f>IF($B476&gt;0,(GETPIVOTDATA(" New Total",'$ Pivot Table'!$A$3,"State","TX","Category",12,"Category2","Technical Institutes"))/$B476)*100</f>
        <v>0</v>
      </c>
    </row>
    <row r="477" spans="1:15">
      <c r="A477" s="149" t="s">
        <v>492</v>
      </c>
      <c r="B477" s="617">
        <f>+'[2]NEW Tables 143-162'!B87</f>
        <v>0</v>
      </c>
      <c r="C477" s="28">
        <f>IF($B477&gt;0,(GETPIVOTDATA(" New Retirement",'$ Pivot Table'!$A$3,"State","VA","Category",12,"Category2","Technical Institutes"))/$B477)*100</f>
        <v>0</v>
      </c>
      <c r="D477" s="28">
        <f>IF($B477&gt;0,(GETPIVOTDATA(" New Health",'$ Pivot Table'!$A$3,"State","VA","Category",12,"Category2","Technical Institutes"))/$B477)*100</f>
        <v>0</v>
      </c>
      <c r="E477" s="28">
        <f>IF($B477&gt;0,(GETPIVOTDATA(" New Disability",'$ Pivot Table'!$A$3,"State","VA","Category",12,"Category2","Technical Institutes"))/$B477)*100</f>
        <v>0</v>
      </c>
      <c r="F477" s="28"/>
      <c r="G477" s="28">
        <f>IF($B477&gt;0,(GETPIVOTDATA(" New Social Security",'$ Pivot Table'!$A$3,"State","VA","Category",12,"Category2","Technical Institutes"))/$B477)*100</f>
        <v>0</v>
      </c>
      <c r="H477" s="28"/>
      <c r="I477" s="28">
        <f>IF($B477&gt;0,(GETPIVOTDATA(" New Unemployment",'$ Pivot Table'!$A$3,"State","VA","Category",12,"Category2","Technical Institutes"))/$B477)*100</f>
        <v>0</v>
      </c>
      <c r="J477" s="28">
        <f>IF($B477&gt;0,(GETPIVOTDATA(" New Life Insurance",'$ Pivot Table'!$A$3,"State","VA","Category",12,"Category2","Technical Institutes"))/$B477)*100</f>
        <v>0</v>
      </c>
      <c r="K477" s="28"/>
      <c r="L477" s="28">
        <f>IF($B477&gt;0,(GETPIVOTDATA(" New Worker's Comp",'$ Pivot Table'!$A$3,"State","VA","Category",12,"Category2","Technical Institutes"))/$B477)*100</f>
        <v>0</v>
      </c>
      <c r="M477" s="28">
        <f>IF($B477&gt;0,(GETPIVOTDATA(" New Tuition Plans",'$ Pivot Table'!$A$3,"State","VA","Category",12,"Category2","Technical Institutes"))/$B477)*100</f>
        <v>0</v>
      </c>
      <c r="N477" s="28">
        <f>IF($B477&gt;0,(GETPIVOTDATA(" New Other",'$ Pivot Table'!$A$3,"State","VA","Category",12,"Category2","Technical Institutes"))/$B477)*100</f>
        <v>0</v>
      </c>
      <c r="O477" s="86">
        <f>IF($B477&gt;0,(GETPIVOTDATA(" New Total",'$ Pivot Table'!$A$3,"State","VA","Category",12,"Category2","Technical Institutes"))/$B477)*100</f>
        <v>0</v>
      </c>
    </row>
    <row r="478" spans="1:15">
      <c r="A478" s="630" t="s">
        <v>493</v>
      </c>
      <c r="B478" s="618">
        <f>+'[2]NEW Tables 143-162'!B88</f>
        <v>0</v>
      </c>
      <c r="C478" s="30">
        <f>IF($B478&gt;0,(GETPIVOTDATA(" New Retirement",'$ Pivot Table'!$A$3,"State","WV","Category",12,"Category2","Technical Institutes"))/$B478)*100</f>
        <v>0</v>
      </c>
      <c r="D478" s="30">
        <f>IF($B478&gt;0,(GETPIVOTDATA(" New Health",'$ Pivot Table'!$A$3,"State","WV","Category",12,"Category2","Technical Institutes"))/$B478)*100</f>
        <v>0</v>
      </c>
      <c r="E478" s="30">
        <f>IF($B478&gt;0,(GETPIVOTDATA(" New Disability",'$ Pivot Table'!$A$3,"State","WV","Category",12,"Category2","Technical Institutes"))/$B478)*100</f>
        <v>0</v>
      </c>
      <c r="F478" s="30"/>
      <c r="G478" s="30">
        <f>IF($B478&gt;0,(GETPIVOTDATA(" New Social Security",'$ Pivot Table'!$A$3,"State","WV","Category",12,"Category2","Technical Institutes"))/$B478)*100</f>
        <v>0</v>
      </c>
      <c r="H478" s="30"/>
      <c r="I478" s="30">
        <f>IF($B478&gt;0,(GETPIVOTDATA(" New Unemployment",'$ Pivot Table'!$A$3,"State","WV","Category",12,"Category2","Technical Institutes"))/$B478)*100</f>
        <v>0</v>
      </c>
      <c r="J478" s="30">
        <f>IF($B478&gt;0,(GETPIVOTDATA(" New Life Insurance",'$ Pivot Table'!$A$3,"State","WV","Category",12,"Category2","Technical Institutes"))/$B478)*100</f>
        <v>0</v>
      </c>
      <c r="K478" s="30"/>
      <c r="L478" s="30">
        <f>IF($B478&gt;0,(GETPIVOTDATA(" New Worker's Comp",'$ Pivot Table'!$A$3,"State","WV","Category",12,"Category2","Technical Institutes"))/$B478)*100</f>
        <v>0</v>
      </c>
      <c r="M478" s="30">
        <f>IF($B478&gt;0,(GETPIVOTDATA(" New Tuition Plans",'$ Pivot Table'!$A$3,"State","WV","Category",12,"Category2","Technical Institutes"))/$B478)*100</f>
        <v>0</v>
      </c>
      <c r="N478" s="30">
        <f>IF($B478&gt;0,(GETPIVOTDATA(" New Other",'$ Pivot Table'!$A$3,"State","WV","Category",12,"Category2","Technical Institutes"))/$B478)*100</f>
        <v>0</v>
      </c>
      <c r="O478" s="115">
        <f>IF($B478&gt;0,(GETPIVOTDATA(" New Total",'$ Pivot Table'!$A$3,"State","WV","Category",12,"Category2","Technical Institutes"))/$B478)*100</f>
        <v>0</v>
      </c>
    </row>
    <row r="479" spans="1:15" ht="18" customHeight="1">
      <c r="A479" s="628" t="s">
        <v>14</v>
      </c>
      <c r="B479" s="45"/>
      <c r="C479" s="47"/>
      <c r="D479" s="47"/>
      <c r="E479" s="47"/>
      <c r="F479" s="47"/>
      <c r="G479" s="47"/>
      <c r="H479" s="47"/>
      <c r="I479" s="47"/>
      <c r="J479" s="47"/>
      <c r="K479" s="47"/>
      <c r="L479" s="47"/>
      <c r="M479" s="47"/>
      <c r="N479" s="47"/>
      <c r="O479" s="77"/>
    </row>
    <row r="480" spans="1:15" ht="18" customHeight="1">
      <c r="A480" s="628" t="s">
        <v>678</v>
      </c>
      <c r="B480" s="45"/>
      <c r="C480" s="54"/>
      <c r="D480" s="54"/>
      <c r="E480" s="54"/>
      <c r="F480" s="54"/>
      <c r="G480" s="54"/>
      <c r="H480" s="54"/>
      <c r="I480" s="54"/>
      <c r="J480" s="54"/>
      <c r="K480" s="54"/>
      <c r="L480" s="54"/>
      <c r="M480" s="54"/>
      <c r="N480" s="54"/>
      <c r="O480" s="145"/>
    </row>
    <row r="481" spans="1:16" ht="18" customHeight="1">
      <c r="A481" s="628"/>
      <c r="B481" s="45"/>
      <c r="C481" s="47"/>
      <c r="D481" s="47"/>
      <c r="E481" s="47"/>
      <c r="F481" s="47"/>
      <c r="G481" s="47"/>
      <c r="H481" s="47"/>
      <c r="I481" s="47"/>
      <c r="J481" s="47"/>
      <c r="K481" s="47"/>
      <c r="L481" s="47"/>
      <c r="M481" s="47"/>
      <c r="N481" s="47"/>
      <c r="O481" s="637" t="s">
        <v>1321</v>
      </c>
      <c r="P481" s="172"/>
    </row>
    <row r="482" spans="1:16" ht="18">
      <c r="A482" s="595" t="s">
        <v>1115</v>
      </c>
      <c r="B482" s="48"/>
      <c r="C482" s="48"/>
      <c r="D482" s="48"/>
      <c r="E482" s="48"/>
      <c r="F482" s="48"/>
      <c r="G482" s="48"/>
      <c r="H482" s="48"/>
      <c r="I482" s="48"/>
      <c r="J482" s="48"/>
      <c r="K482" s="48"/>
      <c r="L482" s="48"/>
      <c r="M482" s="48"/>
      <c r="N482" s="48"/>
      <c r="O482" s="48"/>
    </row>
    <row r="483" spans="1:16">
      <c r="A483" s="622"/>
      <c r="B483" s="50"/>
      <c r="C483" s="49"/>
      <c r="D483" s="49"/>
      <c r="E483" s="49"/>
      <c r="F483" s="49"/>
      <c r="G483" s="49"/>
      <c r="H483" s="49"/>
      <c r="I483" s="49"/>
      <c r="J483" s="49"/>
      <c r="K483" s="49"/>
      <c r="L483" s="49"/>
      <c r="M483" s="49"/>
      <c r="N483" s="49"/>
      <c r="O483" s="148"/>
    </row>
    <row r="484" spans="1:16" ht="15.75">
      <c r="A484" s="633" t="s">
        <v>466</v>
      </c>
      <c r="B484" s="48"/>
      <c r="C484" s="48"/>
      <c r="D484" s="48"/>
      <c r="E484" s="48"/>
      <c r="F484" s="48"/>
      <c r="G484" s="48"/>
      <c r="H484" s="48"/>
      <c r="I484" s="48"/>
      <c r="J484" s="48"/>
      <c r="K484" s="48"/>
      <c r="L484" s="48"/>
      <c r="M484" s="48"/>
      <c r="N484" s="48"/>
      <c r="O484" s="147"/>
    </row>
    <row r="485" spans="1:16" ht="15.75">
      <c r="A485" s="633" t="s">
        <v>1150</v>
      </c>
      <c r="B485" s="48"/>
      <c r="C485" s="48"/>
      <c r="D485" s="48"/>
      <c r="E485" s="48"/>
      <c r="F485" s="48"/>
      <c r="G485" s="48"/>
      <c r="H485" s="48"/>
      <c r="I485" s="48"/>
      <c r="J485" s="48"/>
      <c r="K485" s="48"/>
      <c r="L485" s="48"/>
      <c r="M485" s="48"/>
      <c r="N485" s="48"/>
      <c r="O485" s="147"/>
    </row>
    <row r="486" spans="1:16">
      <c r="A486" s="148"/>
      <c r="B486" s="45"/>
      <c r="C486" s="54"/>
      <c r="D486" s="54"/>
      <c r="E486" s="54"/>
      <c r="F486" s="54"/>
      <c r="G486" s="54"/>
      <c r="H486" s="54"/>
      <c r="I486" s="54"/>
      <c r="J486" s="54"/>
      <c r="K486" s="54"/>
      <c r="L486" s="54"/>
      <c r="M486" s="54"/>
      <c r="N486" s="54"/>
      <c r="O486" s="145"/>
    </row>
    <row r="487" spans="1:16">
      <c r="A487" s="634"/>
      <c r="B487" s="2" t="s">
        <v>473</v>
      </c>
      <c r="C487" s="63" t="s">
        <v>593</v>
      </c>
      <c r="D487" s="63"/>
      <c r="E487" s="63"/>
      <c r="F487" s="63"/>
      <c r="G487" s="63"/>
      <c r="H487" s="63"/>
      <c r="I487" s="63"/>
      <c r="J487" s="63"/>
      <c r="K487" s="63"/>
      <c r="L487" s="63"/>
      <c r="M487" s="63"/>
      <c r="N487" s="63"/>
      <c r="O487" s="136"/>
    </row>
    <row r="488" spans="1:16">
      <c r="A488" s="635"/>
      <c r="B488" s="4" t="s">
        <v>474</v>
      </c>
      <c r="C488" s="3" t="s">
        <v>660</v>
      </c>
      <c r="D488" s="3"/>
      <c r="E488" s="57"/>
      <c r="F488" s="57"/>
      <c r="G488" s="3" t="s">
        <v>661</v>
      </c>
      <c r="H488" s="3"/>
      <c r="I488" s="3" t="s">
        <v>662</v>
      </c>
      <c r="J488" s="3" t="s">
        <v>663</v>
      </c>
      <c r="K488" s="3"/>
      <c r="L488" s="3" t="s">
        <v>664</v>
      </c>
      <c r="M488" s="3" t="s">
        <v>665</v>
      </c>
      <c r="N488" s="3"/>
      <c r="O488" s="124" t="s">
        <v>475</v>
      </c>
    </row>
    <row r="489" spans="1:16">
      <c r="A489" s="636"/>
      <c r="B489" s="15" t="s">
        <v>476</v>
      </c>
      <c r="C489" s="16" t="s">
        <v>667</v>
      </c>
      <c r="D489" s="16" t="s">
        <v>708</v>
      </c>
      <c r="E489" s="17" t="s">
        <v>709</v>
      </c>
      <c r="F489" s="17"/>
      <c r="G489" s="16" t="s">
        <v>668</v>
      </c>
      <c r="H489" s="16"/>
      <c r="I489" s="16" t="s">
        <v>667</v>
      </c>
      <c r="J489" s="16" t="s">
        <v>669</v>
      </c>
      <c r="K489" s="16"/>
      <c r="L489" s="16" t="s">
        <v>670</v>
      </c>
      <c r="M489" s="16" t="s">
        <v>671</v>
      </c>
      <c r="N489" s="16" t="s">
        <v>701</v>
      </c>
      <c r="O489" s="146" t="s">
        <v>15</v>
      </c>
    </row>
    <row r="490" spans="1:16">
      <c r="A490" s="149" t="s">
        <v>600</v>
      </c>
      <c r="B490" s="33">
        <f>+'[2]NEW Tables 143-162'!D68</f>
        <v>43801.787279337739</v>
      </c>
      <c r="C490" s="32">
        <f>IF($B490&gt;0,(GETPIVOTDATA(" New Retirement",'$ Pivot Table'!$A$3,"Category",13,"Category2","Technical Institutes"))/$B490)*100</f>
        <v>8.6869625921781513</v>
      </c>
      <c r="D490" s="32">
        <f>IF($B490&gt;0,(GETPIVOTDATA(" New Health",'$ Pivot Table'!$A$3,"Category",13,"Category2","Technical Institutes"))/$B490)*100</f>
        <v>15.185085556741438</v>
      </c>
      <c r="E490" s="32">
        <f>IF($B490&gt;0,(GETPIVOTDATA(" New Disability",'$ Pivot Table'!$A$3,"Category",13,"Category2","Technical Institutes"))/$B490)*100</f>
        <v>0</v>
      </c>
      <c r="F490" s="32"/>
      <c r="G490" s="32">
        <f>IF($B490&gt;0,(GETPIVOTDATA(" New Social Security",'$ Pivot Table'!$A$3,"Category",13,"Category2","Technical Institutes"))/$B490)*100</f>
        <v>6.2002344654790384</v>
      </c>
      <c r="H490" s="32"/>
      <c r="I490" s="32">
        <f>IF($B490&gt;0,(GETPIVOTDATA(" New Unemployment",'$ Pivot Table'!$A$3,"Category",13,"Category2","Technical Institutes"))/$B490)*100</f>
        <v>0.24703762853706132</v>
      </c>
      <c r="J490" s="32">
        <f>IF($B490&gt;0,(GETPIVOTDATA(" New Life Insurance",'$ Pivot Table'!$A$3,"Category",13,"Category2","Technical Institutes"))/$B490)*100</f>
        <v>3.289663560058262</v>
      </c>
      <c r="K490" s="32"/>
      <c r="L490" s="32">
        <f>IF($B490&gt;0,(GETPIVOTDATA(" New Worker's Comp",'$ Pivot Table'!$A$3,"Category",13,"Category2","Technical Institutes"))/$B490)*100</f>
        <v>7.9034044700411699E-2</v>
      </c>
      <c r="M490" s="32">
        <f>IF($B490&gt;0,(GETPIVOTDATA(" New Tuition Plans",'$ Pivot Table'!$A$3,"Category",13,"Category2","Technical Institutes"))/$B490)*100</f>
        <v>1.0958456944665054</v>
      </c>
      <c r="N490" s="32">
        <f>IF($B490&gt;0,(GETPIVOTDATA(" New Other",'$ Pivot Table'!$A$3,"Category",13,"Category2","Technical Institutes"))/$B490)*100</f>
        <v>6.7553242222266583</v>
      </c>
      <c r="O490" s="90">
        <f>IF($B490&gt;0,(GETPIVOTDATA(" New Total",'$ Pivot Table'!$A$3,"Category",13,"Category2","Technical Institutes"))/$B490)*100</f>
        <v>27.124027207469446</v>
      </c>
    </row>
    <row r="491" spans="1:16">
      <c r="A491" s="149"/>
      <c r="B491" s="31">
        <f>+'[3]NEW Tables 144-163'!D69</f>
        <v>0</v>
      </c>
      <c r="C491" s="32"/>
      <c r="D491" s="34"/>
      <c r="E491" s="32"/>
      <c r="F491" s="32"/>
      <c r="G491" s="32"/>
      <c r="H491" s="32"/>
      <c r="I491" s="32"/>
      <c r="J491" s="32"/>
      <c r="K491" s="32"/>
      <c r="L491" s="32"/>
      <c r="M491" s="32"/>
      <c r="N491" s="32"/>
      <c r="O491" s="90"/>
    </row>
    <row r="492" spans="1:16">
      <c r="A492" s="149" t="s">
        <v>479</v>
      </c>
      <c r="B492" s="617">
        <f>+'[2]NEW Tables 143-162'!D70</f>
        <v>52453.511352941176</v>
      </c>
      <c r="C492" s="32">
        <f>IF($B492&gt;0,(GETPIVOTDATA(" New Retirement",'$ Pivot Table'!$A$3,"State","AL","Category",13,"Category2","Technical Institutes"))/$B492)*100</f>
        <v>12.529924449301685</v>
      </c>
      <c r="D492" s="32">
        <f>IF($B492&gt;0,(GETPIVOTDATA(" New Health",'$ Pivot Table'!$A$3,"State","AL","Category",13,"Category2","Technical Institutes"))/$B492)*100</f>
        <v>17.20380536448873</v>
      </c>
      <c r="E492" s="32">
        <f>IF($B492&gt;0,(GETPIVOTDATA(" New Disability",'$ Pivot Table'!$A$3,"State","AL","Category",13,"Category2","Technical Institutes"))/$B492)*100</f>
        <v>0</v>
      </c>
      <c r="F492" s="32"/>
      <c r="G492" s="32">
        <f>IF($B492&gt;0,(GETPIVOTDATA(" New Social Security",'$ Pivot Table'!$A$3,"State","AL","Category",13,"Category2","Technical Institutes"))/$B492)*100</f>
        <v>7.3057429151440214</v>
      </c>
      <c r="H492" s="32"/>
      <c r="I492" s="32">
        <f>IF($B492&gt;0,(GETPIVOTDATA(" New Unemployment",'$ Pivot Table'!$A$3,"State","AL","Category",13,"Category2","Technical Institutes"))/$B492)*100</f>
        <v>0</v>
      </c>
      <c r="J492" s="32">
        <f>IF($B492&gt;0,(GETPIVOTDATA(" New Life Insurance",'$ Pivot Table'!$A$3,"State","AL","Category",13,"Category2","Technical Institutes"))/$B492)*100</f>
        <v>14.076153549224681</v>
      </c>
      <c r="K492" s="32"/>
      <c r="L492" s="32">
        <f>IF($B492&gt;0,(GETPIVOTDATA(" New Worker's Comp",'$ Pivot Table'!$A$3,"State","AL","Category",13,"Category2","Technical Institutes"))/$B492)*100</f>
        <v>0</v>
      </c>
      <c r="M492" s="32">
        <f>IF($B492&gt;0,(GETPIVOTDATA(" New Tuition Plans",'$ Pivot Table'!$A$3,"State","AL","Category",13,"Category2","Technical Institutes"))/$B492)*100</f>
        <v>0.91509603002599638</v>
      </c>
      <c r="N492" s="32">
        <f>IF($B492&gt;0,(GETPIVOTDATA(" New Other",'$ Pivot Table'!$A$3,"State","AL","Category",13,"Category2","Technical Institutes"))/$B492)*100</f>
        <v>6.863220225194973</v>
      </c>
      <c r="O492" s="90">
        <f>IF($B492&gt;0,(GETPIVOTDATA(" New Total",'$ Pivot Table'!$A$3,"State","AL","Category",13,"Category2","Technical Institutes"))/$B492)*100</f>
        <v>36.487908712236013</v>
      </c>
    </row>
    <row r="493" spans="1:16">
      <c r="A493" s="149" t="s">
        <v>480</v>
      </c>
      <c r="B493" s="617">
        <f>+'[2]NEW Tables 143-162'!D71</f>
        <v>0</v>
      </c>
      <c r="C493" s="32">
        <f>IF($B493&gt;0,(GETPIVOTDATA(" New Retirement",'$ Pivot Table'!$A$3,"State","AR","Category",13,"Category2","Technical Institutes"))/$B493)*100</f>
        <v>0</v>
      </c>
      <c r="D493" s="32">
        <f>IF($B493&gt;0,(GETPIVOTDATA(" New Health",'$ Pivot Table'!$A$3,"State","AR","Category",13,"Category2","Technical Institutes"))/$B493)*100</f>
        <v>0</v>
      </c>
      <c r="E493" s="32">
        <f>IF($B493&gt;0,(GETPIVOTDATA(" New Disability",'$ Pivot Table'!$A$3,"State","AR","Category",13,"Category2","Technical Institutes"))/$B493)*100</f>
        <v>0</v>
      </c>
      <c r="F493" s="32"/>
      <c r="G493" s="32">
        <f>IF($B493&gt;0,(GETPIVOTDATA(" New Social Security",'$ Pivot Table'!$A$3,"State","AR","Category",13,"Category2","Technical Institutes"))/$B493)*100</f>
        <v>0</v>
      </c>
      <c r="H493" s="32"/>
      <c r="I493" s="32">
        <f>IF($B493&gt;0,(GETPIVOTDATA(" New Unemployment",'$ Pivot Table'!$A$3,"State","AR","Category",13,"Category2","Technical Institutes"))/$B493)*100</f>
        <v>0</v>
      </c>
      <c r="J493" s="32">
        <f>IF($B493&gt;0,(GETPIVOTDATA(" New Life Insurance",'$ Pivot Table'!$A$3,"State","AR","Category",13,"Category2","Technical Institutes"))/$B493)*100</f>
        <v>0</v>
      </c>
      <c r="K493" s="32"/>
      <c r="L493" s="32">
        <f>IF($B493&gt;0,(GETPIVOTDATA(" New Worker's Comp",'$ Pivot Table'!$A$3,"State","AR","Category",13,"Category2","Technical Institutes"))/$B493)*100</f>
        <v>0</v>
      </c>
      <c r="M493" s="32">
        <f>IF($B493&gt;0,(GETPIVOTDATA(" New Tuition Plans",'$ Pivot Table'!$A$3,"State","AR","Category",13,"Category2","Technical Institutes"))/$B493)*100</f>
        <v>0</v>
      </c>
      <c r="N493" s="32">
        <f>IF($B493&gt;0,(GETPIVOTDATA(" New Other",'$ Pivot Table'!$A$3,"State","AR","Category",13,"Category2","Technical Institutes"))/$B493)*100</f>
        <v>0</v>
      </c>
      <c r="O493" s="90">
        <f>IF($B493&gt;0,(GETPIVOTDATA(" New Total",'$ Pivot Table'!$A$3,"State","AR","Category",13,"Category2","Technical Institutes"))/$B493)*100</f>
        <v>0</v>
      </c>
    </row>
    <row r="494" spans="1:16">
      <c r="A494" s="149" t="s">
        <v>494</v>
      </c>
      <c r="B494" s="617">
        <f>+'[2]NEW Tables 143-162'!D72</f>
        <v>0</v>
      </c>
      <c r="C494" s="32">
        <f>IF($B494&gt;0,(GETPIVOTDATA(" New Retirement",'$ Pivot Table'!$A$3,"State","DE","Category",13,"Category2","Technical Institutes"))/$B494)*100</f>
        <v>0</v>
      </c>
      <c r="D494" s="32">
        <f>IF($B494&gt;0,(GETPIVOTDATA(" New Health",'$ Pivot Table'!$A$3,"State","DE","Category",13,"Category2","Technical Institutes"))/$B494)*100</f>
        <v>0</v>
      </c>
      <c r="E494" s="32">
        <f>IF($B494&gt;0,(GETPIVOTDATA(" New Disability",'$ Pivot Table'!$A$3,"State","DE","Category",13,"Category2","Technical Institutes"))/$B494)*100</f>
        <v>0</v>
      </c>
      <c r="F494" s="32"/>
      <c r="G494" s="32">
        <f>IF($B494&gt;0,(GETPIVOTDATA(" New Social Security",'$ Pivot Table'!$A$3,"State","DE","Category",13,"Category2","Technical Institutes"))/$B494)*100</f>
        <v>0</v>
      </c>
      <c r="H494" s="32"/>
      <c r="I494" s="32">
        <f>IF($B494&gt;0,(GETPIVOTDATA(" New Unemployment",'$ Pivot Table'!$A$3,"State","DE","Category",13,"Category2","Technical Institutes"))/$B494)*100</f>
        <v>0</v>
      </c>
      <c r="J494" s="32">
        <f>IF($B494&gt;0,(GETPIVOTDATA(" New Life Insurance",'$ Pivot Table'!$A$3,"State","DE","Category",13,"Category2","Technical Institutes"))/$B494)*100</f>
        <v>0</v>
      </c>
      <c r="K494" s="32"/>
      <c r="L494" s="32">
        <f>IF($B494&gt;0,(GETPIVOTDATA(" New Worker's Comp",'$ Pivot Table'!$A$3,"State","DE","Category",13,"Category2","Technical Institutes"))/$B494)*100</f>
        <v>0</v>
      </c>
      <c r="M494" s="32">
        <f>IF($B494&gt;0,(GETPIVOTDATA(" New Tuition Plans",'$ Pivot Table'!$A$3,"State","DE","Category",13,"Category2","Technical Institutes"))/$B494)*100</f>
        <v>0</v>
      </c>
      <c r="N494" s="32">
        <f>IF($B494&gt;0,(GETPIVOTDATA(" New Other",'$ Pivot Table'!$A$3,"State","DE","Category",13,"Category2","Technical Institutes"))/$B494)*100</f>
        <v>0</v>
      </c>
      <c r="O494" s="90">
        <f>IF($B494&gt;0,(GETPIVOTDATA(" New Total",'$ Pivot Table'!$A$3,"State","DE","Category",13,"Category2","Technical Institutes"))/$B494)*100</f>
        <v>0</v>
      </c>
    </row>
    <row r="495" spans="1:16">
      <c r="A495" s="149" t="s">
        <v>481</v>
      </c>
      <c r="B495" s="617">
        <f>+'[2]NEW Tables 143-162'!D73</f>
        <v>0</v>
      </c>
      <c r="C495" s="32">
        <f>IF($B495&gt;0,(GETPIVOTDATA(" New Retirement",'$ Pivot Table'!$A$3,"State","FL","Category",13,"Category2","Technical Institutes"))/$B495)*100</f>
        <v>0</v>
      </c>
      <c r="D495" s="32">
        <f>IF($B495&gt;0,(GETPIVOTDATA(" New Health",'$ Pivot Table'!$A$3,"State","FL","Category",13,"Category2","Technical Institutes"))/$B495)*100</f>
        <v>0</v>
      </c>
      <c r="E495" s="32">
        <f>IF($B495&gt;0,(GETPIVOTDATA(" New Disability",'$ Pivot Table'!$A$3,"State","FL","Category",13,"Category2","Technical Institutes"))/$B495)*100</f>
        <v>0</v>
      </c>
      <c r="F495" s="32"/>
      <c r="G495" s="32">
        <f>IF($B495&gt;0,(GETPIVOTDATA(" New Social Security",'$ Pivot Table'!$A$3,"State","FL","Category",13,"Category2","Technical Institutes"))/$B495)*100</f>
        <v>0</v>
      </c>
      <c r="H495" s="32"/>
      <c r="I495" s="32">
        <f>IF($B495&gt;0,(GETPIVOTDATA(" New Unemployment",'$ Pivot Table'!$A$3,"State","FL","Category",13,"Category2","Technical Institutes"))/$B495)*100</f>
        <v>0</v>
      </c>
      <c r="J495" s="32">
        <f>IF($B495&gt;0,(GETPIVOTDATA(" New Life Insurance",'$ Pivot Table'!$A$3,"State","FL","Category",13,"Category2","Technical Institutes"))/$B495)*100</f>
        <v>0</v>
      </c>
      <c r="K495" s="32"/>
      <c r="L495" s="32">
        <f>IF($B495&gt;0,(GETPIVOTDATA(" New Worker's Comp",'$ Pivot Table'!$A$3,"State","FL","Category",13,"Category2","Technical Institutes"))/$B495)*100</f>
        <v>0</v>
      </c>
      <c r="M495" s="32">
        <f>IF($B495&gt;0,(GETPIVOTDATA(" New Tuition Plans",'$ Pivot Table'!$A$3,"State","FL","Category",13,"Category2","Technical Institutes"))/$B495)*100</f>
        <v>0</v>
      </c>
      <c r="N495" s="32">
        <f>IF($B495&gt;0,(GETPIVOTDATA(" New Other",'$ Pivot Table'!$A$3,"State","FL","Category",13,"Category2","Technical Institutes"))/$B495)*100</f>
        <v>0</v>
      </c>
      <c r="O495" s="90">
        <f>IF($B495&gt;0,(GETPIVOTDATA(" New Total",'$ Pivot Table'!$A$3,"State","FL","Category",13,"Category2","Technical Institutes"))/$B495)*100</f>
        <v>0</v>
      </c>
    </row>
    <row r="496" spans="1:16">
      <c r="A496" s="149"/>
      <c r="B496" s="617">
        <f>+'[2]NEW Tables 143-162'!D74</f>
        <v>0</v>
      </c>
      <c r="C496" s="32"/>
      <c r="D496" s="34"/>
      <c r="E496" s="32"/>
      <c r="F496" s="32"/>
      <c r="G496" s="32"/>
      <c r="H496" s="32"/>
      <c r="I496" s="32"/>
      <c r="J496" s="32"/>
      <c r="K496" s="32"/>
      <c r="L496" s="32"/>
      <c r="M496" s="32"/>
      <c r="N496" s="32"/>
      <c r="O496" s="90"/>
    </row>
    <row r="497" spans="1:15">
      <c r="A497" s="149" t="s">
        <v>482</v>
      </c>
      <c r="B497" s="617">
        <f>+'[2]NEW Tables 143-162'!D75</f>
        <v>37133.188799999996</v>
      </c>
      <c r="C497" s="32">
        <f>IF($B497&gt;0,(GETPIVOTDATA(" New Retirement",'$ Pivot Table'!$A$3,"State","GA","Category",13,"Category2","Technical Institutes"))/$B497)*100</f>
        <v>10.27986469483397</v>
      </c>
      <c r="D497" s="32">
        <f>IF($B497&gt;0,(GETPIVOTDATA(" New Health",'$ Pivot Table'!$A$3,"State","GA","Category",13,"Category2","Technical Institutes"))/$B497)*100</f>
        <v>31.270752557094955</v>
      </c>
      <c r="E497" s="32">
        <f>IF($B497&gt;0,(GETPIVOTDATA(" New Disability",'$ Pivot Table'!$A$3,"State","GA","Category",13,"Category2","Technical Institutes"))/$B497)*100</f>
        <v>0</v>
      </c>
      <c r="F497" s="32"/>
      <c r="G497" s="90">
        <f>IF($B497&gt;0,(GETPIVOTDATA(" New Social Security",'$ Pivot Table'!$A$3,"State","GA","Category",13,"Category2","Technical Institutes"))/$B497)*100</f>
        <v>1.4500021274397177</v>
      </c>
      <c r="H497" s="91">
        <v>2</v>
      </c>
      <c r="I497" s="32">
        <f>IF($B497&gt;0,(GETPIVOTDATA(" New Unemployment",'$ Pivot Table'!$A$3,"State","GA","Category",13,"Category2","Technical Institutes"))/$B497)*100</f>
        <v>0.29140211236510921</v>
      </c>
      <c r="J497" s="32">
        <f>IF($B497&gt;0,(GETPIVOTDATA(" New Life Insurance",'$ Pivot Table'!$A$3,"State","GA","Category",13,"Category2","Technical Institutes"))/$B497)*100</f>
        <v>0</v>
      </c>
      <c r="K497" s="32"/>
      <c r="L497" s="32">
        <f>IF($B497&gt;0,(GETPIVOTDATA(" New Worker's Comp",'$ Pivot Table'!$A$3,"State","GA","Category",13,"Category2","Technical Institutes"))/$B497)*100</f>
        <v>9.3227447619394957E-2</v>
      </c>
      <c r="M497" s="32">
        <f>IF($B497&gt;0,(GETPIVOTDATA(" New Tuition Plans",'$ Pivot Table'!$A$3,"State","GA","Category",13,"Category2","Technical Institutes"))/$B497)*100</f>
        <v>0</v>
      </c>
      <c r="N497" s="32">
        <f>IF($B497&gt;0,(GETPIVOTDATA(" New Other",'$ Pivot Table'!$A$3,"State","GA","Category",13,"Category2","Technical Institutes"))/$B497)*100</f>
        <v>0</v>
      </c>
      <c r="O497" s="90">
        <f>IF($B497&gt;0,(GETPIVOTDATA(" New Total",'$ Pivot Table'!$A$3,"State","GA","Category",13,"Category2","Technical Institutes"))/$B497)*100</f>
        <v>37.646328974803147</v>
      </c>
    </row>
    <row r="498" spans="1:15">
      <c r="A498" s="149" t="s">
        <v>483</v>
      </c>
      <c r="B498" s="617">
        <f>+'[2]NEW Tables 143-162'!D76</f>
        <v>0</v>
      </c>
      <c r="C498" s="32">
        <f>IF($B498&gt;0,(GETPIVOTDATA(" New Retirement",'$ Pivot Table'!$A$3,"State","KY","Category",13,"Category2","Technical Institutes"))/$B498)*100</f>
        <v>0</v>
      </c>
      <c r="D498" s="32">
        <f>IF($B498&gt;0,(GETPIVOTDATA(" New Health",'$ Pivot Table'!$A$3,"State","KY","Category",13,"Category2","Technical Institutes"))/$B498)*100</f>
        <v>0</v>
      </c>
      <c r="E498" s="32">
        <f>IF($B498&gt;0,(GETPIVOTDATA(" New Disability",'$ Pivot Table'!$A$3,"State","KY","Category",13,"Category2","Technical Institutes"))/$B498)*100</f>
        <v>0</v>
      </c>
      <c r="F498" s="32"/>
      <c r="G498" s="90">
        <f>IF($B498&gt;0,(GETPIVOTDATA(" New Social Security",'$ Pivot Table'!$A$3,"State","KY","Category",13,"Category2","Technical Institutes"))/$B498)*100</f>
        <v>0</v>
      </c>
      <c r="H498" s="90"/>
      <c r="I498" s="32">
        <f>IF($B498&gt;0,(GETPIVOTDATA(" New Unemployment",'$ Pivot Table'!$A$3,"State","KY","Category",13,"Category2","Technical Institutes"))/$B498)*100</f>
        <v>0</v>
      </c>
      <c r="J498" s="56">
        <f>IF($B498&gt;0,(GETPIVOTDATA(" New Life Insurance",'$ Pivot Table'!$A$3,"State","KY","Category",13,"Category2","Technical Institutes"))/$B498)*100</f>
        <v>0</v>
      </c>
      <c r="K498" s="32"/>
      <c r="L498" s="32">
        <f>IF($B498&gt;0,(GETPIVOTDATA(" New Worker's Comp",'$ Pivot Table'!$A$3,"State","KY","Category",13,"Category2","Technical Institutes"))/$B498)*100</f>
        <v>0</v>
      </c>
      <c r="M498" s="32">
        <f>IF($B498&gt;0,(GETPIVOTDATA(" New Tuition Plans",'$ Pivot Table'!$A$3,"State","KY","Category",13,"Category2","Technical Institutes"))/$B498)*100</f>
        <v>0</v>
      </c>
      <c r="N498" s="32">
        <f>IF($B498&gt;0,(GETPIVOTDATA(" New Other",'$ Pivot Table'!$A$3,"State","KY","Category",13,"Category2","Technical Institutes"))/$B498)*100</f>
        <v>0</v>
      </c>
      <c r="O498" s="90">
        <f>IF($B498&gt;0,(GETPIVOTDATA(" New Total",'$ Pivot Table'!$A$3,"State","KY","Category",13,"Category2","Technical Institutes"))/$B498)*100</f>
        <v>0</v>
      </c>
    </row>
    <row r="499" spans="1:15">
      <c r="A499" s="149" t="s">
        <v>484</v>
      </c>
      <c r="B499" s="617">
        <f>+'[2]NEW Tables 143-162'!D77</f>
        <v>36778.146267924531</v>
      </c>
      <c r="C499" s="32">
        <f>IF($B499&gt;0,(GETPIVOTDATA(" New Retirement",'$ Pivot Table'!$A$3,"State","LA","Category",13,"Category2","Technical Institutes"))/$B499)*100</f>
        <v>14.984385157232632</v>
      </c>
      <c r="D499" s="32">
        <f>IF($B499&gt;0,(GETPIVOTDATA(" New Health",'$ Pivot Table'!$A$3,"State","LA","Category",13,"Category2","Technical Institutes"))/$B499)*100</f>
        <v>16.368322300386293</v>
      </c>
      <c r="E499" s="32">
        <f>IF($B499&gt;0,(GETPIVOTDATA(" New Disability",'$ Pivot Table'!$A$3,"State","LA","Category",13,"Category2","Technical Institutes"))/$B499)*100</f>
        <v>0</v>
      </c>
      <c r="F499" s="32"/>
      <c r="G499" s="90">
        <f>IF($B499&gt;0,(GETPIVOTDATA(" New Social Security",'$ Pivot Table'!$A$3,"State","LA","Category",13,"Category2","Technical Institutes"))/$B499)*100</f>
        <v>1.3633929952508637</v>
      </c>
      <c r="H499" s="91">
        <v>2</v>
      </c>
      <c r="I499" s="32">
        <f>IF($B499&gt;0,(GETPIVOTDATA(" New Unemployment",'$ Pivot Table'!$A$3,"State","LA","Category",13,"Category2","Technical Institutes"))/$B499)*100</f>
        <v>0</v>
      </c>
      <c r="J499" s="32">
        <f>IF($B499&gt;0,(GETPIVOTDATA(" New Life Insurance",'$ Pivot Table'!$A$3,"State","LA","Category",13,"Category2","Technical Institutes"))/$B499)*100</f>
        <v>0.51627853209613583</v>
      </c>
      <c r="K499" s="32"/>
      <c r="L499" s="32">
        <f>IF($B499&gt;0,(GETPIVOTDATA(" New Worker's Comp",'$ Pivot Table'!$A$3,"State","LA","Category",13,"Category2","Technical Institutes"))/$B499)*100</f>
        <v>0</v>
      </c>
      <c r="M499" s="32">
        <f>IF($B499&gt;0,(GETPIVOTDATA(" New Tuition Plans",'$ Pivot Table'!$A$3,"State","LA","Category",13,"Category2","Technical Institutes"))/$B499)*100</f>
        <v>0</v>
      </c>
      <c r="N499" s="32">
        <f>IF($B499&gt;0,(GETPIVOTDATA(" New Other",'$ Pivot Table'!$A$3,"State","LA","Category",13,"Category2","Technical Institutes"))/$B499)*100</f>
        <v>0</v>
      </c>
      <c r="O499" s="90">
        <f>IF($B499&gt;0,(GETPIVOTDATA(" New Total",'$ Pivot Table'!$A$3,"State","LA","Category",13,"Category2","Technical Institutes"))/$B499)*100</f>
        <v>26.721748255002602</v>
      </c>
    </row>
    <row r="500" spans="1:15">
      <c r="A500" s="149" t="s">
        <v>485</v>
      </c>
      <c r="B500" s="617">
        <f>+'[2]NEW Tables 143-162'!D78</f>
        <v>0</v>
      </c>
      <c r="C500" s="32">
        <f>IF($B500&gt;0,(GETPIVOTDATA(" New Retirement",'$ Pivot Table'!$A$3,"State","MD","Category",13,"Category2","Technical Institutes"))/$B500)*100</f>
        <v>0</v>
      </c>
      <c r="D500" s="32">
        <f>IF($B500&gt;0,(GETPIVOTDATA(" New Health",'$ Pivot Table'!$A$3,"State","MD","Category",13,"Category2","Technical Institutes"))/$B500)*100</f>
        <v>0</v>
      </c>
      <c r="E500" s="32">
        <f>IF($B500&gt;0,(GETPIVOTDATA(" New Disability",'$ Pivot Table'!$A$3,"State","MD","Category",13,"Category2","Technical Institutes"))/$B500)*100</f>
        <v>0</v>
      </c>
      <c r="F500" s="32"/>
      <c r="G500" s="32">
        <f>IF($B500&gt;0,(GETPIVOTDATA(" New Social Security",'$ Pivot Table'!$A$3,"State","MD","Category",13,"Category2","Technical Institutes"))/$B500)*100</f>
        <v>0</v>
      </c>
      <c r="H500" s="32"/>
      <c r="I500" s="32">
        <f>IF($B500&gt;0,(GETPIVOTDATA(" New Unemployment",'$ Pivot Table'!$A$3,"State","MD","Category",13,"Category2","Technical Institutes"))/$B500)*100</f>
        <v>0</v>
      </c>
      <c r="J500" s="32">
        <f>IF($B500&gt;0,(GETPIVOTDATA(" New Life Insurance",'$ Pivot Table'!$A$3,"State","MD","Category",13,"Category2","Technical Institutes"))/$B500)*100</f>
        <v>0</v>
      </c>
      <c r="K500" s="32"/>
      <c r="L500" s="32">
        <f>IF($B500&gt;0,(GETPIVOTDATA(" New Worker's Comp",'$ Pivot Table'!$A$3,"State","MD","Category",13,"Category2","Technical Institutes"))/$B500)*100</f>
        <v>0</v>
      </c>
      <c r="M500" s="32">
        <f>IF($B500&gt;0,(GETPIVOTDATA(" New Tuition Plans",'$ Pivot Table'!$A$3,"State","MD","Category",13,"Category2","Technical Institutes"))/$B500)*100</f>
        <v>0</v>
      </c>
      <c r="N500" s="32">
        <f>IF($B500&gt;0,(GETPIVOTDATA(" New Other",'$ Pivot Table'!$A$3,"State","MD","Category",13,"Category2","Technical Institutes"))/$B500)*100</f>
        <v>0</v>
      </c>
      <c r="O500" s="90">
        <f>IF($B500&gt;0,(GETPIVOTDATA(" New Total",'$ Pivot Table'!$A$3,"State","MD","Category",13,"Category2","Technical Institutes"))/$B500)*100</f>
        <v>0</v>
      </c>
    </row>
    <row r="501" spans="1:15">
      <c r="A501" s="149"/>
      <c r="B501" s="617">
        <f>+'[2]NEW Tables 143-162'!D79</f>
        <v>0</v>
      </c>
      <c r="C501" s="32"/>
      <c r="D501" s="34"/>
      <c r="E501" s="32"/>
      <c r="F501" s="32"/>
      <c r="G501" s="32"/>
      <c r="H501" s="32"/>
      <c r="I501" s="32"/>
      <c r="J501" s="32"/>
      <c r="K501" s="32"/>
      <c r="L501" s="32"/>
      <c r="M501" s="32"/>
      <c r="N501" s="32"/>
      <c r="O501" s="90"/>
    </row>
    <row r="502" spans="1:15">
      <c r="A502" s="149" t="s">
        <v>486</v>
      </c>
      <c r="B502" s="617">
        <f>+'[2]NEW Tables 143-162'!D80</f>
        <v>0</v>
      </c>
      <c r="C502" s="32">
        <f>IF($B502&gt;0,(GETPIVOTDATA(" New Retirement",'$ Pivot Table'!$A$3,"State","MS","Category",13,"Category2","Technical Institutes"))/$B502)*100</f>
        <v>0</v>
      </c>
      <c r="D502" s="32">
        <f>IF($B502&gt;0,(GETPIVOTDATA(" New Health",'$ Pivot Table'!$A$3,"State","MS","Category",13,"Category2","Technical Institutes"))/$B502)*100</f>
        <v>0</v>
      </c>
      <c r="E502" s="32">
        <f>IF($B502&gt;0,(GETPIVOTDATA(" New Disability",'$ Pivot Table'!$A$3,"State","MS","Category",13,"Category2","Technical Institutes"))/$B502)*100</f>
        <v>0</v>
      </c>
      <c r="F502" s="32"/>
      <c r="G502" s="32">
        <f>IF($B502&gt;0,(GETPIVOTDATA(" New Social Security",'$ Pivot Table'!$A$3,"State","MS","Category",13,"Category2","Technical Institutes"))/$B502)*100</f>
        <v>0</v>
      </c>
      <c r="H502" s="32"/>
      <c r="I502" s="32">
        <f>IF($B502&gt;0,(GETPIVOTDATA(" New Unemployment",'$ Pivot Table'!$A$3,"State","MS","Category",13,"Category2","Technical Institutes"))/$B502)*100</f>
        <v>0</v>
      </c>
      <c r="J502" s="32">
        <f>IF($B502&gt;0,(GETPIVOTDATA(" New Life Insurance",'$ Pivot Table'!$A$3,"State","MS","Category",13,"Category2","Technical Institutes"))/$B502)*100</f>
        <v>0</v>
      </c>
      <c r="K502" s="32"/>
      <c r="L502" s="32">
        <f>IF($B502&gt;0,(GETPIVOTDATA(" New Worker's Comp",'$ Pivot Table'!$A$3,"State","MS","Category",13,"Category2","Technical Institutes"))/$B502)*100</f>
        <v>0</v>
      </c>
      <c r="M502" s="32">
        <f>IF($B502&gt;0,(GETPIVOTDATA(" New Tuition Plans",'$ Pivot Table'!$A$3,"State","MS","Category",13,"Category2","Technical Institutes"))/$B502)*100</f>
        <v>0</v>
      </c>
      <c r="N502" s="32">
        <f>IF($B502&gt;0,(GETPIVOTDATA(" New Other",'$ Pivot Table'!$A$3,"State","MS","Category",13,"Category2","Technical Institutes"))/$B502)*100</f>
        <v>0</v>
      </c>
      <c r="O502" s="90">
        <f>IF($B502&gt;0,(GETPIVOTDATA(" New Total",'$ Pivot Table'!$A$3,"State","MS","Category",13,"Category2","Technical Institutes"))/$B502)*100</f>
        <v>0</v>
      </c>
    </row>
    <row r="503" spans="1:15">
      <c r="A503" s="149" t="s">
        <v>487</v>
      </c>
      <c r="B503" s="617">
        <f>+'[2]NEW Tables 143-162'!D81</f>
        <v>0</v>
      </c>
      <c r="C503" s="32">
        <f>IF($B503&gt;0,(GETPIVOTDATA(" New Retirement",'$ Pivot Table'!$A$3,"State","NC","Category",13,"Category2","Technical Institutes"))/$B503)*100</f>
        <v>0</v>
      </c>
      <c r="D503" s="32">
        <f>IF($B503&gt;0,(GETPIVOTDATA(" New Health",'$ Pivot Table'!$A$3,"State","NC","Category",13,"Category2","Technical Institutes"))/$B503)*100</f>
        <v>0</v>
      </c>
      <c r="E503" s="32">
        <f>IF($B503&gt;0,(GETPIVOTDATA(" New Disability",'$ Pivot Table'!$A$3,"State","NC","Category",13,"Category2","Technical Institutes"))/$B503)*100</f>
        <v>0</v>
      </c>
      <c r="F503" s="32"/>
      <c r="G503" s="32">
        <f>IF($B503&gt;0,(GETPIVOTDATA(" New Social Security",'$ Pivot Table'!$A$3,"State","NC","Category",13,"Category2","Technical Institutes"))/$B503)*100</f>
        <v>0</v>
      </c>
      <c r="H503" s="32"/>
      <c r="I503" s="32">
        <f>IF($B503&gt;0,(GETPIVOTDATA(" New Unemployment",'$ Pivot Table'!$A$3,"State","NC","Category",13,"Category2","Technical Institutes"))/$B503)*100</f>
        <v>0</v>
      </c>
      <c r="J503" s="32">
        <f>IF($B503&gt;0,(GETPIVOTDATA(" New Life Insurance",'$ Pivot Table'!$A$3,"State","NC","Category",13,"Category2","Technical Institutes"))/$B503)*100</f>
        <v>0</v>
      </c>
      <c r="K503" s="32"/>
      <c r="L503" s="32">
        <f>IF($B503&gt;0,(GETPIVOTDATA(" New Worker's Comp",'$ Pivot Table'!$A$3,"State","NC","Category",13,"Category2","Technical Institutes"))/$B503)*100</f>
        <v>0</v>
      </c>
      <c r="M503" s="32">
        <f>IF($B503&gt;0,(GETPIVOTDATA(" New Tuition Plans",'$ Pivot Table'!$A$3,"State","NC","Category",13,"Category2","Technical Institutes"))/$B503)*100</f>
        <v>0</v>
      </c>
      <c r="N503" s="32">
        <f>IF($B503&gt;0,(GETPIVOTDATA(" New Other",'$ Pivot Table'!$A$3,"State","NC","Category",13,"Category2","Technical Institutes"))/$B503)*100</f>
        <v>0</v>
      </c>
      <c r="O503" s="90">
        <f>IF($B503&gt;0,(GETPIVOTDATA(" New Total",'$ Pivot Table'!$A$3,"State","NC","Category",13,"Category2","Technical Institutes"))/$B503)*100</f>
        <v>0</v>
      </c>
    </row>
    <row r="504" spans="1:15">
      <c r="A504" s="149" t="s">
        <v>488</v>
      </c>
      <c r="B504" s="617">
        <f>+'[2]NEW Tables 143-162'!D82</f>
        <v>48075.167293366103</v>
      </c>
      <c r="C504" s="32">
        <f>IF($B504&gt;0,(GETPIVOTDATA(" New Retirement",'$ Pivot Table'!$A$3,"State","OK","Category",13,"Category2","Technical Institutes"))/$B504)*100</f>
        <v>7.2766747613754026</v>
      </c>
      <c r="D504" s="32">
        <f>IF($B504&gt;0,(GETPIVOTDATA(" New Health",'$ Pivot Table'!$A$3,"State","OK","Category",13,"Category2","Technical Institutes"))/$B504)*100</f>
        <v>11.841918886027075</v>
      </c>
      <c r="E504" s="32">
        <f>IF($B504&gt;0,(GETPIVOTDATA(" New Disability",'$ Pivot Table'!$A$3,"State","OK","Category",13,"Category2","Technical Institutes"))/$B504)*100</f>
        <v>0</v>
      </c>
      <c r="F504" s="32"/>
      <c r="G504" s="32">
        <f>IF($B504&gt;0,(GETPIVOTDATA(" New Social Security",'$ Pivot Table'!$A$3,"State","OK","Category",13,"Category2","Technical Institutes"))/$B504)*100</f>
        <v>0</v>
      </c>
      <c r="H504" s="32"/>
      <c r="I504" s="32">
        <f>IF($B504&gt;0,(GETPIVOTDATA(" New Unemployment",'$ Pivot Table'!$A$3,"State","OK","Category",13,"Category2","Technical Institutes"))/$B504)*100</f>
        <v>0</v>
      </c>
      <c r="J504" s="32">
        <f>IF($B504&gt;0,(GETPIVOTDATA(" New Life Insurance",'$ Pivot Table'!$A$3,"State","OK","Category",13,"Category2","Technical Institutes"))/$B504)*100</f>
        <v>0</v>
      </c>
      <c r="K504" s="32"/>
      <c r="L504" s="32">
        <f>IF($B504&gt;0,(GETPIVOTDATA(" New Worker's Comp",'$ Pivot Table'!$A$3,"State","OK","Category",13,"Category2","Technical Institutes"))/$B504)*100</f>
        <v>0</v>
      </c>
      <c r="M504" s="32">
        <f>IF($B504&gt;0,(GETPIVOTDATA(" New Tuition Plans",'$ Pivot Table'!$A$3,"State","OK","Category",13,"Category2","Technical Institutes"))/$B504)*100</f>
        <v>0</v>
      </c>
      <c r="N504" s="32">
        <f>IF($B504&gt;0,(GETPIVOTDATA(" New Other",'$ Pivot Table'!$A$3,"State","OK","Category",13,"Category2","Technical Institutes"))/$B504)*100</f>
        <v>6.1479996230555241</v>
      </c>
      <c r="O504" s="90">
        <f>IF($B504&gt;0,(GETPIVOTDATA(" New Total",'$ Pivot Table'!$A$3,"State","OK","Category",13,"Category2","Technical Institutes"))/$B504)*100</f>
        <v>22.313109722082526</v>
      </c>
    </row>
    <row r="505" spans="1:15">
      <c r="A505" s="149" t="s">
        <v>489</v>
      </c>
      <c r="B505" s="617">
        <f>+'[2]NEW Tables 143-162'!D83</f>
        <v>0</v>
      </c>
      <c r="C505" s="32">
        <f>IF($B505&gt;0,(GETPIVOTDATA(" New Retirement",'$ Pivot Table'!$A$3,"State","SC","Category",13,"Category2","Technical Institutes"))/$B505)*100</f>
        <v>0</v>
      </c>
      <c r="D505" s="32">
        <f>IF($B505&gt;0,(GETPIVOTDATA(" New Health",'$ Pivot Table'!$A$3,"State","SC","Category",13,"Category2","Technical Institutes"))/$B505)*100</f>
        <v>0</v>
      </c>
      <c r="E505" s="32">
        <f>IF($B505&gt;0,(GETPIVOTDATA(" New Disability",'$ Pivot Table'!$A$3,"State","SC","Category",13,"Category2","Technical Institutes"))/$B505)*100</f>
        <v>0</v>
      </c>
      <c r="F505" s="32"/>
      <c r="G505" s="32">
        <f>IF($B505&gt;0,(GETPIVOTDATA(" New Social Security",'$ Pivot Table'!$A$3,"State","SC","Category",13,"Category2","Technical Institutes"))/$B505)*100</f>
        <v>0</v>
      </c>
      <c r="H505" s="32"/>
      <c r="I505" s="32">
        <f>IF($B505&gt;0,(GETPIVOTDATA(" New Unemployment",'$ Pivot Table'!$A$3,"State","SC","Category",13,"Category2","Technical Institutes"))/$B505)*100</f>
        <v>0</v>
      </c>
      <c r="J505" s="32">
        <f>IF($B505&gt;0,(GETPIVOTDATA(" New Life Insurance",'$ Pivot Table'!$A$3,"State","SC","Category",13,"Category2","Technical Institutes"))/$B505)*100</f>
        <v>0</v>
      </c>
      <c r="K505" s="32"/>
      <c r="L505" s="32">
        <f>IF($B505&gt;0,(GETPIVOTDATA(" New Worker's Comp",'$ Pivot Table'!$A$3,"State","SC","Category",13,"Category2","Technical Institutes"))/$B505)*100</f>
        <v>0</v>
      </c>
      <c r="M505" s="32">
        <f>IF($B505&gt;0,(GETPIVOTDATA(" New Tuition Plans",'$ Pivot Table'!$A$3,"State","SC","Category",13,"Category2","Technical Institutes"))/$B505)*100</f>
        <v>0</v>
      </c>
      <c r="N505" s="32">
        <f>IF($B505&gt;0,(GETPIVOTDATA(" New Other",'$ Pivot Table'!$A$3,"State","SC","Category",13,"Category2","Technical Institutes"))/$B505)*100</f>
        <v>0</v>
      </c>
      <c r="O505" s="90">
        <f>IF($B505&gt;0,(GETPIVOTDATA(" New Total",'$ Pivot Table'!$A$3,"State","SC","Category",13,"Category2","Technical Institutes"))/$B505)*100</f>
        <v>0</v>
      </c>
    </row>
    <row r="506" spans="1:15">
      <c r="A506" s="149"/>
      <c r="B506" s="617">
        <f>+'[2]NEW Tables 143-162'!D84</f>
        <v>0</v>
      </c>
      <c r="C506" s="32"/>
      <c r="D506" s="34"/>
      <c r="E506" s="32"/>
      <c r="F506" s="32"/>
      <c r="G506" s="32"/>
      <c r="H506" s="32"/>
      <c r="I506" s="32"/>
      <c r="J506" s="32"/>
      <c r="K506" s="32"/>
      <c r="L506" s="32"/>
      <c r="M506" s="32"/>
      <c r="N506" s="32"/>
      <c r="O506" s="90"/>
    </row>
    <row r="507" spans="1:15">
      <c r="A507" s="149" t="s">
        <v>490</v>
      </c>
      <c r="B507" s="617">
        <f>+'[2]NEW Tables 143-162'!D85</f>
        <v>36905.217244990548</v>
      </c>
      <c r="C507" s="28">
        <f>IF($B507&gt;0,(GETPIVOTDATA(" New Retirement",'$ Pivot Table'!$A$3,"State","TN","Category",13,"Category2","Technical Institutes"))/$B507)*100</f>
        <v>10</v>
      </c>
      <c r="D507" s="28">
        <f>IF($B507&gt;0,(GETPIVOTDATA(" New Health",'$ Pivot Table'!$A$3,"State","TN","Category",13,"Category2","Technical Institutes"))/$B507)*100</f>
        <v>19.914814507489574</v>
      </c>
      <c r="E507" s="28">
        <f>IF($B507&gt;0,(GETPIVOTDATA(" New Disability",'$ Pivot Table'!$A$3,"State","TN","Category",13,"Category2","Technical Institutes"))/$B507)*100</f>
        <v>0</v>
      </c>
      <c r="F507" s="28"/>
      <c r="G507" s="28">
        <f>IF($B507&gt;0,(GETPIVOTDATA(" New Social Security",'$ Pivot Table'!$A$3,"State","TN","Category",13,"Category2","Technical Institutes"))/$B507)*100</f>
        <v>7.6499999999999986</v>
      </c>
      <c r="H507" s="28"/>
      <c r="I507" s="28">
        <f>IF($B507&gt;0,(GETPIVOTDATA(" New Unemployment",'$ Pivot Table'!$A$3,"State","TN","Category",13,"Category2","Technical Institutes"))/$B507)*100</f>
        <v>0</v>
      </c>
      <c r="J507" s="28">
        <f>IF($B507&gt;0,(GETPIVOTDATA(" New Life Insurance",'$ Pivot Table'!$A$3,"State","TN","Category",13,"Category2","Technical Institutes"))/$B507)*100</f>
        <v>0</v>
      </c>
      <c r="K507" s="28"/>
      <c r="L507" s="28">
        <f>IF($B507&gt;0,(GETPIVOTDATA(" New Worker's Comp",'$ Pivot Table'!$A$3,"State","TN","Category",13,"Category2","Technical Institutes"))/$B507)*100</f>
        <v>0</v>
      </c>
      <c r="M507" s="28">
        <f>IF($B507&gt;0,(GETPIVOTDATA(" New Tuition Plans",'$ Pivot Table'!$A$3,"State","TN","Category",13,"Category2","Technical Institutes"))/$B507)*100</f>
        <v>0</v>
      </c>
      <c r="N507" s="28">
        <f>IF($B507&gt;0,(GETPIVOTDATA(" New Other",'$ Pivot Table'!$A$3,"State","TN","Category",13,"Category2","Technical Institutes"))/$B507)*100</f>
        <v>0</v>
      </c>
      <c r="O507" s="86">
        <f>IF($B507&gt;0,(GETPIVOTDATA(" New Total",'$ Pivot Table'!$A$3,"State","TN","Category",13,"Category2","Technical Institutes"))/$B507)*100</f>
        <v>33.943471498880804</v>
      </c>
    </row>
    <row r="508" spans="1:15">
      <c r="A508" s="149" t="s">
        <v>491</v>
      </c>
      <c r="B508" s="617">
        <f>+'[2]NEW Tables 143-162'!D86</f>
        <v>0</v>
      </c>
      <c r="C508" s="28">
        <f>IF($B508&gt;0,(GETPIVOTDATA(" New Retirement",'$ Pivot Table'!$A$3,"State","TX","Category",13,"Category2","Technical Institutes"))/$B508)*100</f>
        <v>0</v>
      </c>
      <c r="D508" s="28">
        <f>IF($B508&gt;0,(GETPIVOTDATA(" New Health",'$ Pivot Table'!$A$3,"State","TX","Category",13,"Category2","Technical Institutes"))/$B508)*100</f>
        <v>0</v>
      </c>
      <c r="E508" s="28">
        <f>IF($B508&gt;0,(GETPIVOTDATA(" New Disability",'$ Pivot Table'!$A$3,"State","TX","Category",13,"Category2","Technical Institutes"))/$B508)*100</f>
        <v>0</v>
      </c>
      <c r="F508" s="28"/>
      <c r="G508" s="28">
        <f>IF($B508&gt;0,(GETPIVOTDATA(" New Social Security",'$ Pivot Table'!$A$3,"State","TX","Category",13,"Category2","Technical Institutes"))/$B508)*100</f>
        <v>0</v>
      </c>
      <c r="H508" s="28"/>
      <c r="I508" s="28">
        <f>IF($B508&gt;0,(GETPIVOTDATA(" New Unemployment",'$ Pivot Table'!$A$3,"State","TX","Category",13,"Category2","Technical Institutes"))/$B508)*100</f>
        <v>0</v>
      </c>
      <c r="J508" s="28">
        <f>IF($B508&gt;0,(GETPIVOTDATA(" New Life Insurance",'$ Pivot Table'!$A$3,"State","TX","Category",13,"Category2","Technical Institutes"))/$B508)*100</f>
        <v>0</v>
      </c>
      <c r="K508" s="28"/>
      <c r="L508" s="28">
        <f>IF($B508&gt;0,(GETPIVOTDATA(" New Worker's Comp",'$ Pivot Table'!$A$3,"State","TX","Category",13,"Category2","Technical Institutes"))/$B508)*100</f>
        <v>0</v>
      </c>
      <c r="M508" s="28">
        <f>IF($B508&gt;0,(GETPIVOTDATA(" New Tuition Plans",'$ Pivot Table'!$A$3,"State","TX","Category",13,"Category2","Technical Institutes"))/$B508)*100</f>
        <v>0</v>
      </c>
      <c r="N508" s="28">
        <f>IF($B508&gt;0,(GETPIVOTDATA(" New Other",'$ Pivot Table'!$A$3,"State","TX","Category",13,"Category2","Technical Institutes"))/$B508)*100</f>
        <v>0</v>
      </c>
      <c r="O508" s="86">
        <f>IF($B508&gt;0,(GETPIVOTDATA(" New Total",'$ Pivot Table'!$A$3,"State","TX","Category",13,"Category2","Technical Institutes"))/$B508)*100</f>
        <v>0</v>
      </c>
    </row>
    <row r="509" spans="1:15">
      <c r="A509" s="149" t="s">
        <v>492</v>
      </c>
      <c r="B509" s="617">
        <f>+'[2]NEW Tables 143-162'!D87</f>
        <v>0</v>
      </c>
      <c r="C509" s="28">
        <f>IF($B509&gt;0,(GETPIVOTDATA(" New Retirement",'$ Pivot Table'!$A$3,"State","VA","Category",13,"Category2","Technical Institutes"))/$B509)*100</f>
        <v>0</v>
      </c>
      <c r="D509" s="28">
        <f>IF($B509&gt;0,(GETPIVOTDATA(" New Health",'$ Pivot Table'!$A$3,"State","VA","Category",13,"Category2","Technical Institutes"))/$B509)*100</f>
        <v>0</v>
      </c>
      <c r="E509" s="28">
        <f>IF($B509&gt;0,(GETPIVOTDATA(" New Disability",'$ Pivot Table'!$A$3,"State","VA","Category",13,"Category2","Technical Institutes"))/$B509)*100</f>
        <v>0</v>
      </c>
      <c r="F509" s="28"/>
      <c r="G509" s="28">
        <f>IF($B509&gt;0,(GETPIVOTDATA(" New Social Security",'$ Pivot Table'!$A$3,"State","VA","Category",13,"Category2","Technical Institutes"))/$B509)*100</f>
        <v>0</v>
      </c>
      <c r="H509" s="28"/>
      <c r="I509" s="28">
        <f>IF($B509&gt;0,(GETPIVOTDATA(" New Unemployment",'$ Pivot Table'!$A$3,"State","VA","Category",13,"Category2","Technical Institutes"))/$B509)*100</f>
        <v>0</v>
      </c>
      <c r="J509" s="28">
        <f>IF($B509&gt;0,(GETPIVOTDATA(" New Life Insurance",'$ Pivot Table'!$A$3,"State","VA","Category",13,"Category2","Technical Institutes"))/$B509)*100</f>
        <v>0</v>
      </c>
      <c r="K509" s="28"/>
      <c r="L509" s="28">
        <f>IF($B509&gt;0,(GETPIVOTDATA(" New Worker's Comp",'$ Pivot Table'!$A$3,"State","VA","Category",13,"Category2","Technical Institutes"))/$B509)*100</f>
        <v>0</v>
      </c>
      <c r="M509" s="28">
        <f>IF($B509&gt;0,(GETPIVOTDATA(" New Tuition Plans",'$ Pivot Table'!$A$3,"State","VA","Category",13,"Category2","Technical Institutes"))/$B509)*100</f>
        <v>0</v>
      </c>
      <c r="N509" s="28">
        <f>IF($B509&gt;0,(GETPIVOTDATA(" New Other",'$ Pivot Table'!$A$3,"State","VA","Category",13,"Category2","Technical Institutes"))/$B509)*100</f>
        <v>0</v>
      </c>
      <c r="O509" s="86">
        <f>IF($B509&gt;0,(GETPIVOTDATA(" New Total",'$ Pivot Table'!$A$3,"State","VA","Category",13,"Category2","Technical Institutes"))/$B509)*100</f>
        <v>0</v>
      </c>
    </row>
    <row r="510" spans="1:15">
      <c r="A510" s="630" t="s">
        <v>493</v>
      </c>
      <c r="B510" s="618">
        <f>+'[2]NEW Tables 143-162'!D88</f>
        <v>0</v>
      </c>
      <c r="C510" s="30">
        <f>IF($B510&gt;0,(GETPIVOTDATA(" New Retirement",'$ Pivot Table'!$A$3,"State","WV","Category",13,"Category2","Technical Institutes"))/$B510)*100</f>
        <v>0</v>
      </c>
      <c r="D510" s="30">
        <f>IF($B510&gt;0,(GETPIVOTDATA(" New Health",'$ Pivot Table'!$A$3,"State","WV","Category",13,"Category2","Technical Institutes"))/$B510)*100</f>
        <v>0</v>
      </c>
      <c r="E510" s="30">
        <f>IF($B510&gt;0,(GETPIVOTDATA(" New Disability",'$ Pivot Table'!$A$3,"State","WV","Category",13,"Category2","Technical Institutes"))/$B510)*100</f>
        <v>0</v>
      </c>
      <c r="F510" s="30"/>
      <c r="G510" s="30">
        <f>IF($B510&gt;0,(GETPIVOTDATA(" New Social Security",'$ Pivot Table'!$A$3,"State","WV","Category",13,"Category2","Technical Institutes"))/$B510)*100</f>
        <v>0</v>
      </c>
      <c r="H510" s="30"/>
      <c r="I510" s="30">
        <f>IF($B510&gt;0,(GETPIVOTDATA(" New Unemployment",'$ Pivot Table'!$A$3,"State","WV","Category",13,"Category2","Technical Institutes"))/$B510)*100</f>
        <v>0</v>
      </c>
      <c r="J510" s="30">
        <f>IF($B510&gt;0,(GETPIVOTDATA(" New Life Insurance",'$ Pivot Table'!$A$3,"State","WV","Category",13,"Category2","Technical Institutes"))/$B510)*100</f>
        <v>0</v>
      </c>
      <c r="K510" s="30"/>
      <c r="L510" s="30">
        <f>IF($B510&gt;0,(GETPIVOTDATA(" New Worker's Comp",'$ Pivot Table'!$A$3,"State","WV","Category",13,"Category2","Technical Institutes"))/$B510)*100</f>
        <v>0</v>
      </c>
      <c r="M510" s="30">
        <f>IF($B510&gt;0,(GETPIVOTDATA(" New Tuition Plans",'$ Pivot Table'!$A$3,"State","WV","Category",13,"Category2","Technical Institutes"))/$B510)*100</f>
        <v>0</v>
      </c>
      <c r="N510" s="30">
        <f>IF($B510&gt;0,(GETPIVOTDATA(" New Other",'$ Pivot Table'!$A$3,"State","WV","Category",13,"Category2","Technical Institutes"))/$B510)*100</f>
        <v>0</v>
      </c>
      <c r="O510" s="115">
        <f>IF($B510&gt;0,(GETPIVOTDATA(" New Total",'$ Pivot Table'!$A$3,"State","WV","Category",13,"Category2","Technical Institutes"))/$B510)*100</f>
        <v>0</v>
      </c>
    </row>
    <row r="511" spans="1:15" ht="18" customHeight="1">
      <c r="A511" s="628" t="s">
        <v>14</v>
      </c>
      <c r="B511" s="45"/>
      <c r="C511" s="47"/>
      <c r="D511" s="47"/>
      <c r="E511" s="47"/>
      <c r="F511" s="47"/>
      <c r="G511" s="47"/>
      <c r="H511" s="47"/>
      <c r="I511" s="47"/>
      <c r="J511" s="47"/>
      <c r="K511" s="47"/>
      <c r="L511" s="47"/>
      <c r="M511" s="47"/>
      <c r="N511" s="47"/>
      <c r="O511" s="77"/>
    </row>
    <row r="512" spans="1:15" ht="18" customHeight="1">
      <c r="A512" s="628" t="s">
        <v>678</v>
      </c>
      <c r="B512" s="45"/>
      <c r="C512" s="54"/>
      <c r="D512" s="54"/>
      <c r="E512" s="54"/>
      <c r="F512" s="54"/>
      <c r="G512" s="54"/>
      <c r="H512" s="54"/>
      <c r="I512" s="54"/>
      <c r="J512" s="54"/>
      <c r="K512" s="54"/>
      <c r="L512" s="54"/>
      <c r="M512" s="54"/>
      <c r="N512" s="54"/>
      <c r="O512" s="145"/>
    </row>
    <row r="513" spans="1:16" ht="18" customHeight="1">
      <c r="A513" s="628"/>
      <c r="B513" s="45"/>
      <c r="C513" s="47"/>
      <c r="D513" s="47"/>
      <c r="E513" s="47"/>
      <c r="F513" s="47"/>
      <c r="G513" s="47"/>
      <c r="H513" s="47"/>
      <c r="I513" s="47"/>
      <c r="J513" s="47"/>
      <c r="K513" s="47"/>
      <c r="L513" s="47"/>
      <c r="M513" s="47"/>
      <c r="N513" s="47"/>
      <c r="O513" s="637" t="s">
        <v>1321</v>
      </c>
      <c r="P513" s="172"/>
    </row>
    <row r="514" spans="1:16" ht="18">
      <c r="A514" s="595" t="s">
        <v>1116</v>
      </c>
      <c r="B514" s="48"/>
      <c r="C514" s="48"/>
      <c r="D514" s="48"/>
      <c r="E514" s="48"/>
      <c r="F514" s="48"/>
      <c r="G514" s="48"/>
      <c r="H514" s="48"/>
      <c r="I514" s="48"/>
      <c r="J514" s="48"/>
      <c r="K514" s="48"/>
      <c r="L514" s="48"/>
      <c r="M514" s="48"/>
      <c r="N514" s="48"/>
      <c r="O514" s="48"/>
    </row>
    <row r="515" spans="1:16">
      <c r="A515" s="622"/>
      <c r="B515" s="50"/>
      <c r="C515" s="49"/>
      <c r="D515" s="49"/>
      <c r="E515" s="49"/>
      <c r="F515" s="49"/>
      <c r="G515" s="49"/>
      <c r="H515" s="49"/>
      <c r="I515" s="49"/>
      <c r="J515" s="49"/>
      <c r="K515" s="49"/>
      <c r="L515" s="49"/>
      <c r="M515" s="49"/>
      <c r="N515" s="49"/>
      <c r="O515" s="148"/>
    </row>
    <row r="516" spans="1:16" ht="15.75">
      <c r="A516" s="633" t="s">
        <v>466</v>
      </c>
      <c r="B516" s="48"/>
      <c r="C516" s="48"/>
      <c r="D516" s="48"/>
      <c r="E516" s="48"/>
      <c r="F516" s="48"/>
      <c r="G516" s="48"/>
      <c r="H516" s="48"/>
      <c r="I516" s="48"/>
      <c r="J516" s="48"/>
      <c r="K516" s="48"/>
      <c r="L516" s="48"/>
      <c r="M516" s="48"/>
      <c r="N516" s="48"/>
      <c r="O516" s="147"/>
    </row>
    <row r="517" spans="1:16" ht="15.75">
      <c r="A517" s="633" t="s">
        <v>1149</v>
      </c>
      <c r="B517" s="48"/>
      <c r="C517" s="48"/>
      <c r="D517" s="48"/>
      <c r="E517" s="48"/>
      <c r="F517" s="48"/>
      <c r="G517" s="48"/>
      <c r="H517" s="48"/>
      <c r="I517" s="48"/>
      <c r="J517" s="48"/>
      <c r="K517" s="48"/>
      <c r="L517" s="48"/>
      <c r="M517" s="48"/>
      <c r="N517" s="48"/>
      <c r="O517" s="147"/>
    </row>
    <row r="518" spans="1:16">
      <c r="A518" s="148"/>
      <c r="B518" s="45"/>
      <c r="C518" s="54"/>
      <c r="D518" s="54"/>
      <c r="E518" s="54"/>
      <c r="F518" s="54"/>
      <c r="G518" s="54"/>
      <c r="H518" s="54"/>
      <c r="I518" s="54"/>
      <c r="J518" s="54"/>
      <c r="K518" s="54"/>
      <c r="L518" s="54"/>
      <c r="M518" s="54"/>
      <c r="N518" s="54"/>
      <c r="O518" s="145"/>
    </row>
    <row r="519" spans="1:16">
      <c r="A519" s="634"/>
      <c r="B519" s="2" t="s">
        <v>473</v>
      </c>
      <c r="C519" s="63" t="s">
        <v>593</v>
      </c>
      <c r="D519" s="63"/>
      <c r="E519" s="63"/>
      <c r="F519" s="63"/>
      <c r="G519" s="63"/>
      <c r="H519" s="63"/>
      <c r="I519" s="63"/>
      <c r="J519" s="63"/>
      <c r="K519" s="63"/>
      <c r="L519" s="63"/>
      <c r="M519" s="63"/>
      <c r="N519" s="63"/>
      <c r="O519" s="136"/>
    </row>
    <row r="520" spans="1:16">
      <c r="A520" s="635"/>
      <c r="B520" s="4" t="s">
        <v>474</v>
      </c>
      <c r="C520" s="3" t="s">
        <v>660</v>
      </c>
      <c r="D520" s="3"/>
      <c r="E520" s="57"/>
      <c r="F520" s="57"/>
      <c r="G520" s="3" t="s">
        <v>661</v>
      </c>
      <c r="H520" s="3"/>
      <c r="I520" s="3" t="s">
        <v>662</v>
      </c>
      <c r="J520" s="3" t="s">
        <v>663</v>
      </c>
      <c r="K520" s="3"/>
      <c r="L520" s="3" t="s">
        <v>664</v>
      </c>
      <c r="M520" s="3" t="s">
        <v>665</v>
      </c>
      <c r="N520" s="3"/>
      <c r="O520" s="124" t="s">
        <v>475</v>
      </c>
    </row>
    <row r="521" spans="1:16">
      <c r="A521" s="636"/>
      <c r="B521" s="15" t="s">
        <v>476</v>
      </c>
      <c r="C521" s="16" t="s">
        <v>667</v>
      </c>
      <c r="D521" s="16" t="s">
        <v>708</v>
      </c>
      <c r="E521" s="17" t="s">
        <v>709</v>
      </c>
      <c r="F521" s="17"/>
      <c r="G521" s="16" t="s">
        <v>668</v>
      </c>
      <c r="H521" s="16"/>
      <c r="I521" s="16" t="s">
        <v>667</v>
      </c>
      <c r="J521" s="16" t="s">
        <v>669</v>
      </c>
      <c r="K521" s="16"/>
      <c r="L521" s="16" t="s">
        <v>670</v>
      </c>
      <c r="M521" s="16" t="s">
        <v>671</v>
      </c>
      <c r="N521" s="16" t="s">
        <v>701</v>
      </c>
      <c r="O521" s="146" t="s">
        <v>15</v>
      </c>
    </row>
    <row r="522" spans="1:16">
      <c r="A522" s="149" t="s">
        <v>600</v>
      </c>
      <c r="B522" s="33">
        <f>+'[2]NEW Tables 143-162'!F68</f>
        <v>40024.100049110319</v>
      </c>
      <c r="C522" s="32">
        <f>IF($B522&gt;0,(GETPIVOTDATA(" New Retirement",'$ Pivot Table'!$A$3,"Category",14,"Category2","Technical Institutes"))/$B522)*100</f>
        <v>15.123544637812206</v>
      </c>
      <c r="D522" s="32">
        <f>IF($B522&gt;0,(GETPIVOTDATA(" New Health",'$ Pivot Table'!$A$3,"Category",14,"Category2","Technical Institutes"))/$B522)*100</f>
        <v>14.715621354692615</v>
      </c>
      <c r="E522" s="32">
        <f>IF($B522&gt;0,(GETPIVOTDATA(" New Disability",'$ Pivot Table'!$A$3,"Category",14,"Category2","Technical Institutes"))/$B522)*100</f>
        <v>0</v>
      </c>
      <c r="F522" s="32"/>
      <c r="G522" s="32">
        <f>IF($B522&gt;0,(GETPIVOTDATA(" New Social Security",'$ Pivot Table'!$A$3,"Category",14,"Category2","Technical Institutes"))/$B522)*100</f>
        <v>1.3262920336118595</v>
      </c>
      <c r="H522" s="32"/>
      <c r="I522" s="32">
        <f>IF($B522&gt;0,(GETPIVOTDATA(" New Unemployment",'$ Pivot Table'!$A$3,"Category",14,"Category2","Technical Institutes"))/$B522)*100</f>
        <v>0</v>
      </c>
      <c r="J522" s="32">
        <f>IF($B522&gt;0,(GETPIVOTDATA(" New Life Insurance",'$ Pivot Table'!$A$3,"Category",14,"Category2","Technical Institutes"))/$B522)*100</f>
        <v>0.60621629560427825</v>
      </c>
      <c r="K522" s="32"/>
      <c r="L522" s="32">
        <f>IF($B522&gt;0,(GETPIVOTDATA(" New Worker's Comp",'$ Pivot Table'!$A$3,"Category",14,"Category2","Technical Institutes"))/$B522)*100</f>
        <v>0.32299439548016423</v>
      </c>
      <c r="M522" s="32">
        <f>IF($B522&gt;0,(GETPIVOTDATA(" New Tuition Plans",'$ Pivot Table'!$A$3,"Category",14,"Category2","Technical Institutes"))/$B522)*100</f>
        <v>0</v>
      </c>
      <c r="N522" s="32">
        <f>IF($B522&gt;0,(GETPIVOTDATA(" New Other",'$ Pivot Table'!$A$3,"Category",14,"Category2","Technical Institutes"))/$B522)*100</f>
        <v>0</v>
      </c>
      <c r="O522" s="90">
        <f>IF($B522&gt;0,(GETPIVOTDATA(" New Total",'$ Pivot Table'!$A$3,"Category",14,"Category2","Technical Institutes"))/$B522)*100</f>
        <v>25.040088485473994</v>
      </c>
    </row>
    <row r="523" spans="1:16">
      <c r="A523" s="149"/>
      <c r="B523" s="31">
        <f>+'[3]NEW Tables 144-163'!F69</f>
        <v>0</v>
      </c>
      <c r="C523" s="32"/>
      <c r="D523" s="34"/>
      <c r="E523" s="32"/>
      <c r="F523" s="32"/>
      <c r="G523" s="32"/>
      <c r="H523" s="32"/>
      <c r="I523" s="32"/>
      <c r="J523" s="32"/>
      <c r="K523" s="32"/>
      <c r="L523" s="32"/>
      <c r="M523" s="32"/>
      <c r="N523" s="32"/>
      <c r="O523" s="90"/>
    </row>
    <row r="524" spans="1:16">
      <c r="A524" s="149" t="s">
        <v>479</v>
      </c>
      <c r="B524" s="617">
        <f>+'[2]NEW Tables 143-162'!F70</f>
        <v>0</v>
      </c>
      <c r="C524" s="32">
        <f>IF($B524&gt;0,(GETPIVOTDATA(" New Retirement",'$ Pivot Table'!$A$3,"State","AL","Category",14,"Category2","Technical Institutes"))/$B524)*100</f>
        <v>0</v>
      </c>
      <c r="D524" s="32">
        <f>IF($B524&gt;0,(GETPIVOTDATA(" New Health",'$ Pivot Table'!$A$3,"State","AL","Category",14,"Category2","Technical Institutes"))/$B524)*100</f>
        <v>0</v>
      </c>
      <c r="E524" s="32">
        <f>IF($B524&gt;0,(GETPIVOTDATA(" New Disability",'$ Pivot Table'!$A$3,"State","AL","Category",14,"Category2","Technical Institutes"))/$B524)*100</f>
        <v>0</v>
      </c>
      <c r="F524" s="32"/>
      <c r="G524" s="32">
        <f>IF($B524&gt;0,(GETPIVOTDATA(" New Social Security",'$ Pivot Table'!$A$3,"State","AL","Category",14,"Category2","Technical Institutes"))/$B524)*100</f>
        <v>0</v>
      </c>
      <c r="H524" s="32"/>
      <c r="I524" s="32">
        <f>IF($B524&gt;0,(GETPIVOTDATA(" New Unemployment",'$ Pivot Table'!$A$3,"State","AL","Category",14,"Category2","Technical Institutes"))/$B524)*100</f>
        <v>0</v>
      </c>
      <c r="J524" s="32">
        <f>IF($B524&gt;0,(GETPIVOTDATA(" New Life Insurance",'$ Pivot Table'!$A$3,"State","AL","Category",14,"Category2","Technical Institutes"))/$B524)*100</f>
        <v>0</v>
      </c>
      <c r="K524" s="32"/>
      <c r="L524" s="32">
        <f>IF($B524&gt;0,(GETPIVOTDATA(" New Worker's Comp",'$ Pivot Table'!$A$3,"State","AL","Category",14,"Category2","Technical Institutes"))/$B524)*100</f>
        <v>0</v>
      </c>
      <c r="M524" s="32">
        <f>IF($B524&gt;0,(GETPIVOTDATA(" New Tuition Plans",'$ Pivot Table'!$A$3,"State","AL","Category",14,"Category2","Technical Institutes"))/$B524)*100</f>
        <v>0</v>
      </c>
      <c r="N524" s="32">
        <f>IF($B524&gt;0,(GETPIVOTDATA(" New Other",'$ Pivot Table'!$A$3,"State","AL","Category",14,"Category2","Technical Institutes"))/$B524)*100</f>
        <v>0</v>
      </c>
      <c r="O524" s="90">
        <f>IF($B524&gt;0,(GETPIVOTDATA(" New Total",'$ Pivot Table'!$A$3,"State","AL","Category",14,"Category2","Technical Institutes"))/$B524)*100</f>
        <v>0</v>
      </c>
    </row>
    <row r="525" spans="1:16">
      <c r="A525" s="149" t="s">
        <v>480</v>
      </c>
      <c r="B525" s="617">
        <f>+'[2]NEW Tables 143-162'!F71</f>
        <v>0</v>
      </c>
      <c r="C525" s="32">
        <f>IF($B525&gt;0,(GETPIVOTDATA(" New Retirement",'$ Pivot Table'!$A$3,"State","AR","Category",14,"Category2","Technical Institutes"))/$B525)*100</f>
        <v>0</v>
      </c>
      <c r="D525" s="32">
        <f>IF($B525&gt;0,(GETPIVOTDATA(" New Health",'$ Pivot Table'!$A$3,"State","AR","Category",14,"Category2","Technical Institutes"))/$B525)*100</f>
        <v>0</v>
      </c>
      <c r="E525" s="32">
        <f>IF($B525&gt;0,(GETPIVOTDATA(" New Disability",'$ Pivot Table'!$A$3,"State","AR","Category",14,"Category2","Technical Institutes"))/$B525)*100</f>
        <v>0</v>
      </c>
      <c r="F525" s="32"/>
      <c r="G525" s="32">
        <f>IF($B525&gt;0,(GETPIVOTDATA(" New Social Security",'$ Pivot Table'!$A$3,"State","AR","Category",14,"Category2","Technical Institutes"))/$B525)*100</f>
        <v>0</v>
      </c>
      <c r="H525" s="32"/>
      <c r="I525" s="32">
        <f>IF($B525&gt;0,(GETPIVOTDATA(" New Unemployment",'$ Pivot Table'!$A$3,"State","AR","Category",14,"Category2","Technical Institutes"))/$B525)*100</f>
        <v>0</v>
      </c>
      <c r="J525" s="32">
        <f>IF($B525&gt;0,(GETPIVOTDATA(" New Life Insurance",'$ Pivot Table'!$A$3,"State","AR","Category",14,"Category2","Technical Institutes"))/$B525)*100</f>
        <v>0</v>
      </c>
      <c r="K525" s="32"/>
      <c r="L525" s="32">
        <f>IF($B525&gt;0,(GETPIVOTDATA(" New Worker's Comp",'$ Pivot Table'!$A$3,"State","AR","Category",14,"Category2","Technical Institutes"))/$B525)*100</f>
        <v>0</v>
      </c>
      <c r="M525" s="32">
        <f>IF($B525&gt;0,(GETPIVOTDATA(" New Tuition Plans",'$ Pivot Table'!$A$3,"State","AR","Category",14,"Category2","Technical Institutes"))/$B525)*100</f>
        <v>0</v>
      </c>
      <c r="N525" s="32">
        <f>IF($B525&gt;0,(GETPIVOTDATA(" New Other",'$ Pivot Table'!$A$3,"State","AR","Category",14,"Category2","Technical Institutes"))/$B525)*100</f>
        <v>0</v>
      </c>
      <c r="O525" s="90">
        <f>IF($B525&gt;0,(GETPIVOTDATA(" New Total",'$ Pivot Table'!$A$3,"State","AR","Category",14,"Category2","Technical Institutes"))/$B525)*100</f>
        <v>0</v>
      </c>
    </row>
    <row r="526" spans="1:16">
      <c r="A526" s="149" t="s">
        <v>494</v>
      </c>
      <c r="B526" s="617">
        <f>+'[2]NEW Tables 143-162'!F72</f>
        <v>0</v>
      </c>
      <c r="C526" s="32">
        <f>IF($B526&gt;0,(GETPIVOTDATA(" New Retirement",'$ Pivot Table'!$A$3,"State","DE","Category",14,"Category2","Technical Institutes"))/$B526)*100</f>
        <v>0</v>
      </c>
      <c r="D526" s="32">
        <f>IF($B526&gt;0,(GETPIVOTDATA(" New Health",'$ Pivot Table'!$A$3,"State","DE","Category",14,"Category2","Technical Institutes"))/$B526)*100</f>
        <v>0</v>
      </c>
      <c r="E526" s="32">
        <f>IF($B526&gt;0,(GETPIVOTDATA(" New Disability",'$ Pivot Table'!$A$3,"State","DE","Category",14,"Category2","Technical Institutes"))/$B526)*100</f>
        <v>0</v>
      </c>
      <c r="F526" s="32"/>
      <c r="G526" s="32">
        <f>IF($B526&gt;0,(GETPIVOTDATA(" New Social Security",'$ Pivot Table'!$A$3,"State","DE","Category",14,"Category2","Technical Institutes"))/$B526)*100</f>
        <v>0</v>
      </c>
      <c r="H526" s="32"/>
      <c r="I526" s="32">
        <f>IF($B526&gt;0,(GETPIVOTDATA(" New Unemployment",'$ Pivot Table'!$A$3,"State","DE","Category",14,"Category2","Technical Institutes"))/$B526)*100</f>
        <v>0</v>
      </c>
      <c r="J526" s="32">
        <f>IF($B526&gt;0,(GETPIVOTDATA(" New Life Insurance",'$ Pivot Table'!$A$3,"State","DE","Category",14,"Category2","Technical Institutes"))/$B526)*100</f>
        <v>0</v>
      </c>
      <c r="K526" s="32"/>
      <c r="L526" s="32">
        <f>IF($B526&gt;0,(GETPIVOTDATA(" New Worker's Comp",'$ Pivot Table'!$A$3,"State","DE","Category",14,"Category2","Technical Institutes"))/$B526)*100</f>
        <v>0</v>
      </c>
      <c r="M526" s="32">
        <f>IF($B526&gt;0,(GETPIVOTDATA(" New Tuition Plans",'$ Pivot Table'!$A$3,"State","DE","Category",14,"Category2","Technical Institutes"))/$B526)*100</f>
        <v>0</v>
      </c>
      <c r="N526" s="32">
        <f>IF($B526&gt;0,(GETPIVOTDATA(" New Other",'$ Pivot Table'!$A$3,"State","DE","Category",14,"Category2","Technical Institutes"))/$B526)*100</f>
        <v>0</v>
      </c>
      <c r="O526" s="90">
        <f>IF($B526&gt;0,(GETPIVOTDATA(" New Total",'$ Pivot Table'!$A$3,"State","DE","Category",14,"Category2","Technical Institutes"))/$B526)*100</f>
        <v>0</v>
      </c>
    </row>
    <row r="527" spans="1:16">
      <c r="A527" s="149" t="s">
        <v>481</v>
      </c>
      <c r="B527" s="617">
        <f>+'[2]NEW Tables 143-162'!F73</f>
        <v>0</v>
      </c>
      <c r="C527" s="32">
        <f>IF($B527&gt;0,(GETPIVOTDATA(" New Retirement",'$ Pivot Table'!$A$3,"State","FL","Category",14,"Category2","Technical Institutes"))/$B527)*100</f>
        <v>0</v>
      </c>
      <c r="D527" s="32">
        <f>IF($B527&gt;0,(GETPIVOTDATA(" New Health",'$ Pivot Table'!$A$3,"State","FL","Category",14,"Category2","Technical Institutes"))/$B527)*100</f>
        <v>0</v>
      </c>
      <c r="E527" s="32">
        <f>IF($B527&gt;0,(GETPIVOTDATA(" New Disability",'$ Pivot Table'!$A$3,"State","FL","Category",14,"Category2","Technical Institutes"))/$B527)*100</f>
        <v>0</v>
      </c>
      <c r="F527" s="32"/>
      <c r="G527" s="32">
        <f>IF($B527&gt;0,(GETPIVOTDATA(" New Social Security",'$ Pivot Table'!$A$3,"State","FL","Category",14,"Category2","Technical Institutes"))/$B527)*100</f>
        <v>0</v>
      </c>
      <c r="H527" s="32"/>
      <c r="I527" s="32">
        <f>IF($B527&gt;0,(GETPIVOTDATA(" New Unemployment",'$ Pivot Table'!$A$3,"State","FL","Category",14,"Category2","Technical Institutes"))/$B527)*100</f>
        <v>0</v>
      </c>
      <c r="J527" s="32">
        <f>IF($B527&gt;0,(GETPIVOTDATA(" New Life Insurance",'$ Pivot Table'!$A$3,"State","FL","Category",14,"Category2","Technical Institutes"))/$B527)*100</f>
        <v>0</v>
      </c>
      <c r="K527" s="32"/>
      <c r="L527" s="32">
        <f>IF($B527&gt;0,(GETPIVOTDATA(" New Worker's Comp",'$ Pivot Table'!$A$3,"State","FL","Category",14,"Category2","Technical Institutes"))/$B527)*100</f>
        <v>0</v>
      </c>
      <c r="M527" s="32">
        <f>IF($B527&gt;0,(GETPIVOTDATA(" New Tuition Plans",'$ Pivot Table'!$A$3,"State","FL","Category",14,"Category2","Technical Institutes"))/$B527)*100</f>
        <v>0</v>
      </c>
      <c r="N527" s="32">
        <f>IF($B527&gt;0,(GETPIVOTDATA(" New Other",'$ Pivot Table'!$A$3,"State","FL","Category",14,"Category2","Technical Institutes"))/$B527)*100</f>
        <v>0</v>
      </c>
      <c r="O527" s="90">
        <f>IF($B527&gt;0,(GETPIVOTDATA(" New Total",'$ Pivot Table'!$A$3,"State","FL","Category",14,"Category2","Technical Institutes"))/$B527)*100</f>
        <v>0</v>
      </c>
    </row>
    <row r="528" spans="1:16">
      <c r="A528" s="149"/>
      <c r="B528" s="617">
        <f>+'[2]NEW Tables 143-162'!F74</f>
        <v>0</v>
      </c>
      <c r="C528" s="32"/>
      <c r="D528" s="34"/>
      <c r="E528" s="32"/>
      <c r="F528" s="32"/>
      <c r="G528" s="32"/>
      <c r="H528" s="32"/>
      <c r="I528" s="32"/>
      <c r="J528" s="32"/>
      <c r="K528" s="32"/>
      <c r="L528" s="32"/>
      <c r="M528" s="32"/>
      <c r="N528" s="32"/>
      <c r="O528" s="90"/>
    </row>
    <row r="529" spans="1:15">
      <c r="A529" s="149" t="s">
        <v>482</v>
      </c>
      <c r="B529" s="617">
        <f>+'[2]NEW Tables 143-162'!F75</f>
        <v>0</v>
      </c>
      <c r="C529" s="32">
        <f>IF($B529&gt;0,(GETPIVOTDATA(" New Retirement",'$ Pivot Table'!$A$3,"State","GA","Category",14,"Category2","Technical Institutes"))/$B529)*100</f>
        <v>0</v>
      </c>
      <c r="D529" s="32">
        <f>IF($B529&gt;0,(GETPIVOTDATA(" New Health",'$ Pivot Table'!$A$3,"State","GA","Category",14,"Category2","Technical Institutes"))/$B529)*100</f>
        <v>0</v>
      </c>
      <c r="E529" s="32">
        <f>IF($B529&gt;0,(GETPIVOTDATA(" New Disability",'$ Pivot Table'!$A$3,"State","GA","Category",14,"Category2","Technical Institutes"))/$B529)*100</f>
        <v>0</v>
      </c>
      <c r="F529" s="32"/>
      <c r="G529" s="32">
        <f>IF($B529&gt;0,(GETPIVOTDATA(" New Social Security",'$ Pivot Table'!$A$3,"State","GA","Category",14,"Category2","Technical Institutes"))/$B529)*100</f>
        <v>0</v>
      </c>
      <c r="H529" s="32"/>
      <c r="I529" s="32">
        <f>IF($B529&gt;0,(GETPIVOTDATA(" New Unemployment",'$ Pivot Table'!$A$3,"State","GA","Category",14,"Category2","Technical Institutes"))/$B529)*100</f>
        <v>0</v>
      </c>
      <c r="J529" s="32">
        <f>IF($B529&gt;0,(GETPIVOTDATA(" New Life Insurance",'$ Pivot Table'!$A$3,"State","GA","Category",14,"Category2","Technical Institutes"))/$B529)*100</f>
        <v>0</v>
      </c>
      <c r="K529" s="32"/>
      <c r="L529" s="32">
        <f>IF($B529&gt;0,(GETPIVOTDATA(" New Worker's Comp",'$ Pivot Table'!$A$3,"State","GA","Category",14,"Category2","Technical Institutes"))/$B529)*100</f>
        <v>0</v>
      </c>
      <c r="M529" s="32">
        <f>IF($B529&gt;0,(GETPIVOTDATA(" New Tuition Plans",'$ Pivot Table'!$A$3,"State","GA","Category",14,"Category2","Technical Institutes"))/$B529)*100</f>
        <v>0</v>
      </c>
      <c r="N529" s="32">
        <f>IF($B529&gt;0,(GETPIVOTDATA(" New Other",'$ Pivot Table'!$A$3,"State","GA","Category",14,"Category2","Technical Institutes"))/$B529)*100</f>
        <v>0</v>
      </c>
      <c r="O529" s="90">
        <f>IF($B529&gt;0,(GETPIVOTDATA(" New Total",'$ Pivot Table'!$A$3,"State","GA","Category",14,"Category2","Technical Institutes"))/$B529)*100</f>
        <v>0</v>
      </c>
    </row>
    <row r="530" spans="1:15">
      <c r="A530" s="149" t="s">
        <v>483</v>
      </c>
      <c r="B530" s="617">
        <f>+'[2]NEW Tables 143-162'!F76</f>
        <v>0</v>
      </c>
      <c r="C530" s="32">
        <f>IF($B530&gt;0,(GETPIVOTDATA(" New Retirement",'$ Pivot Table'!$A$3,"State","KY","Category",14,"Category2","Technical Institutes"))/$B530)*100</f>
        <v>0</v>
      </c>
      <c r="D530" s="32">
        <f>IF($B530&gt;0,(GETPIVOTDATA(" New Health",'$ Pivot Table'!$A$3,"State","KY","Category",14,"Category2","Technical Institutes"))/$B530)*100</f>
        <v>0</v>
      </c>
      <c r="E530" s="32">
        <f>IF($B530&gt;0,(GETPIVOTDATA(" New Disability",'$ Pivot Table'!$A$3,"State","KY","Category",14,"Category2","Technical Institutes"))/$B530)*100</f>
        <v>0</v>
      </c>
      <c r="F530" s="32"/>
      <c r="G530" s="32">
        <f>IF($B530&gt;0,(GETPIVOTDATA(" New Social Security",'$ Pivot Table'!$A$3,"State","KY","Category",14,"Category2","Technical Institutes"))/$B530)*100</f>
        <v>0</v>
      </c>
      <c r="H530" s="32"/>
      <c r="I530" s="32">
        <f>IF($B530&gt;0,(GETPIVOTDATA(" New Unemployment",'$ Pivot Table'!$A$3,"State","KY","Category",14,"Category2","Technical Institutes"))/$B530)*100</f>
        <v>0</v>
      </c>
      <c r="J530" s="32">
        <f>IF($B530&gt;0,(GETPIVOTDATA(" New Life Insurance",'$ Pivot Table'!$A$3,"State","KY","Category",14,"Category2","Technical Institutes"))/$B530)*100</f>
        <v>0</v>
      </c>
      <c r="K530" s="32"/>
      <c r="L530" s="32">
        <f>IF($B530&gt;0,(GETPIVOTDATA(" New Worker's Comp",'$ Pivot Table'!$A$3,"State","KY","Category",14,"Category2","Technical Institutes"))/$B530)*100</f>
        <v>0</v>
      </c>
      <c r="M530" s="32">
        <f>IF($B530&gt;0,(GETPIVOTDATA(" New Tuition Plans",'$ Pivot Table'!$A$3,"State","KY","Category",14,"Category2","Technical Institutes"))/$B530)*100</f>
        <v>0</v>
      </c>
      <c r="N530" s="32">
        <f>IF($B530&gt;0,(GETPIVOTDATA(" New Other",'$ Pivot Table'!$A$3,"State","KY","Category",14,"Category2","Technical Institutes"))/$B530)*100</f>
        <v>0</v>
      </c>
      <c r="O530" s="90">
        <f>IF($B530&gt;0,(GETPIVOTDATA(" New Total",'$ Pivot Table'!$A$3,"State","KY","Category",14,"Category2","Technical Institutes"))/$B530)*100</f>
        <v>0</v>
      </c>
    </row>
    <row r="531" spans="1:15">
      <c r="A531" s="149" t="s">
        <v>484</v>
      </c>
      <c r="B531" s="617">
        <f>+'[2]NEW Tables 143-162'!F77</f>
        <v>39975.470922361361</v>
      </c>
      <c r="C531" s="32">
        <f>IF($B531&gt;0,(GETPIVOTDATA(" New Retirement",'$ Pivot Table'!$A$3,"State","LA","Category",14,"Category2","Technical Institutes"))/$B531)*100</f>
        <v>15.141942038821291</v>
      </c>
      <c r="D531" s="32">
        <f>IF($B531&gt;0,(GETPIVOTDATA(" New Health",'$ Pivot Table'!$A$3,"State","LA","Category",14,"Category2","Technical Institutes"))/$B531)*100</f>
        <v>14.733522527575277</v>
      </c>
      <c r="E531" s="32">
        <f>IF($B531&gt;0,(GETPIVOTDATA(" New Disability",'$ Pivot Table'!$A$3,"State","LA","Category",14,"Category2","Technical Institutes"))/$B531)*100</f>
        <v>0</v>
      </c>
      <c r="F531" s="32"/>
      <c r="G531" s="90">
        <f>IF($B531&gt;0,(GETPIVOTDATA(" New Social Security",'$ Pivot Table'!$A$3,"State","LA","Category",14,"Category2","Technical Institutes"))/$B531)*100</f>
        <v>1.3279054335774012</v>
      </c>
      <c r="H531" s="91">
        <v>2</v>
      </c>
      <c r="I531" s="32">
        <f>IF($B531&gt;0,(GETPIVOTDATA(" New Unemployment",'$ Pivot Table'!$A$3,"State","LA","Category",14,"Category2","Technical Institutes"))/$B531)*100</f>
        <v>0</v>
      </c>
      <c r="J531" s="32">
        <f>IF($B531&gt;0,(GETPIVOTDATA(" New Life Insurance",'$ Pivot Table'!$A$3,"State","LA","Category",14,"Category2","Technical Institutes"))/$B531)*100</f>
        <v>0.60695374205321384</v>
      </c>
      <c r="K531" s="32"/>
      <c r="L531" s="32">
        <f>IF($B531&gt;0,(GETPIVOTDATA(" New Worker's Comp",'$ Pivot Table'!$A$3,"State","LA","Category",14,"Category2","Technical Institutes"))/$B531)*100</f>
        <v>0.32338730981074243</v>
      </c>
      <c r="M531" s="32">
        <f>IF($B531&gt;0,(GETPIVOTDATA(" New Tuition Plans",'$ Pivot Table'!$A$3,"State","LA","Category",14,"Category2","Technical Institutes"))/$B531)*100</f>
        <v>0</v>
      </c>
      <c r="N531" s="32">
        <f>IF($B531&gt;0,(GETPIVOTDATA(" New Other",'$ Pivot Table'!$A$3,"State","LA","Category",14,"Category2","Technical Institutes"))/$B531)*100</f>
        <v>0</v>
      </c>
      <c r="O531" s="90">
        <f>IF($B531&gt;0,(GETPIVOTDATA(" New Total",'$ Pivot Table'!$A$3,"State","LA","Category",14,"Category2","Technical Institutes"))/$B531)*100</f>
        <v>25.070549105666061</v>
      </c>
    </row>
    <row r="532" spans="1:15">
      <c r="A532" s="149" t="s">
        <v>485</v>
      </c>
      <c r="B532" s="617">
        <f>+'[2]NEW Tables 143-162'!F78</f>
        <v>0</v>
      </c>
      <c r="C532" s="32">
        <f>IF($B532&gt;0,(GETPIVOTDATA(" New Retirement",'$ Pivot Table'!$A$3,"State","MD","Category",14,"Category2","Technical Institutes"))/$B532)*100</f>
        <v>0</v>
      </c>
      <c r="D532" s="32">
        <f>IF($B532&gt;0,(GETPIVOTDATA(" New Health",'$ Pivot Table'!$A$3,"State","MD","Category",14,"Category2","Technical Institutes"))/$B532)*100</f>
        <v>0</v>
      </c>
      <c r="E532" s="32">
        <f>IF($B532&gt;0,(GETPIVOTDATA(" New Disability",'$ Pivot Table'!$A$3,"State","MD","Category",14,"Category2","Technical Institutes"))/$B532)*100</f>
        <v>0</v>
      </c>
      <c r="F532" s="32"/>
      <c r="G532" s="32">
        <f>IF($B532&gt;0,(GETPIVOTDATA(" New Social Security",'$ Pivot Table'!$A$3,"State","MD","Category",14,"Category2","Technical Institutes"))/$B532)*100</f>
        <v>0</v>
      </c>
      <c r="H532" s="32"/>
      <c r="I532" s="32">
        <f>IF($B532&gt;0,(GETPIVOTDATA(" New Unemployment",'$ Pivot Table'!$A$3,"State","MD","Category",14,"Category2","Technical Institutes"))/$B532)*100</f>
        <v>0</v>
      </c>
      <c r="J532" s="32">
        <f>IF($B532&gt;0,(GETPIVOTDATA(" New Life Insurance",'$ Pivot Table'!$A$3,"State","MD","Category",14,"Category2","Technical Institutes"))/$B532)*100</f>
        <v>0</v>
      </c>
      <c r="K532" s="32"/>
      <c r="L532" s="32">
        <f>IF($B532&gt;0,(GETPIVOTDATA(" New Worker's Comp",'$ Pivot Table'!$A$3,"State","MD","Category",14,"Category2","Technical Institutes"))/$B532)*100</f>
        <v>0</v>
      </c>
      <c r="M532" s="32">
        <f>IF($B532&gt;0,(GETPIVOTDATA(" New Tuition Plans",'$ Pivot Table'!$A$3,"State","MD","Category",14,"Category2","Technical Institutes"))/$B532)*100</f>
        <v>0</v>
      </c>
      <c r="N532" s="32">
        <f>IF($B532&gt;0,(GETPIVOTDATA(" New Other",'$ Pivot Table'!$A$3,"State","MD","Category",14,"Category2","Technical Institutes"))/$B532)*100</f>
        <v>0</v>
      </c>
      <c r="O532" s="90">
        <f>IF($B532&gt;0,(GETPIVOTDATA(" New Total",'$ Pivot Table'!$A$3,"State","MD","Category",14,"Category2","Technical Institutes"))/$B532)*100</f>
        <v>0</v>
      </c>
    </row>
    <row r="533" spans="1:15">
      <c r="A533" s="149"/>
      <c r="B533" s="617">
        <f>+'[2]NEW Tables 143-162'!F79</f>
        <v>0</v>
      </c>
      <c r="C533" s="32"/>
      <c r="D533" s="34"/>
      <c r="E533" s="32"/>
      <c r="F533" s="32"/>
      <c r="G533" s="32"/>
      <c r="H533" s="32"/>
      <c r="I533" s="32"/>
      <c r="J533" s="32"/>
      <c r="K533" s="32"/>
      <c r="L533" s="32"/>
      <c r="M533" s="32"/>
      <c r="N533" s="32"/>
      <c r="O533" s="90"/>
    </row>
    <row r="534" spans="1:15">
      <c r="A534" s="149" t="s">
        <v>486</v>
      </c>
      <c r="B534" s="617">
        <f>+'[2]NEW Tables 143-162'!F80</f>
        <v>0</v>
      </c>
      <c r="C534" s="32">
        <f>IF($B534&gt;0,(GETPIVOTDATA(" New Retirement",'$ Pivot Table'!$A$3,"State","MS","Category",14,"Category2","Technical Institutes"))/$B534)*100</f>
        <v>0</v>
      </c>
      <c r="D534" s="32">
        <f>IF($B534&gt;0,(GETPIVOTDATA(" New Health",'$ Pivot Table'!$A$3,"State","MS","Category",14,"Category2","Technical Institutes"))/$B534)*100</f>
        <v>0</v>
      </c>
      <c r="E534" s="32">
        <f>IF($B534&gt;0,(GETPIVOTDATA(" New Disability",'$ Pivot Table'!$A$3,"State","MS","Category",14,"Category2","Technical Institutes"))/$B534)*100</f>
        <v>0</v>
      </c>
      <c r="F534" s="32"/>
      <c r="G534" s="32">
        <f>IF($B534&gt;0,(GETPIVOTDATA(" New Social Security",'$ Pivot Table'!$A$3,"State","MS","Category",14,"Category2","Technical Institutes"))/$B534)*100</f>
        <v>0</v>
      </c>
      <c r="H534" s="32"/>
      <c r="I534" s="32">
        <f>IF($B534&gt;0,(GETPIVOTDATA(" New Unemployment",'$ Pivot Table'!$A$3,"State","MS","Category",14,"Category2","Technical Institutes"))/$B534)*100</f>
        <v>0</v>
      </c>
      <c r="J534" s="32">
        <f>IF($B534&gt;0,(GETPIVOTDATA(" New Life Insurance",'$ Pivot Table'!$A$3,"State","MS","Category",14,"Category2","Technical Institutes"))/$B534)*100</f>
        <v>0</v>
      </c>
      <c r="K534" s="32"/>
      <c r="L534" s="32">
        <f>IF($B534&gt;0,(GETPIVOTDATA(" New Worker's Comp",'$ Pivot Table'!$A$3,"State","MS","Category",14,"Category2","Technical Institutes"))/$B534)*100</f>
        <v>0</v>
      </c>
      <c r="M534" s="32">
        <f>IF($B534&gt;0,(GETPIVOTDATA(" New Tuition Plans",'$ Pivot Table'!$A$3,"State","MS","Category",14,"Category2","Technical Institutes"))/$B534)*100</f>
        <v>0</v>
      </c>
      <c r="N534" s="32">
        <f>IF($B534&gt;0,(GETPIVOTDATA(" New Other",'$ Pivot Table'!$A$3,"State","MS","Category",14,"Category2","Technical Institutes"))/$B534)*100</f>
        <v>0</v>
      </c>
      <c r="O534" s="90">
        <f>IF($B534&gt;0,(GETPIVOTDATA(" New Total",'$ Pivot Table'!$A$3,"State","MS","Category",14,"Category2","Technical Institutes"))/$B534)*100</f>
        <v>0</v>
      </c>
    </row>
    <row r="535" spans="1:15">
      <c r="A535" s="149" t="s">
        <v>487</v>
      </c>
      <c r="B535" s="617">
        <f>+'[2]NEW Tables 143-162'!F81</f>
        <v>0</v>
      </c>
      <c r="C535" s="32">
        <f>IF($B535&gt;0,(GETPIVOTDATA(" New Retirement",'$ Pivot Table'!$A$3,"State","NC","Category",14,"Category2","Technical Institutes"))/$B535)*100</f>
        <v>0</v>
      </c>
      <c r="D535" s="32">
        <f>IF($B535&gt;0,(GETPIVOTDATA(" New Health",'$ Pivot Table'!$A$3,"State","NC","Category",14,"Category2","Technical Institutes"))/$B535)*100</f>
        <v>0</v>
      </c>
      <c r="E535" s="32">
        <f>IF($B535&gt;0,(GETPIVOTDATA(" New Disability",'$ Pivot Table'!$A$3,"State","NC","Category",14,"Category2","Technical Institutes"))/$B535)*100</f>
        <v>0</v>
      </c>
      <c r="F535" s="32"/>
      <c r="G535" s="32">
        <f>IF($B535&gt;0,(GETPIVOTDATA(" New Social Security",'$ Pivot Table'!$A$3,"State","NC","Category",14,"Category2","Technical Institutes"))/$B535)*100</f>
        <v>0</v>
      </c>
      <c r="H535" s="32"/>
      <c r="I535" s="32">
        <f>IF($B535&gt;0,(GETPIVOTDATA(" New Unemployment",'$ Pivot Table'!$A$3,"State","NC","Category",14,"Category2","Technical Institutes"))/$B535)*100</f>
        <v>0</v>
      </c>
      <c r="J535" s="32">
        <f>IF($B535&gt;0,(GETPIVOTDATA(" New Life Insurance",'$ Pivot Table'!$A$3,"State","NC","Category",14,"Category2","Technical Institutes"))/$B535)*100</f>
        <v>0</v>
      </c>
      <c r="K535" s="32"/>
      <c r="L535" s="32">
        <f>IF($B535&gt;0,(GETPIVOTDATA(" New Worker's Comp",'$ Pivot Table'!$A$3,"State","NC","Category",14,"Category2","Technical Institutes"))/$B535)*100</f>
        <v>0</v>
      </c>
      <c r="M535" s="32">
        <f>IF($B535&gt;0,(GETPIVOTDATA(" New Tuition Plans",'$ Pivot Table'!$A$3,"State","NC","Category",14,"Category2","Technical Institutes"))/$B535)*100</f>
        <v>0</v>
      </c>
      <c r="N535" s="32">
        <f>IF($B535&gt;0,(GETPIVOTDATA(" New Other",'$ Pivot Table'!$A$3,"State","NC","Category",14,"Category2","Technical Institutes"))/$B535)*100</f>
        <v>0</v>
      </c>
      <c r="O535" s="90">
        <f>IF($B535&gt;0,(GETPIVOTDATA(" New Total",'$ Pivot Table'!$A$3,"State","NC","Category",14,"Category2","Technical Institutes"))/$B535)*100</f>
        <v>0</v>
      </c>
    </row>
    <row r="536" spans="1:15">
      <c r="A536" s="149" t="s">
        <v>488</v>
      </c>
      <c r="B536" s="617">
        <f>+'[2]NEW Tables 143-162'!F82</f>
        <v>49085.327333333342</v>
      </c>
      <c r="C536" s="32">
        <f>IF($B536&gt;0,(GETPIVOTDATA(" New Retirement",'$ Pivot Table'!$A$3,"State","OK","Category",14,"Category2","Technical Institutes"))/$B536)*100</f>
        <v>0</v>
      </c>
      <c r="D536" s="32">
        <f>IF($B536&gt;0,(GETPIVOTDATA(" New Health",'$ Pivot Table'!$A$3,"State","OK","Category",14,"Category2","Technical Institutes"))/$B536)*100</f>
        <v>0</v>
      </c>
      <c r="E536" s="32">
        <f>IF($B536&gt;0,(GETPIVOTDATA(" New Disability",'$ Pivot Table'!$A$3,"State","OK","Category",14,"Category2","Technical Institutes"))/$B536)*100</f>
        <v>0</v>
      </c>
      <c r="F536" s="32"/>
      <c r="G536" s="32">
        <f>IF($B536&gt;0,(GETPIVOTDATA(" New Social Security",'$ Pivot Table'!$A$3,"State","OK","Category",14,"Category2","Technical Institutes"))/$B536)*100</f>
        <v>0</v>
      </c>
      <c r="H536" s="32"/>
      <c r="I536" s="32">
        <f>IF($B536&gt;0,(GETPIVOTDATA(" New Unemployment",'$ Pivot Table'!$A$3,"State","OK","Category",14,"Category2","Technical Institutes"))/$B536)*100</f>
        <v>0</v>
      </c>
      <c r="J536" s="32">
        <f>IF($B536&gt;0,(GETPIVOTDATA(" New Life Insurance",'$ Pivot Table'!$A$3,"State","OK","Category",14,"Category2","Technical Institutes"))/$B536)*100</f>
        <v>0</v>
      </c>
      <c r="K536" s="32"/>
      <c r="L536" s="32">
        <f>IF($B536&gt;0,(GETPIVOTDATA(" New Worker's Comp",'$ Pivot Table'!$A$3,"State","OK","Category",14,"Category2","Technical Institutes"))/$B536)*100</f>
        <v>0</v>
      </c>
      <c r="M536" s="32">
        <f>IF($B536&gt;0,(GETPIVOTDATA(" New Tuition Plans",'$ Pivot Table'!$A$3,"State","OK","Category",14,"Category2","Technical Institutes"))/$B536)*100</f>
        <v>0</v>
      </c>
      <c r="N536" s="32">
        <f>IF($B536&gt;0,(GETPIVOTDATA(" New Other",'$ Pivot Table'!$A$3,"State","OK","Category",14,"Category2","Technical Institutes"))/$B536)*100</f>
        <v>0</v>
      </c>
      <c r="O536" s="90">
        <f>IF($B536&gt;0,(GETPIVOTDATA(" New Total",'$ Pivot Table'!$A$3,"State","OK","Category",14,"Category2","Technical Institutes"))/$B536)*100</f>
        <v>0</v>
      </c>
    </row>
    <row r="537" spans="1:15">
      <c r="A537" s="149" t="s">
        <v>489</v>
      </c>
      <c r="B537" s="617">
        <f>+'[2]NEW Tables 143-162'!F83</f>
        <v>0</v>
      </c>
      <c r="C537" s="32">
        <f>IF($B537&gt;0,(GETPIVOTDATA(" New Retirement",'$ Pivot Table'!$A$3,"State","SC","Category",14,"Category2","Technical Institutes"))/$B537)*100</f>
        <v>0</v>
      </c>
      <c r="D537" s="32">
        <f>IF($B537&gt;0,(GETPIVOTDATA(" New Health",'$ Pivot Table'!$A$3,"State","SC","Category",14,"Category2","Technical Institutes"))/$B537)*100</f>
        <v>0</v>
      </c>
      <c r="E537" s="32">
        <f>IF($B537&gt;0,(GETPIVOTDATA(" New Disability",'$ Pivot Table'!$A$3,"State","SC","Category",14,"Category2","Technical Institutes"))/$B537)*100</f>
        <v>0</v>
      </c>
      <c r="F537" s="32"/>
      <c r="G537" s="32">
        <f>IF($B537&gt;0,(GETPIVOTDATA(" New Social Security",'$ Pivot Table'!$A$3,"State","SC","Category",14,"Category2","Technical Institutes"))/$B537)*100</f>
        <v>0</v>
      </c>
      <c r="H537" s="32"/>
      <c r="I537" s="32">
        <f>IF($B537&gt;0,(GETPIVOTDATA(" New Unemployment",'$ Pivot Table'!$A$3,"State","SC","Category",14,"Category2","Technical Institutes"))/$B537)*100</f>
        <v>0</v>
      </c>
      <c r="J537" s="32">
        <f>IF($B537&gt;0,(GETPIVOTDATA(" New Life Insurance",'$ Pivot Table'!$A$3,"State","SC","Category",14,"Category2","Technical Institutes"))/$B537)*100</f>
        <v>0</v>
      </c>
      <c r="K537" s="32"/>
      <c r="L537" s="32">
        <f>IF($B537&gt;0,(GETPIVOTDATA(" New Worker's Comp",'$ Pivot Table'!$A$3,"State","SC","Category",14,"Category2","Technical Institutes"))/$B537)*100</f>
        <v>0</v>
      </c>
      <c r="M537" s="32">
        <f>IF($B537&gt;0,(GETPIVOTDATA(" New Tuition Plans",'$ Pivot Table'!$A$3,"State","SC","Category",14,"Category2","Technical Institutes"))/$B537)*100</f>
        <v>0</v>
      </c>
      <c r="N537" s="32">
        <f>IF($B537&gt;0,(GETPIVOTDATA(" New Other",'$ Pivot Table'!$A$3,"State","SC","Category",14,"Category2","Technical Institutes"))/$B537)*100</f>
        <v>0</v>
      </c>
      <c r="O537" s="90">
        <f>IF($B537&gt;0,(GETPIVOTDATA(" New Total",'$ Pivot Table'!$A$3,"State","SC","Category",14,"Category2","Technical Institutes"))/$B537)*100</f>
        <v>0</v>
      </c>
    </row>
    <row r="538" spans="1:15">
      <c r="A538" s="149"/>
      <c r="B538" s="617">
        <f>+'[2]NEW Tables 143-162'!F84</f>
        <v>0</v>
      </c>
      <c r="C538" s="32"/>
      <c r="D538" s="34"/>
      <c r="E538" s="32"/>
      <c r="F538" s="32"/>
      <c r="G538" s="32"/>
      <c r="H538" s="32"/>
      <c r="I538" s="32"/>
      <c r="J538" s="32"/>
      <c r="K538" s="32"/>
      <c r="L538" s="32"/>
      <c r="M538" s="32"/>
      <c r="N538" s="32"/>
      <c r="O538" s="90"/>
    </row>
    <row r="539" spans="1:15">
      <c r="A539" s="149" t="s">
        <v>490</v>
      </c>
      <c r="B539" s="617">
        <f>+'[2]NEW Tables 143-162'!F85</f>
        <v>0</v>
      </c>
      <c r="C539" s="28">
        <f>IF($B539&gt;0,(GETPIVOTDATA(" New Retirement",'$ Pivot Table'!$A$3,"State","TN","Category",14,"Category2","Technical Institutes"))/$B539)*100</f>
        <v>0</v>
      </c>
      <c r="D539" s="28">
        <f>IF($B539&gt;0,(GETPIVOTDATA(" New Health",'$ Pivot Table'!$A$3,"State","TN","Category",14,"Category2","Technical Institutes"))/$B539)*100</f>
        <v>0</v>
      </c>
      <c r="E539" s="28">
        <f>IF($B539&gt;0,(GETPIVOTDATA(" New Disability",'$ Pivot Table'!$A$3,"State","TN","Category",14,"Category2","Technical Institutes"))/$B539)*100</f>
        <v>0</v>
      </c>
      <c r="F539" s="28"/>
      <c r="G539" s="28">
        <f>IF($B539&gt;0,(GETPIVOTDATA(" New Social Security",'$ Pivot Table'!$A$3,"State","TN","Category",14,"Category2","Technical Institutes"))/$B539)*100</f>
        <v>0</v>
      </c>
      <c r="H539" s="28"/>
      <c r="I539" s="28">
        <f>IF($B539&gt;0,(GETPIVOTDATA(" New Unemployment",'$ Pivot Table'!$A$3,"State","TN","Category",14,"Category2","Technical Institutes"))/$B539)*100</f>
        <v>0</v>
      </c>
      <c r="J539" s="28">
        <f>IF($B539&gt;0,(GETPIVOTDATA(" New Life Insurance",'$ Pivot Table'!$A$3,"State","TN","Category",14,"Category2","Technical Institutes"))/$B539)*100</f>
        <v>0</v>
      </c>
      <c r="K539" s="28"/>
      <c r="L539" s="28">
        <f>IF($B539&gt;0,(GETPIVOTDATA(" New Worker's Comp",'$ Pivot Table'!$A$3,"State","TN","Category",14,"Category2","Technical Institutes"))/$B539)*100</f>
        <v>0</v>
      </c>
      <c r="M539" s="28">
        <f>IF($B539&gt;0,(GETPIVOTDATA(" New Tuition Plans",'$ Pivot Table'!$A$3,"State","TN","Category",14,"Category2","Technical Institutes"))/$B539)*100</f>
        <v>0</v>
      </c>
      <c r="N539" s="28">
        <f>IF($B539&gt;0,(GETPIVOTDATA(" New Other",'$ Pivot Table'!$A$3,"State","TN","Category",14,"Category2","Technical Institutes"))/$B539)*100</f>
        <v>0</v>
      </c>
      <c r="O539" s="86">
        <f>IF($B539&gt;0,(GETPIVOTDATA(" New Total",'$ Pivot Table'!$A$3,"State","TN","Category",14,"Category2","Technical Institutes"))/$B539)*100</f>
        <v>0</v>
      </c>
    </row>
    <row r="540" spans="1:15">
      <c r="A540" s="149" t="s">
        <v>491</v>
      </c>
      <c r="B540" s="617">
        <f>+'[2]NEW Tables 143-162'!F86</f>
        <v>0</v>
      </c>
      <c r="C540" s="28">
        <f>IF($B540&gt;0,(GETPIVOTDATA(" New Retirement",'$ Pivot Table'!$A$3,"State","TX","Category",14,"Category2","Technical Institutes"))/$B540)*100</f>
        <v>0</v>
      </c>
      <c r="D540" s="28">
        <f>IF($B540&gt;0,(GETPIVOTDATA(" New Health",'$ Pivot Table'!$A$3,"State","TX","Category",14,"Category2","Technical Institutes"))/$B540)*100</f>
        <v>0</v>
      </c>
      <c r="E540" s="28">
        <f>IF($B540&gt;0,(GETPIVOTDATA(" New Disability",'$ Pivot Table'!$A$3,"State","TX","Category",14,"Category2","Technical Institutes"))/$B540)*100</f>
        <v>0</v>
      </c>
      <c r="F540" s="28"/>
      <c r="G540" s="28">
        <f>IF($B540&gt;0,(GETPIVOTDATA(" New Social Security",'$ Pivot Table'!$A$3,"State","TX","Category",14,"Category2","Technical Institutes"))/$B540)*100</f>
        <v>0</v>
      </c>
      <c r="H540" s="28"/>
      <c r="I540" s="28">
        <f>IF($B540&gt;0,(GETPIVOTDATA(" New Unemployment",'$ Pivot Table'!$A$3,"State","TX","Category",14,"Category2","Technical Institutes"))/$B540)*100</f>
        <v>0</v>
      </c>
      <c r="J540" s="28">
        <f>IF($B540&gt;0,(GETPIVOTDATA(" New Life Insurance",'$ Pivot Table'!$A$3,"State","TX","Category",14,"Category2","Technical Institutes"))/$B540)*100</f>
        <v>0</v>
      </c>
      <c r="K540" s="28"/>
      <c r="L540" s="28">
        <f>IF($B540&gt;0,(GETPIVOTDATA(" New Worker's Comp",'$ Pivot Table'!$A$3,"State","TX","Category",14,"Category2","Technical Institutes"))/$B540)*100</f>
        <v>0</v>
      </c>
      <c r="M540" s="28">
        <f>IF($B540&gt;0,(GETPIVOTDATA(" New Tuition Plans",'$ Pivot Table'!$A$3,"State","TX","Category",14,"Category2","Technical Institutes"))/$B540)*100</f>
        <v>0</v>
      </c>
      <c r="N540" s="28">
        <f>IF($B540&gt;0,(GETPIVOTDATA(" New Other",'$ Pivot Table'!$A$3,"State","TX","Category",14,"Category2","Technical Institutes"))/$B540)*100</f>
        <v>0</v>
      </c>
      <c r="O540" s="86">
        <f>IF($B540&gt;0,(GETPIVOTDATA(" New Total",'$ Pivot Table'!$A$3,"State","TX","Category",14,"Category2","Technical Institutes"))/$B540)*100</f>
        <v>0</v>
      </c>
    </row>
    <row r="541" spans="1:15">
      <c r="A541" s="149" t="s">
        <v>492</v>
      </c>
      <c r="B541" s="617">
        <f>+'[2]NEW Tables 143-162'!F87</f>
        <v>0</v>
      </c>
      <c r="C541" s="28">
        <f>IF($B541&gt;0,(GETPIVOTDATA(" New Retirement",'$ Pivot Table'!$A$3,"State","VA","Category",14,"Category2","Technical Institutes"))/$B541)*100</f>
        <v>0</v>
      </c>
      <c r="D541" s="28">
        <f>IF($B541&gt;0,(GETPIVOTDATA(" New Health",'$ Pivot Table'!$A$3,"State","VA","Category",14,"Category2","Technical Institutes"))/$B541)*100</f>
        <v>0</v>
      </c>
      <c r="E541" s="28">
        <f>IF($B541&gt;0,(GETPIVOTDATA(" New Disability",'$ Pivot Table'!$A$3,"State","VA","Category",14,"Category2","Technical Institutes"))/$B541)*100</f>
        <v>0</v>
      </c>
      <c r="F541" s="28"/>
      <c r="G541" s="28">
        <f>IF($B541&gt;0,(GETPIVOTDATA(" New Social Security",'$ Pivot Table'!$A$3,"State","VA","Category",14,"Category2","Technical Institutes"))/$B541)*100</f>
        <v>0</v>
      </c>
      <c r="H541" s="28"/>
      <c r="I541" s="28">
        <f>IF($B541&gt;0,(GETPIVOTDATA(" New Unemployment",'$ Pivot Table'!$A$3,"State","VA","Category",14,"Category2","Technical Institutes"))/$B541)*100</f>
        <v>0</v>
      </c>
      <c r="J541" s="28">
        <f>IF($B541&gt;0,(GETPIVOTDATA(" New Life Insurance",'$ Pivot Table'!$A$3,"State","VA","Category",14,"Category2","Technical Institutes"))/$B541)*100</f>
        <v>0</v>
      </c>
      <c r="K541" s="28"/>
      <c r="L541" s="28">
        <f>IF($B541&gt;0,(GETPIVOTDATA(" New Worker's Comp",'$ Pivot Table'!$A$3,"State","VA","Category",14,"Category2","Technical Institutes"))/$B541)*100</f>
        <v>0</v>
      </c>
      <c r="M541" s="28">
        <f>IF($B541&gt;0,(GETPIVOTDATA(" New Tuition Plans",'$ Pivot Table'!$A$3,"State","VA","Category",14,"Category2","Technical Institutes"))/$B541)*100</f>
        <v>0</v>
      </c>
      <c r="N541" s="28">
        <f>IF($B541&gt;0,(GETPIVOTDATA(" New Other",'$ Pivot Table'!$A$3,"State","VA","Category",14,"Category2","Technical Institutes"))/$B541)*100</f>
        <v>0</v>
      </c>
      <c r="O541" s="86">
        <f>IF($B541&gt;0,(GETPIVOTDATA(" New Total",'$ Pivot Table'!$A$3,"State","VA","Category",14,"Category2","Technical Institutes"))/$B541)*100</f>
        <v>0</v>
      </c>
    </row>
    <row r="542" spans="1:15">
      <c r="A542" s="630" t="s">
        <v>493</v>
      </c>
      <c r="B542" s="618">
        <f>+'[2]NEW Tables 143-162'!F88</f>
        <v>0</v>
      </c>
      <c r="C542" s="30">
        <f>IF($B542&gt;0,(GETPIVOTDATA(" New Retirement",'$ Pivot Table'!$A$3,"State","WV","Category",14,"Category2","Technical Institutes"))/$B542)*100</f>
        <v>0</v>
      </c>
      <c r="D542" s="30">
        <f>IF($B542&gt;0,(GETPIVOTDATA(" New Health",'$ Pivot Table'!$A$3,"State","WV","Category",14,"Category2","Technical Institutes"))/$B542)*100</f>
        <v>0</v>
      </c>
      <c r="E542" s="30">
        <f>IF($B542&gt;0,(GETPIVOTDATA(" New Disability",'$ Pivot Table'!$A$3,"State","WV","Category",14,"Category2","Technical Institutes"))/$B542)*100</f>
        <v>0</v>
      </c>
      <c r="F542" s="30"/>
      <c r="G542" s="30">
        <f>IF($B542&gt;0,(GETPIVOTDATA(" New Social Security",'$ Pivot Table'!$A$3,"State","WV","Category",14,"Category2","Technical Institutes"))/$B542)*100</f>
        <v>0</v>
      </c>
      <c r="H542" s="30"/>
      <c r="I542" s="30">
        <f>IF($B542&gt;0,(GETPIVOTDATA(" New Unemployment",'$ Pivot Table'!$A$3,"State","WV","Category",14,"Category2","Technical Institutes"))/$B542)*100</f>
        <v>0</v>
      </c>
      <c r="J542" s="30">
        <f>IF($B542&gt;0,(GETPIVOTDATA(" New Life Insurance",'$ Pivot Table'!$A$3,"State","WV","Category",14,"Category2","Technical Institutes"))/$B542)*100</f>
        <v>0</v>
      </c>
      <c r="K542" s="30"/>
      <c r="L542" s="30">
        <f>IF($B542&gt;0,(GETPIVOTDATA(" New Worker's Comp",'$ Pivot Table'!$A$3,"State","WV","Category",14,"Category2","Technical Institutes"))/$B542)*100</f>
        <v>0</v>
      </c>
      <c r="M542" s="30">
        <f>IF($B542&gt;0,(GETPIVOTDATA(" New Tuition Plans",'$ Pivot Table'!$A$3,"State","WV","Category",14,"Category2","Technical Institutes"))/$B542)*100</f>
        <v>0</v>
      </c>
      <c r="N542" s="30">
        <f>IF($B542&gt;0,(GETPIVOTDATA(" New Other",'$ Pivot Table'!$A$3,"State","WV","Category",14,"Category2","Technical Institutes"))/$B542)*100</f>
        <v>0</v>
      </c>
      <c r="O542" s="115">
        <f>IF($B542&gt;0,(GETPIVOTDATA(" New Total",'$ Pivot Table'!$A$3,"State","WV","Category",14,"Category2","Technical Institutes"))/$B542)*100</f>
        <v>0</v>
      </c>
    </row>
    <row r="543" spans="1:15" ht="18" customHeight="1">
      <c r="A543" s="628" t="s">
        <v>14</v>
      </c>
      <c r="B543" s="45"/>
      <c r="C543" s="47"/>
      <c r="D543" s="47"/>
      <c r="E543" s="47"/>
      <c r="F543" s="47"/>
      <c r="G543" s="47"/>
      <c r="H543" s="47"/>
      <c r="I543" s="47"/>
      <c r="J543" s="47"/>
      <c r="K543" s="47"/>
      <c r="L543" s="47"/>
      <c r="M543" s="47"/>
      <c r="N543" s="47"/>
      <c r="O543" s="77"/>
    </row>
    <row r="544" spans="1:15" ht="18" customHeight="1">
      <c r="A544" s="628" t="s">
        <v>678</v>
      </c>
      <c r="B544" s="45"/>
      <c r="C544" s="54"/>
      <c r="D544" s="54"/>
      <c r="E544" s="54"/>
      <c r="F544" s="54"/>
      <c r="G544" s="54"/>
      <c r="H544" s="54"/>
      <c r="I544" s="54"/>
      <c r="J544" s="54"/>
      <c r="K544" s="54"/>
      <c r="L544" s="54"/>
      <c r="M544" s="54"/>
      <c r="N544" s="54"/>
      <c r="O544" s="145"/>
    </row>
    <row r="545" spans="15:15">
      <c r="O545" s="637" t="s">
        <v>1321</v>
      </c>
    </row>
  </sheetData>
  <mergeCells count="28">
    <mergeCell ref="A3:O3"/>
    <mergeCell ref="A4:O4"/>
    <mergeCell ref="C6:O6"/>
    <mergeCell ref="A36:O36"/>
    <mergeCell ref="A37:O37"/>
    <mergeCell ref="C39:O39"/>
    <mergeCell ref="A68:O68"/>
    <mergeCell ref="T7:T8"/>
    <mergeCell ref="Q7:Q8"/>
    <mergeCell ref="R7:R8"/>
    <mergeCell ref="S7:S8"/>
    <mergeCell ref="A132:O132"/>
    <mergeCell ref="A133:O133"/>
    <mergeCell ref="A101:O101"/>
    <mergeCell ref="A69:O69"/>
    <mergeCell ref="C71:O71"/>
    <mergeCell ref="C103:O103"/>
    <mergeCell ref="A100:O100"/>
    <mergeCell ref="C135:O135"/>
    <mergeCell ref="A229:O229"/>
    <mergeCell ref="C231:O231"/>
    <mergeCell ref="A165:O165"/>
    <mergeCell ref="A166:O166"/>
    <mergeCell ref="C168:O168"/>
    <mergeCell ref="A228:O228"/>
    <mergeCell ref="A197:O197"/>
    <mergeCell ref="A198:O198"/>
    <mergeCell ref="C200:O200"/>
  </mergeCells>
  <phoneticPr fontId="12" type="noConversion"/>
  <conditionalFormatting sqref="C1:O394 C396:O396 C401:O401 C406:O406 C411:O411 C416:O1048576">
    <cfRule type="cellIs" dxfId="814" priority="203" stopIfTrue="1" operator="lessThan">
      <formula>0.1</formula>
    </cfRule>
  </conditionalFormatting>
  <conditionalFormatting sqref="O33">
    <cfRule type="cellIs" dxfId="813" priority="202" stopIfTrue="1" operator="lessThan">
      <formula>0.1</formula>
    </cfRule>
  </conditionalFormatting>
  <conditionalFormatting sqref="O65">
    <cfRule type="cellIs" dxfId="812" priority="201" stopIfTrue="1" operator="lessThan">
      <formula>0.1</formula>
    </cfRule>
  </conditionalFormatting>
  <conditionalFormatting sqref="O97">
    <cfRule type="cellIs" dxfId="811" priority="200" stopIfTrue="1" operator="lessThan">
      <formula>0.1</formula>
    </cfRule>
  </conditionalFormatting>
  <conditionalFormatting sqref="O162">
    <cfRule type="cellIs" dxfId="810" priority="199" stopIfTrue="1" operator="lessThan">
      <formula>0.1</formula>
    </cfRule>
  </conditionalFormatting>
  <conditionalFormatting sqref="O194">
    <cfRule type="cellIs" dxfId="809" priority="198" stopIfTrue="1" operator="lessThan">
      <formula>0.1</formula>
    </cfRule>
  </conditionalFormatting>
  <conditionalFormatting sqref="O33">
    <cfRule type="cellIs" dxfId="808" priority="197" stopIfTrue="1" operator="lessThan">
      <formula>0.1</formula>
    </cfRule>
  </conditionalFormatting>
  <conditionalFormatting sqref="O65">
    <cfRule type="cellIs" dxfId="807" priority="196" stopIfTrue="1" operator="lessThan">
      <formula>0.1</formula>
    </cfRule>
  </conditionalFormatting>
  <conditionalFormatting sqref="O97">
    <cfRule type="cellIs" dxfId="806" priority="195" stopIfTrue="1" operator="lessThan">
      <formula>0.1</formula>
    </cfRule>
  </conditionalFormatting>
  <conditionalFormatting sqref="O129">
    <cfRule type="cellIs" dxfId="805" priority="194" stopIfTrue="1" operator="lessThan">
      <formula>0.1</formula>
    </cfRule>
  </conditionalFormatting>
  <conditionalFormatting sqref="O162">
    <cfRule type="cellIs" dxfId="804" priority="193" stopIfTrue="1" operator="lessThan">
      <formula>0.1</formula>
    </cfRule>
  </conditionalFormatting>
  <conditionalFormatting sqref="O194">
    <cfRule type="cellIs" dxfId="803" priority="192" stopIfTrue="1" operator="lessThan">
      <formula>0.1</formula>
    </cfRule>
  </conditionalFormatting>
  <conditionalFormatting sqref="O225">
    <cfRule type="cellIs" dxfId="802" priority="191" stopIfTrue="1" operator="lessThan">
      <formula>0.1</formula>
    </cfRule>
  </conditionalFormatting>
  <conditionalFormatting sqref="O258">
    <cfRule type="cellIs" dxfId="801" priority="190" stopIfTrue="1" operator="lessThan">
      <formula>0.1</formula>
    </cfRule>
  </conditionalFormatting>
  <conditionalFormatting sqref="O289">
    <cfRule type="cellIs" dxfId="800" priority="189" stopIfTrue="1" operator="lessThan">
      <formula>0.1</formula>
    </cfRule>
  </conditionalFormatting>
  <conditionalFormatting sqref="O321">
    <cfRule type="cellIs" dxfId="799" priority="188" stopIfTrue="1" operator="lessThan">
      <formula>0.1</formula>
    </cfRule>
  </conditionalFormatting>
  <conditionalFormatting sqref="O353">
    <cfRule type="cellIs" dxfId="798" priority="187" stopIfTrue="1" operator="lessThan">
      <formula>0.1</formula>
    </cfRule>
  </conditionalFormatting>
  <conditionalFormatting sqref="O386">
    <cfRule type="cellIs" dxfId="797" priority="186" stopIfTrue="1" operator="lessThan">
      <formula>0.1</formula>
    </cfRule>
  </conditionalFormatting>
  <conditionalFormatting sqref="O417">
    <cfRule type="cellIs" dxfId="796" priority="185" stopIfTrue="1" operator="lessThan">
      <formula>0.1</formula>
    </cfRule>
  </conditionalFormatting>
  <conditionalFormatting sqref="O417">
    <cfRule type="cellIs" dxfId="795" priority="184" stopIfTrue="1" operator="lessThan">
      <formula>0.1</formula>
    </cfRule>
  </conditionalFormatting>
  <conditionalFormatting sqref="O449">
    <cfRule type="cellIs" dxfId="794" priority="183" stopIfTrue="1" operator="lessThan">
      <formula>0.1</formula>
    </cfRule>
  </conditionalFormatting>
  <conditionalFormatting sqref="O481">
    <cfRule type="cellIs" dxfId="793" priority="182" stopIfTrue="1" operator="lessThan">
      <formula>0.1</formula>
    </cfRule>
  </conditionalFormatting>
  <conditionalFormatting sqref="O513">
    <cfRule type="cellIs" dxfId="792" priority="181" stopIfTrue="1" operator="lessThan">
      <formula>0.1</formula>
    </cfRule>
  </conditionalFormatting>
  <conditionalFormatting sqref="O545">
    <cfRule type="cellIs" dxfId="791" priority="180" stopIfTrue="1" operator="lessThan">
      <formula>0.1</formula>
    </cfRule>
  </conditionalFormatting>
  <conditionalFormatting sqref="O33">
    <cfRule type="cellIs" dxfId="790" priority="179" stopIfTrue="1" operator="lessThan">
      <formula>0.1</formula>
    </cfRule>
  </conditionalFormatting>
  <conditionalFormatting sqref="O65">
    <cfRule type="cellIs" dxfId="789" priority="178" stopIfTrue="1" operator="lessThan">
      <formula>0.1</formula>
    </cfRule>
  </conditionalFormatting>
  <conditionalFormatting sqref="O97">
    <cfRule type="cellIs" dxfId="788" priority="177" stopIfTrue="1" operator="lessThan">
      <formula>0.1</formula>
    </cfRule>
  </conditionalFormatting>
  <conditionalFormatting sqref="O129">
    <cfRule type="cellIs" dxfId="787" priority="176" stopIfTrue="1" operator="lessThan">
      <formula>0.1</formula>
    </cfRule>
  </conditionalFormatting>
  <conditionalFormatting sqref="O162">
    <cfRule type="cellIs" dxfId="786" priority="175" stopIfTrue="1" operator="lessThan">
      <formula>0.1</formula>
    </cfRule>
  </conditionalFormatting>
  <conditionalFormatting sqref="O194">
    <cfRule type="cellIs" dxfId="785" priority="174" stopIfTrue="1" operator="lessThan">
      <formula>0.1</formula>
    </cfRule>
  </conditionalFormatting>
  <conditionalFormatting sqref="O225">
    <cfRule type="cellIs" dxfId="784" priority="173" stopIfTrue="1" operator="lessThan">
      <formula>0.1</formula>
    </cfRule>
  </conditionalFormatting>
  <conditionalFormatting sqref="O258">
    <cfRule type="cellIs" dxfId="783" priority="172" stopIfTrue="1" operator="lessThan">
      <formula>0.1</formula>
    </cfRule>
  </conditionalFormatting>
  <conditionalFormatting sqref="O289">
    <cfRule type="cellIs" dxfId="782" priority="171" stopIfTrue="1" operator="lessThan">
      <formula>0.1</formula>
    </cfRule>
  </conditionalFormatting>
  <conditionalFormatting sqref="O289">
    <cfRule type="cellIs" dxfId="781" priority="170" stopIfTrue="1" operator="lessThan">
      <formula>0.1</formula>
    </cfRule>
  </conditionalFormatting>
  <conditionalFormatting sqref="O321">
    <cfRule type="cellIs" dxfId="780" priority="169" stopIfTrue="1" operator="lessThan">
      <formula>0.1</formula>
    </cfRule>
  </conditionalFormatting>
  <conditionalFormatting sqref="O321">
    <cfRule type="cellIs" dxfId="779" priority="168" stopIfTrue="1" operator="lessThan">
      <formula>0.1</formula>
    </cfRule>
  </conditionalFormatting>
  <conditionalFormatting sqref="O353">
    <cfRule type="cellIs" dxfId="778" priority="167" stopIfTrue="1" operator="lessThan">
      <formula>0.1</formula>
    </cfRule>
  </conditionalFormatting>
  <conditionalFormatting sqref="O353">
    <cfRule type="cellIs" dxfId="777" priority="166" stopIfTrue="1" operator="lessThan">
      <formula>0.1</formula>
    </cfRule>
  </conditionalFormatting>
  <conditionalFormatting sqref="O386">
    <cfRule type="cellIs" dxfId="776" priority="165" stopIfTrue="1" operator="lessThan">
      <formula>0.1</formula>
    </cfRule>
  </conditionalFormatting>
  <conditionalFormatting sqref="O386">
    <cfRule type="cellIs" dxfId="775" priority="164" stopIfTrue="1" operator="lessThan">
      <formula>0.1</formula>
    </cfRule>
  </conditionalFormatting>
  <conditionalFormatting sqref="O417">
    <cfRule type="cellIs" dxfId="774" priority="163" stopIfTrue="1" operator="lessThan">
      <formula>0.1</formula>
    </cfRule>
  </conditionalFormatting>
  <conditionalFormatting sqref="O417">
    <cfRule type="cellIs" dxfId="773" priority="162" stopIfTrue="1" operator="lessThan">
      <formula>0.1</formula>
    </cfRule>
  </conditionalFormatting>
  <conditionalFormatting sqref="O449">
    <cfRule type="cellIs" dxfId="772" priority="161" stopIfTrue="1" operator="lessThan">
      <formula>0.1</formula>
    </cfRule>
  </conditionalFormatting>
  <conditionalFormatting sqref="O449">
    <cfRule type="cellIs" dxfId="771" priority="160" stopIfTrue="1" operator="lessThan">
      <formula>0.1</formula>
    </cfRule>
  </conditionalFormatting>
  <conditionalFormatting sqref="O481">
    <cfRule type="cellIs" dxfId="770" priority="159" stopIfTrue="1" operator="lessThan">
      <formula>0.1</formula>
    </cfRule>
  </conditionalFormatting>
  <conditionalFormatting sqref="O481">
    <cfRule type="cellIs" dxfId="769" priority="158" stopIfTrue="1" operator="lessThan">
      <formula>0.1</formula>
    </cfRule>
  </conditionalFormatting>
  <conditionalFormatting sqref="O513">
    <cfRule type="cellIs" dxfId="768" priority="157" stopIfTrue="1" operator="lessThan">
      <formula>0.1</formula>
    </cfRule>
  </conditionalFormatting>
  <conditionalFormatting sqref="O513">
    <cfRule type="cellIs" dxfId="767" priority="156" stopIfTrue="1" operator="lessThan">
      <formula>0.1</formula>
    </cfRule>
  </conditionalFormatting>
  <conditionalFormatting sqref="O545">
    <cfRule type="cellIs" dxfId="766" priority="155" stopIfTrue="1" operator="lessThan">
      <formula>0.1</formula>
    </cfRule>
  </conditionalFormatting>
  <conditionalFormatting sqref="O545">
    <cfRule type="cellIs" dxfId="765" priority="154" stopIfTrue="1" operator="lessThan">
      <formula>0.1</formula>
    </cfRule>
  </conditionalFormatting>
  <conditionalFormatting sqref="O33">
    <cfRule type="cellIs" dxfId="764" priority="153" stopIfTrue="1" operator="lessThan">
      <formula>0.1</formula>
    </cfRule>
  </conditionalFormatting>
  <conditionalFormatting sqref="O33">
    <cfRule type="cellIs" dxfId="763" priority="152" stopIfTrue="1" operator="lessThan">
      <formula>0.1</formula>
    </cfRule>
  </conditionalFormatting>
  <conditionalFormatting sqref="O33">
    <cfRule type="cellIs" dxfId="762" priority="151" stopIfTrue="1" operator="lessThan">
      <formula>0.1</formula>
    </cfRule>
  </conditionalFormatting>
  <conditionalFormatting sqref="O33">
    <cfRule type="cellIs" dxfId="761" priority="150" stopIfTrue="1" operator="lessThan">
      <formula>0.1</formula>
    </cfRule>
  </conditionalFormatting>
  <conditionalFormatting sqref="O33">
    <cfRule type="cellIs" dxfId="760" priority="149" stopIfTrue="1" operator="lessThan">
      <formula>0.1</formula>
    </cfRule>
  </conditionalFormatting>
  <conditionalFormatting sqref="O33">
    <cfRule type="cellIs" dxfId="759" priority="148" stopIfTrue="1" operator="lessThan">
      <formula>0.1</formula>
    </cfRule>
  </conditionalFormatting>
  <conditionalFormatting sqref="O33">
    <cfRule type="cellIs" dxfId="758" priority="147" stopIfTrue="1" operator="lessThan">
      <formula>0.1</formula>
    </cfRule>
  </conditionalFormatting>
  <conditionalFormatting sqref="O33">
    <cfRule type="cellIs" dxfId="757" priority="146" stopIfTrue="1" operator="lessThan">
      <formula>0.1</formula>
    </cfRule>
  </conditionalFormatting>
  <conditionalFormatting sqref="O33">
    <cfRule type="cellIs" dxfId="756" priority="145" stopIfTrue="1" operator="lessThan">
      <formula>0.1</formula>
    </cfRule>
  </conditionalFormatting>
  <conditionalFormatting sqref="O65">
    <cfRule type="cellIs" dxfId="755" priority="144" stopIfTrue="1" operator="lessThan">
      <formula>0.1</formula>
    </cfRule>
  </conditionalFormatting>
  <conditionalFormatting sqref="O65">
    <cfRule type="cellIs" dxfId="754" priority="143" stopIfTrue="1" operator="lessThan">
      <formula>0.1</formula>
    </cfRule>
  </conditionalFormatting>
  <conditionalFormatting sqref="O65">
    <cfRule type="cellIs" dxfId="753" priority="142" stopIfTrue="1" operator="lessThan">
      <formula>0.1</formula>
    </cfRule>
  </conditionalFormatting>
  <conditionalFormatting sqref="O65">
    <cfRule type="cellIs" dxfId="752" priority="141" stopIfTrue="1" operator="lessThan">
      <formula>0.1</formula>
    </cfRule>
  </conditionalFormatting>
  <conditionalFormatting sqref="O65">
    <cfRule type="cellIs" dxfId="751" priority="140" stopIfTrue="1" operator="lessThan">
      <formula>0.1</formula>
    </cfRule>
  </conditionalFormatting>
  <conditionalFormatting sqref="O65">
    <cfRule type="cellIs" dxfId="750" priority="139" stopIfTrue="1" operator="lessThan">
      <formula>0.1</formula>
    </cfRule>
  </conditionalFormatting>
  <conditionalFormatting sqref="O65">
    <cfRule type="cellIs" dxfId="749" priority="138" stopIfTrue="1" operator="lessThan">
      <formula>0.1</formula>
    </cfRule>
  </conditionalFormatting>
  <conditionalFormatting sqref="O65">
    <cfRule type="cellIs" dxfId="748" priority="137" stopIfTrue="1" operator="lessThan">
      <formula>0.1</formula>
    </cfRule>
  </conditionalFormatting>
  <conditionalFormatting sqref="O65">
    <cfRule type="cellIs" dxfId="747" priority="136" stopIfTrue="1" operator="lessThan">
      <formula>0.1</formula>
    </cfRule>
  </conditionalFormatting>
  <conditionalFormatting sqref="O97">
    <cfRule type="cellIs" dxfId="746" priority="135" stopIfTrue="1" operator="lessThan">
      <formula>0.1</formula>
    </cfRule>
  </conditionalFormatting>
  <conditionalFormatting sqref="O97">
    <cfRule type="cellIs" dxfId="745" priority="134" stopIfTrue="1" operator="lessThan">
      <formula>0.1</formula>
    </cfRule>
  </conditionalFormatting>
  <conditionalFormatting sqref="O97">
    <cfRule type="cellIs" dxfId="744" priority="133" stopIfTrue="1" operator="lessThan">
      <formula>0.1</formula>
    </cfRule>
  </conditionalFormatting>
  <conditionalFormatting sqref="O97">
    <cfRule type="cellIs" dxfId="743" priority="132" stopIfTrue="1" operator="lessThan">
      <formula>0.1</formula>
    </cfRule>
  </conditionalFormatting>
  <conditionalFormatting sqref="O97">
    <cfRule type="cellIs" dxfId="742" priority="131" stopIfTrue="1" operator="lessThan">
      <formula>0.1</formula>
    </cfRule>
  </conditionalFormatting>
  <conditionalFormatting sqref="O97">
    <cfRule type="cellIs" dxfId="741" priority="130" stopIfTrue="1" operator="lessThan">
      <formula>0.1</formula>
    </cfRule>
  </conditionalFormatting>
  <conditionalFormatting sqref="O97">
    <cfRule type="cellIs" dxfId="740" priority="129" stopIfTrue="1" operator="lessThan">
      <formula>0.1</formula>
    </cfRule>
  </conditionalFormatting>
  <conditionalFormatting sqref="O97">
    <cfRule type="cellIs" dxfId="739" priority="128" stopIfTrue="1" operator="lessThan">
      <formula>0.1</formula>
    </cfRule>
  </conditionalFormatting>
  <conditionalFormatting sqref="O97">
    <cfRule type="cellIs" dxfId="738" priority="127" stopIfTrue="1" operator="lessThan">
      <formula>0.1</formula>
    </cfRule>
  </conditionalFormatting>
  <conditionalFormatting sqref="O129">
    <cfRule type="cellIs" dxfId="737" priority="126" stopIfTrue="1" operator="lessThan">
      <formula>0.1</formula>
    </cfRule>
  </conditionalFormatting>
  <conditionalFormatting sqref="O129">
    <cfRule type="cellIs" dxfId="736" priority="125" stopIfTrue="1" operator="lessThan">
      <formula>0.1</formula>
    </cfRule>
  </conditionalFormatting>
  <conditionalFormatting sqref="O129">
    <cfRule type="cellIs" dxfId="735" priority="124" stopIfTrue="1" operator="lessThan">
      <formula>0.1</formula>
    </cfRule>
  </conditionalFormatting>
  <conditionalFormatting sqref="O129">
    <cfRule type="cellIs" dxfId="734" priority="123" stopIfTrue="1" operator="lessThan">
      <formula>0.1</formula>
    </cfRule>
  </conditionalFormatting>
  <conditionalFormatting sqref="O129">
    <cfRule type="cellIs" dxfId="733" priority="122" stopIfTrue="1" operator="lessThan">
      <formula>0.1</formula>
    </cfRule>
  </conditionalFormatting>
  <conditionalFormatting sqref="O129">
    <cfRule type="cellIs" dxfId="732" priority="121" stopIfTrue="1" operator="lessThan">
      <formula>0.1</formula>
    </cfRule>
  </conditionalFormatting>
  <conditionalFormatting sqref="O129">
    <cfRule type="cellIs" dxfId="731" priority="120" stopIfTrue="1" operator="lessThan">
      <formula>0.1</formula>
    </cfRule>
  </conditionalFormatting>
  <conditionalFormatting sqref="O129">
    <cfRule type="cellIs" dxfId="730" priority="119" stopIfTrue="1" operator="lessThan">
      <formula>0.1</formula>
    </cfRule>
  </conditionalFormatting>
  <conditionalFormatting sqref="O129">
    <cfRule type="cellIs" dxfId="729" priority="118" stopIfTrue="1" operator="lessThan">
      <formula>0.1</formula>
    </cfRule>
  </conditionalFormatting>
  <conditionalFormatting sqref="O162">
    <cfRule type="cellIs" dxfId="728" priority="117" stopIfTrue="1" operator="lessThan">
      <formula>0.1</formula>
    </cfRule>
  </conditionalFormatting>
  <conditionalFormatting sqref="O162">
    <cfRule type="cellIs" dxfId="727" priority="116" stopIfTrue="1" operator="lessThan">
      <formula>0.1</formula>
    </cfRule>
  </conditionalFormatting>
  <conditionalFormatting sqref="O162">
    <cfRule type="cellIs" dxfId="726" priority="115" stopIfTrue="1" operator="lessThan">
      <formula>0.1</formula>
    </cfRule>
  </conditionalFormatting>
  <conditionalFormatting sqref="O162">
    <cfRule type="cellIs" dxfId="725" priority="114" stopIfTrue="1" operator="lessThan">
      <formula>0.1</formula>
    </cfRule>
  </conditionalFormatting>
  <conditionalFormatting sqref="O162">
    <cfRule type="cellIs" dxfId="724" priority="113" stopIfTrue="1" operator="lessThan">
      <formula>0.1</formula>
    </cfRule>
  </conditionalFormatting>
  <conditionalFormatting sqref="O162">
    <cfRule type="cellIs" dxfId="723" priority="112" stopIfTrue="1" operator="lessThan">
      <formula>0.1</formula>
    </cfRule>
  </conditionalFormatting>
  <conditionalFormatting sqref="O162">
    <cfRule type="cellIs" dxfId="722" priority="111" stopIfTrue="1" operator="lessThan">
      <formula>0.1</formula>
    </cfRule>
  </conditionalFormatting>
  <conditionalFormatting sqref="O162">
    <cfRule type="cellIs" dxfId="721" priority="110" stopIfTrue="1" operator="lessThan">
      <formula>0.1</formula>
    </cfRule>
  </conditionalFormatting>
  <conditionalFormatting sqref="O162">
    <cfRule type="cellIs" dxfId="720" priority="109" stopIfTrue="1" operator="lessThan">
      <formula>0.1</formula>
    </cfRule>
  </conditionalFormatting>
  <conditionalFormatting sqref="O194">
    <cfRule type="cellIs" dxfId="719" priority="108" stopIfTrue="1" operator="lessThan">
      <formula>0.1</formula>
    </cfRule>
  </conditionalFormatting>
  <conditionalFormatting sqref="O194">
    <cfRule type="cellIs" dxfId="718" priority="107" stopIfTrue="1" operator="lessThan">
      <formula>0.1</formula>
    </cfRule>
  </conditionalFormatting>
  <conditionalFormatting sqref="O194">
    <cfRule type="cellIs" dxfId="717" priority="106" stopIfTrue="1" operator="lessThan">
      <formula>0.1</formula>
    </cfRule>
  </conditionalFormatting>
  <conditionalFormatting sqref="O194">
    <cfRule type="cellIs" dxfId="716" priority="105" stopIfTrue="1" operator="lessThan">
      <formula>0.1</formula>
    </cfRule>
  </conditionalFormatting>
  <conditionalFormatting sqref="O194">
    <cfRule type="cellIs" dxfId="715" priority="104" stopIfTrue="1" operator="lessThan">
      <formula>0.1</formula>
    </cfRule>
  </conditionalFormatting>
  <conditionalFormatting sqref="O194">
    <cfRule type="cellIs" dxfId="714" priority="103" stopIfTrue="1" operator="lessThan">
      <formula>0.1</formula>
    </cfRule>
  </conditionalFormatting>
  <conditionalFormatting sqref="O194">
    <cfRule type="cellIs" dxfId="713" priority="102" stopIfTrue="1" operator="lessThan">
      <formula>0.1</formula>
    </cfRule>
  </conditionalFormatting>
  <conditionalFormatting sqref="O194">
    <cfRule type="cellIs" dxfId="712" priority="101" stopIfTrue="1" operator="lessThan">
      <formula>0.1</formula>
    </cfRule>
  </conditionalFormatting>
  <conditionalFormatting sqref="O194">
    <cfRule type="cellIs" dxfId="711" priority="100" stopIfTrue="1" operator="lessThan">
      <formula>0.1</formula>
    </cfRule>
  </conditionalFormatting>
  <conditionalFormatting sqref="O225">
    <cfRule type="cellIs" dxfId="710" priority="99" stopIfTrue="1" operator="lessThan">
      <formula>0.1</formula>
    </cfRule>
  </conditionalFormatting>
  <conditionalFormatting sqref="O225">
    <cfRule type="cellIs" dxfId="709" priority="98" stopIfTrue="1" operator="lessThan">
      <formula>0.1</formula>
    </cfRule>
  </conditionalFormatting>
  <conditionalFormatting sqref="O225">
    <cfRule type="cellIs" dxfId="708" priority="97" stopIfTrue="1" operator="lessThan">
      <formula>0.1</formula>
    </cfRule>
  </conditionalFormatting>
  <conditionalFormatting sqref="O225">
    <cfRule type="cellIs" dxfId="707" priority="96" stopIfTrue="1" operator="lessThan">
      <formula>0.1</formula>
    </cfRule>
  </conditionalFormatting>
  <conditionalFormatting sqref="O225">
    <cfRule type="cellIs" dxfId="706" priority="95" stopIfTrue="1" operator="lessThan">
      <formula>0.1</formula>
    </cfRule>
  </conditionalFormatting>
  <conditionalFormatting sqref="O225">
    <cfRule type="cellIs" dxfId="705" priority="94" stopIfTrue="1" operator="lessThan">
      <formula>0.1</formula>
    </cfRule>
  </conditionalFormatting>
  <conditionalFormatting sqref="O225">
    <cfRule type="cellIs" dxfId="704" priority="93" stopIfTrue="1" operator="lessThan">
      <formula>0.1</formula>
    </cfRule>
  </conditionalFormatting>
  <conditionalFormatting sqref="O225">
    <cfRule type="cellIs" dxfId="703" priority="92" stopIfTrue="1" operator="lessThan">
      <formula>0.1</formula>
    </cfRule>
  </conditionalFormatting>
  <conditionalFormatting sqref="O225">
    <cfRule type="cellIs" dxfId="702" priority="91" stopIfTrue="1" operator="lessThan">
      <formula>0.1</formula>
    </cfRule>
  </conditionalFormatting>
  <conditionalFormatting sqref="O258">
    <cfRule type="cellIs" dxfId="701" priority="90" stopIfTrue="1" operator="lessThan">
      <formula>0.1</formula>
    </cfRule>
  </conditionalFormatting>
  <conditionalFormatting sqref="O258">
    <cfRule type="cellIs" dxfId="700" priority="89" stopIfTrue="1" operator="lessThan">
      <formula>0.1</formula>
    </cfRule>
  </conditionalFormatting>
  <conditionalFormatting sqref="O258">
    <cfRule type="cellIs" dxfId="699" priority="88" stopIfTrue="1" operator="lessThan">
      <formula>0.1</formula>
    </cfRule>
  </conditionalFormatting>
  <conditionalFormatting sqref="O258">
    <cfRule type="cellIs" dxfId="698" priority="87" stopIfTrue="1" operator="lessThan">
      <formula>0.1</formula>
    </cfRule>
  </conditionalFormatting>
  <conditionalFormatting sqref="O258">
    <cfRule type="cellIs" dxfId="697" priority="86" stopIfTrue="1" operator="lessThan">
      <formula>0.1</formula>
    </cfRule>
  </conditionalFormatting>
  <conditionalFormatting sqref="O258">
    <cfRule type="cellIs" dxfId="696" priority="85" stopIfTrue="1" operator="lessThan">
      <formula>0.1</formula>
    </cfRule>
  </conditionalFormatting>
  <conditionalFormatting sqref="O258">
    <cfRule type="cellIs" dxfId="695" priority="84" stopIfTrue="1" operator="lessThan">
      <formula>0.1</formula>
    </cfRule>
  </conditionalFormatting>
  <conditionalFormatting sqref="O258">
    <cfRule type="cellIs" dxfId="694" priority="83" stopIfTrue="1" operator="lessThan">
      <formula>0.1</formula>
    </cfRule>
  </conditionalFormatting>
  <conditionalFormatting sqref="O258">
    <cfRule type="cellIs" dxfId="693" priority="82" stopIfTrue="1" operator="lessThan">
      <formula>0.1</formula>
    </cfRule>
  </conditionalFormatting>
  <conditionalFormatting sqref="O289">
    <cfRule type="cellIs" dxfId="692" priority="81" stopIfTrue="1" operator="lessThan">
      <formula>0.1</formula>
    </cfRule>
  </conditionalFormatting>
  <conditionalFormatting sqref="O289">
    <cfRule type="cellIs" dxfId="691" priority="80" stopIfTrue="1" operator="lessThan">
      <formula>0.1</formula>
    </cfRule>
  </conditionalFormatting>
  <conditionalFormatting sqref="O289">
    <cfRule type="cellIs" dxfId="690" priority="79" stopIfTrue="1" operator="lessThan">
      <formula>0.1</formula>
    </cfRule>
  </conditionalFormatting>
  <conditionalFormatting sqref="O289">
    <cfRule type="cellIs" dxfId="689" priority="78" stopIfTrue="1" operator="lessThan">
      <formula>0.1</formula>
    </cfRule>
  </conditionalFormatting>
  <conditionalFormatting sqref="O289">
    <cfRule type="cellIs" dxfId="688" priority="77" stopIfTrue="1" operator="lessThan">
      <formula>0.1</formula>
    </cfRule>
  </conditionalFormatting>
  <conditionalFormatting sqref="O289">
    <cfRule type="cellIs" dxfId="687" priority="76" stopIfTrue="1" operator="lessThan">
      <formula>0.1</formula>
    </cfRule>
  </conditionalFormatting>
  <conditionalFormatting sqref="O289">
    <cfRule type="cellIs" dxfId="686" priority="75" stopIfTrue="1" operator="lessThan">
      <formula>0.1</formula>
    </cfRule>
  </conditionalFormatting>
  <conditionalFormatting sqref="O289">
    <cfRule type="cellIs" dxfId="685" priority="74" stopIfTrue="1" operator="lessThan">
      <formula>0.1</formula>
    </cfRule>
  </conditionalFormatting>
  <conditionalFormatting sqref="O289">
    <cfRule type="cellIs" dxfId="684" priority="73" stopIfTrue="1" operator="lessThan">
      <formula>0.1</formula>
    </cfRule>
  </conditionalFormatting>
  <conditionalFormatting sqref="O321">
    <cfRule type="cellIs" dxfId="683" priority="72" stopIfTrue="1" operator="lessThan">
      <formula>0.1</formula>
    </cfRule>
  </conditionalFormatting>
  <conditionalFormatting sqref="O321">
    <cfRule type="cellIs" dxfId="682" priority="71" stopIfTrue="1" operator="lessThan">
      <formula>0.1</formula>
    </cfRule>
  </conditionalFormatting>
  <conditionalFormatting sqref="O321">
    <cfRule type="cellIs" dxfId="681" priority="70" stopIfTrue="1" operator="lessThan">
      <formula>0.1</formula>
    </cfRule>
  </conditionalFormatting>
  <conditionalFormatting sqref="O321">
    <cfRule type="cellIs" dxfId="680" priority="69" stopIfTrue="1" operator="lessThan">
      <formula>0.1</formula>
    </cfRule>
  </conditionalFormatting>
  <conditionalFormatting sqref="O321">
    <cfRule type="cellIs" dxfId="679" priority="68" stopIfTrue="1" operator="lessThan">
      <formula>0.1</formula>
    </cfRule>
  </conditionalFormatting>
  <conditionalFormatting sqref="O321">
    <cfRule type="cellIs" dxfId="678" priority="67" stopIfTrue="1" operator="lessThan">
      <formula>0.1</formula>
    </cfRule>
  </conditionalFormatting>
  <conditionalFormatting sqref="O321">
    <cfRule type="cellIs" dxfId="677" priority="66" stopIfTrue="1" operator="lessThan">
      <formula>0.1</formula>
    </cfRule>
  </conditionalFormatting>
  <conditionalFormatting sqref="O321">
    <cfRule type="cellIs" dxfId="676" priority="65" stopIfTrue="1" operator="lessThan">
      <formula>0.1</formula>
    </cfRule>
  </conditionalFormatting>
  <conditionalFormatting sqref="O321">
    <cfRule type="cellIs" dxfId="675" priority="64" stopIfTrue="1" operator="lessThan">
      <formula>0.1</formula>
    </cfRule>
  </conditionalFormatting>
  <conditionalFormatting sqref="O353">
    <cfRule type="cellIs" dxfId="674" priority="63" stopIfTrue="1" operator="lessThan">
      <formula>0.1</formula>
    </cfRule>
  </conditionalFormatting>
  <conditionalFormatting sqref="O353">
    <cfRule type="cellIs" dxfId="673" priority="62" stopIfTrue="1" operator="lessThan">
      <formula>0.1</formula>
    </cfRule>
  </conditionalFormatting>
  <conditionalFormatting sqref="O353">
    <cfRule type="cellIs" dxfId="672" priority="61" stopIfTrue="1" operator="lessThan">
      <formula>0.1</formula>
    </cfRule>
  </conditionalFormatting>
  <conditionalFormatting sqref="O353">
    <cfRule type="cellIs" dxfId="671" priority="60" stopIfTrue="1" operator="lessThan">
      <formula>0.1</formula>
    </cfRule>
  </conditionalFormatting>
  <conditionalFormatting sqref="O353">
    <cfRule type="cellIs" dxfId="670" priority="59" stopIfTrue="1" operator="lessThan">
      <formula>0.1</formula>
    </cfRule>
  </conditionalFormatting>
  <conditionalFormatting sqref="O353">
    <cfRule type="cellIs" dxfId="669" priority="58" stopIfTrue="1" operator="lessThan">
      <formula>0.1</formula>
    </cfRule>
  </conditionalFormatting>
  <conditionalFormatting sqref="O353">
    <cfRule type="cellIs" dxfId="668" priority="57" stopIfTrue="1" operator="lessThan">
      <formula>0.1</formula>
    </cfRule>
  </conditionalFormatting>
  <conditionalFormatting sqref="O353">
    <cfRule type="cellIs" dxfId="667" priority="56" stopIfTrue="1" operator="lessThan">
      <formula>0.1</formula>
    </cfRule>
  </conditionalFormatting>
  <conditionalFormatting sqref="O353">
    <cfRule type="cellIs" dxfId="666" priority="55" stopIfTrue="1" operator="lessThan">
      <formula>0.1</formula>
    </cfRule>
  </conditionalFormatting>
  <conditionalFormatting sqref="O386">
    <cfRule type="cellIs" dxfId="665" priority="54" stopIfTrue="1" operator="lessThan">
      <formula>0.1</formula>
    </cfRule>
  </conditionalFormatting>
  <conditionalFormatting sqref="O386">
    <cfRule type="cellIs" dxfId="664" priority="53" stopIfTrue="1" operator="lessThan">
      <formula>0.1</formula>
    </cfRule>
  </conditionalFormatting>
  <conditionalFormatting sqref="O386">
    <cfRule type="cellIs" dxfId="663" priority="52" stopIfTrue="1" operator="lessThan">
      <formula>0.1</formula>
    </cfRule>
  </conditionalFormatting>
  <conditionalFormatting sqref="O386">
    <cfRule type="cellIs" dxfId="662" priority="51" stopIfTrue="1" operator="lessThan">
      <formula>0.1</formula>
    </cfRule>
  </conditionalFormatting>
  <conditionalFormatting sqref="O386">
    <cfRule type="cellIs" dxfId="661" priority="50" stopIfTrue="1" operator="lessThan">
      <formula>0.1</formula>
    </cfRule>
  </conditionalFormatting>
  <conditionalFormatting sqref="O386">
    <cfRule type="cellIs" dxfId="660" priority="49" stopIfTrue="1" operator="lessThan">
      <formula>0.1</formula>
    </cfRule>
  </conditionalFormatting>
  <conditionalFormatting sqref="O386">
    <cfRule type="cellIs" dxfId="659" priority="48" stopIfTrue="1" operator="lessThan">
      <formula>0.1</formula>
    </cfRule>
  </conditionalFormatting>
  <conditionalFormatting sqref="O386">
    <cfRule type="cellIs" dxfId="658" priority="47" stopIfTrue="1" operator="lessThan">
      <formula>0.1</formula>
    </cfRule>
  </conditionalFormatting>
  <conditionalFormatting sqref="O386">
    <cfRule type="cellIs" dxfId="657" priority="46" stopIfTrue="1" operator="lessThan">
      <formula>0.1</formula>
    </cfRule>
  </conditionalFormatting>
  <conditionalFormatting sqref="O417">
    <cfRule type="cellIs" dxfId="656" priority="45" stopIfTrue="1" operator="lessThan">
      <formula>0.1</formula>
    </cfRule>
  </conditionalFormatting>
  <conditionalFormatting sqref="O417">
    <cfRule type="cellIs" dxfId="655" priority="44" stopIfTrue="1" operator="lessThan">
      <formula>0.1</formula>
    </cfRule>
  </conditionalFormatting>
  <conditionalFormatting sqref="O417">
    <cfRule type="cellIs" dxfId="654" priority="43" stopIfTrue="1" operator="lessThan">
      <formula>0.1</formula>
    </cfRule>
  </conditionalFormatting>
  <conditionalFormatting sqref="O417">
    <cfRule type="cellIs" dxfId="653" priority="42" stopIfTrue="1" operator="lessThan">
      <formula>0.1</formula>
    </cfRule>
  </conditionalFormatting>
  <conditionalFormatting sqref="O417">
    <cfRule type="cellIs" dxfId="652" priority="41" stopIfTrue="1" operator="lessThan">
      <formula>0.1</formula>
    </cfRule>
  </conditionalFormatting>
  <conditionalFormatting sqref="O417">
    <cfRule type="cellIs" dxfId="651" priority="40" stopIfTrue="1" operator="lessThan">
      <formula>0.1</formula>
    </cfRule>
  </conditionalFormatting>
  <conditionalFormatting sqref="O417">
    <cfRule type="cellIs" dxfId="650" priority="39" stopIfTrue="1" operator="lessThan">
      <formula>0.1</formula>
    </cfRule>
  </conditionalFormatting>
  <conditionalFormatting sqref="O417">
    <cfRule type="cellIs" dxfId="649" priority="38" stopIfTrue="1" operator="lessThan">
      <formula>0.1</formula>
    </cfRule>
  </conditionalFormatting>
  <conditionalFormatting sqref="O417">
    <cfRule type="cellIs" dxfId="648" priority="37" stopIfTrue="1" operator="lessThan">
      <formula>0.1</formula>
    </cfRule>
  </conditionalFormatting>
  <conditionalFormatting sqref="O449">
    <cfRule type="cellIs" dxfId="647" priority="36" stopIfTrue="1" operator="lessThan">
      <formula>0.1</formula>
    </cfRule>
  </conditionalFormatting>
  <conditionalFormatting sqref="O449">
    <cfRule type="cellIs" dxfId="646" priority="35" stopIfTrue="1" operator="lessThan">
      <formula>0.1</formula>
    </cfRule>
  </conditionalFormatting>
  <conditionalFormatting sqref="O449">
    <cfRule type="cellIs" dxfId="645" priority="34" stopIfTrue="1" operator="lessThan">
      <formula>0.1</formula>
    </cfRule>
  </conditionalFormatting>
  <conditionalFormatting sqref="O449">
    <cfRule type="cellIs" dxfId="644" priority="33" stopIfTrue="1" operator="lessThan">
      <formula>0.1</formula>
    </cfRule>
  </conditionalFormatting>
  <conditionalFormatting sqref="O449">
    <cfRule type="cellIs" dxfId="643" priority="32" stopIfTrue="1" operator="lessThan">
      <formula>0.1</formula>
    </cfRule>
  </conditionalFormatting>
  <conditionalFormatting sqref="O449">
    <cfRule type="cellIs" dxfId="642" priority="31" stopIfTrue="1" operator="lessThan">
      <formula>0.1</formula>
    </cfRule>
  </conditionalFormatting>
  <conditionalFormatting sqref="O449">
    <cfRule type="cellIs" dxfId="641" priority="30" stopIfTrue="1" operator="lessThan">
      <formula>0.1</formula>
    </cfRule>
  </conditionalFormatting>
  <conditionalFormatting sqref="O449">
    <cfRule type="cellIs" dxfId="640" priority="29" stopIfTrue="1" operator="lessThan">
      <formula>0.1</formula>
    </cfRule>
  </conditionalFormatting>
  <conditionalFormatting sqref="O449">
    <cfRule type="cellIs" dxfId="639" priority="28" stopIfTrue="1" operator="lessThan">
      <formula>0.1</formula>
    </cfRule>
  </conditionalFormatting>
  <conditionalFormatting sqref="O481">
    <cfRule type="cellIs" dxfId="638" priority="27" stopIfTrue="1" operator="lessThan">
      <formula>0.1</formula>
    </cfRule>
  </conditionalFormatting>
  <conditionalFormatting sqref="O481">
    <cfRule type="cellIs" dxfId="637" priority="26" stopIfTrue="1" operator="lessThan">
      <formula>0.1</formula>
    </cfRule>
  </conditionalFormatting>
  <conditionalFormatting sqref="O481">
    <cfRule type="cellIs" dxfId="636" priority="25" stopIfTrue="1" operator="lessThan">
      <formula>0.1</formula>
    </cfRule>
  </conditionalFormatting>
  <conditionalFormatting sqref="O481">
    <cfRule type="cellIs" dxfId="635" priority="24" stopIfTrue="1" operator="lessThan">
      <formula>0.1</formula>
    </cfRule>
  </conditionalFormatting>
  <conditionalFormatting sqref="O481">
    <cfRule type="cellIs" dxfId="634" priority="23" stopIfTrue="1" operator="lessThan">
      <formula>0.1</formula>
    </cfRule>
  </conditionalFormatting>
  <conditionalFormatting sqref="O481">
    <cfRule type="cellIs" dxfId="633" priority="22" stopIfTrue="1" operator="lessThan">
      <formula>0.1</formula>
    </cfRule>
  </conditionalFormatting>
  <conditionalFormatting sqref="O481">
    <cfRule type="cellIs" dxfId="632" priority="21" stopIfTrue="1" operator="lessThan">
      <formula>0.1</formula>
    </cfRule>
  </conditionalFormatting>
  <conditionalFormatting sqref="O481">
    <cfRule type="cellIs" dxfId="631" priority="20" stopIfTrue="1" operator="lessThan">
      <formula>0.1</formula>
    </cfRule>
  </conditionalFormatting>
  <conditionalFormatting sqref="O481">
    <cfRule type="cellIs" dxfId="630" priority="19" stopIfTrue="1" operator="lessThan">
      <formula>0.1</formula>
    </cfRule>
  </conditionalFormatting>
  <conditionalFormatting sqref="O513">
    <cfRule type="cellIs" dxfId="629" priority="18" stopIfTrue="1" operator="lessThan">
      <formula>0.1</formula>
    </cfRule>
  </conditionalFormatting>
  <conditionalFormatting sqref="O513">
    <cfRule type="cellIs" dxfId="628" priority="17" stopIfTrue="1" operator="lessThan">
      <formula>0.1</formula>
    </cfRule>
  </conditionalFormatting>
  <conditionalFormatting sqref="O513">
    <cfRule type="cellIs" dxfId="627" priority="16" stopIfTrue="1" operator="lessThan">
      <formula>0.1</formula>
    </cfRule>
  </conditionalFormatting>
  <conditionalFormatting sqref="O513">
    <cfRule type="cellIs" dxfId="626" priority="15" stopIfTrue="1" operator="lessThan">
      <formula>0.1</formula>
    </cfRule>
  </conditionalFormatting>
  <conditionalFormatting sqref="O513">
    <cfRule type="cellIs" dxfId="625" priority="14" stopIfTrue="1" operator="lessThan">
      <formula>0.1</formula>
    </cfRule>
  </conditionalFormatting>
  <conditionalFormatting sqref="O513">
    <cfRule type="cellIs" dxfId="624" priority="13" stopIfTrue="1" operator="lessThan">
      <formula>0.1</formula>
    </cfRule>
  </conditionalFormatting>
  <conditionalFormatting sqref="O513">
    <cfRule type="cellIs" dxfId="623" priority="12" stopIfTrue="1" operator="lessThan">
      <formula>0.1</formula>
    </cfRule>
  </conditionalFormatting>
  <conditionalFormatting sqref="O513">
    <cfRule type="cellIs" dxfId="622" priority="11" stopIfTrue="1" operator="lessThan">
      <formula>0.1</formula>
    </cfRule>
  </conditionalFormatting>
  <conditionalFormatting sqref="O513">
    <cfRule type="cellIs" dxfId="621" priority="10" stopIfTrue="1" operator="lessThan">
      <formula>0.1</formula>
    </cfRule>
  </conditionalFormatting>
  <conditionalFormatting sqref="O545">
    <cfRule type="cellIs" dxfId="620" priority="9" stopIfTrue="1" operator="lessThan">
      <formula>0.1</formula>
    </cfRule>
  </conditionalFormatting>
  <conditionalFormatting sqref="O545">
    <cfRule type="cellIs" dxfId="619" priority="8" stopIfTrue="1" operator="lessThan">
      <formula>0.1</formula>
    </cfRule>
  </conditionalFormatting>
  <conditionalFormatting sqref="O545">
    <cfRule type="cellIs" dxfId="618" priority="7" stopIfTrue="1" operator="lessThan">
      <formula>0.1</formula>
    </cfRule>
  </conditionalFormatting>
  <conditionalFormatting sqref="O545">
    <cfRule type="cellIs" dxfId="617" priority="6" stopIfTrue="1" operator="lessThan">
      <formula>0.1</formula>
    </cfRule>
  </conditionalFormatting>
  <conditionalFormatting sqref="O545">
    <cfRule type="cellIs" dxfId="616" priority="5" stopIfTrue="1" operator="lessThan">
      <formula>0.1</formula>
    </cfRule>
  </conditionalFormatting>
  <conditionalFormatting sqref="O545">
    <cfRule type="cellIs" dxfId="615" priority="4" stopIfTrue="1" operator="lessThan">
      <formula>0.1</formula>
    </cfRule>
  </conditionalFormatting>
  <conditionalFormatting sqref="O545">
    <cfRule type="cellIs" dxfId="614" priority="3" stopIfTrue="1" operator="lessThan">
      <formula>0.1</formula>
    </cfRule>
  </conditionalFormatting>
  <conditionalFormatting sqref="O545">
    <cfRule type="cellIs" dxfId="613" priority="2" stopIfTrue="1" operator="lessThan">
      <formula>0.1</formula>
    </cfRule>
  </conditionalFormatting>
  <conditionalFormatting sqref="O545">
    <cfRule type="cellIs" dxfId="612" priority="1" stopIfTrue="1" operator="lessThan">
      <formula>0.1</formula>
    </cfRule>
  </conditionalFormatting>
  <pageMargins left="0.5" right="0.5" top="1" bottom="0.75" header="0.75" footer="0.5"/>
  <pageSetup scale="97" firstPageNumber="208" orientation="landscape" useFirstPageNumber="1" r:id="rId1"/>
  <headerFooter alignWithMargins="0">
    <oddHeader>&amp;R&amp;"Arial,Regular"&amp;8SREB-State Data Exchange</oddHeader>
    <oddFooter>&amp;C&amp;"Arial,Regular"&amp;10&amp;P</oddFooter>
  </headerFooter>
  <rowBreaks count="16" manualBreakCount="16">
    <brk id="33" max="16383" man="1"/>
    <brk id="65" max="11" man="1"/>
    <brk id="97" max="16383" man="1"/>
    <brk id="129" max="16383" man="1"/>
    <brk id="162" max="14" man="1"/>
    <brk id="194" max="14" man="1"/>
    <brk id="225" max="16383" man="1"/>
    <brk id="258" max="16383" man="1"/>
    <brk id="289" max="16383" man="1"/>
    <brk id="321" max="16383" man="1"/>
    <brk id="353" max="16383" man="1"/>
    <brk id="386" max="16383" man="1"/>
    <brk id="417" max="16383" man="1"/>
    <brk id="449" max="16383" man="1"/>
    <brk id="481" max="16383" man="1"/>
    <brk id="513" max="16383" man="1"/>
  </rowBreaks>
  <legacyDrawing r:id="rId2"/>
</worksheet>
</file>

<file path=xl/worksheets/sheet6.xml><?xml version="1.0" encoding="utf-8"?>
<worksheet xmlns="http://schemas.openxmlformats.org/spreadsheetml/2006/main" xmlns:r="http://schemas.openxmlformats.org/officeDocument/2006/relationships">
  <sheetPr>
    <tabColor theme="5" tint="0.59999389629810485"/>
  </sheetPr>
  <dimension ref="A1:AC542"/>
  <sheetViews>
    <sheetView showGridLines="0" showZeros="0" view="pageBreakPreview" topLeftCell="A503" zoomScale="90" zoomScaleNormal="75" zoomScaleSheetLayoutView="90" workbookViewId="0">
      <selection activeCell="L545" sqref="L545"/>
    </sheetView>
  </sheetViews>
  <sheetFormatPr defaultColWidth="9" defaultRowHeight="15"/>
  <cols>
    <col min="1" max="1" width="12.75" style="135" customWidth="1"/>
    <col min="2" max="2" width="9.625" style="36" bestFit="1" customWidth="1"/>
    <col min="3" max="3" width="7.25" style="36" bestFit="1" customWidth="1"/>
    <col min="4" max="4" width="8.5" style="36" bestFit="1" customWidth="1"/>
    <col min="5" max="5" width="8.75" style="36" bestFit="1" customWidth="1"/>
    <col min="6" max="6" width="1.375" style="36" customWidth="1"/>
    <col min="7" max="7" width="7.75" style="36" bestFit="1" customWidth="1"/>
    <col min="8" max="8" width="1.75" style="36" customWidth="1"/>
    <col min="9" max="9" width="9" style="36"/>
    <col min="10" max="10" width="9.625" style="36" bestFit="1" customWidth="1"/>
    <col min="11" max="11" width="1.625" style="36" customWidth="1"/>
    <col min="12" max="12" width="13" style="36" bestFit="1" customWidth="1"/>
    <col min="13" max="13" width="8.375" style="36" customWidth="1"/>
    <col min="14" max="14" width="8.125" style="36" customWidth="1"/>
    <col min="15" max="15" width="8.125" style="135" customWidth="1"/>
    <col min="16" max="16" width="11.625" style="1" bestFit="1" customWidth="1"/>
    <col min="17" max="17" width="12.625" style="99" bestFit="1" customWidth="1"/>
    <col min="18" max="18" width="11.625" style="99" bestFit="1" customWidth="1"/>
    <col min="19" max="19" width="19.5" style="99" bestFit="1" customWidth="1"/>
    <col min="20" max="20" width="13.375" style="99" customWidth="1"/>
    <col min="21" max="16384" width="9" style="36"/>
  </cols>
  <sheetData>
    <row r="1" spans="1:27" ht="18">
      <c r="A1" s="595" t="s">
        <v>1100</v>
      </c>
      <c r="B1" s="48"/>
      <c r="C1" s="48"/>
      <c r="D1" s="48"/>
      <c r="E1" s="48"/>
      <c r="F1" s="48"/>
      <c r="G1" s="48"/>
      <c r="H1" s="48"/>
      <c r="I1" s="48"/>
      <c r="J1" s="48"/>
      <c r="K1" s="48"/>
      <c r="L1" s="48"/>
      <c r="M1" s="48"/>
      <c r="N1" s="48"/>
      <c r="O1" s="48"/>
    </row>
    <row r="2" spans="1:27">
      <c r="A2" s="622"/>
      <c r="B2" s="45"/>
      <c r="C2" s="54"/>
      <c r="D2" s="54"/>
      <c r="E2" s="54"/>
      <c r="F2" s="54"/>
      <c r="G2" s="54"/>
      <c r="H2" s="54"/>
      <c r="I2" s="54"/>
      <c r="J2" s="54"/>
      <c r="K2" s="54"/>
      <c r="L2" s="54"/>
      <c r="M2" s="6"/>
      <c r="N2" s="54"/>
      <c r="O2" s="145"/>
    </row>
    <row r="3" spans="1:27" ht="15.75">
      <c r="A3" s="640" t="s">
        <v>466</v>
      </c>
      <c r="B3" s="641"/>
      <c r="C3" s="641"/>
      <c r="D3" s="641"/>
      <c r="E3" s="641"/>
      <c r="F3" s="641"/>
      <c r="G3" s="641"/>
      <c r="H3" s="641"/>
      <c r="I3" s="641"/>
      <c r="J3" s="641"/>
      <c r="K3" s="641"/>
      <c r="L3" s="641"/>
      <c r="M3" s="641"/>
      <c r="N3" s="641"/>
      <c r="O3" s="641"/>
    </row>
    <row r="4" spans="1:27" ht="15.75">
      <c r="A4" s="640" t="s">
        <v>1068</v>
      </c>
      <c r="B4" s="641"/>
      <c r="C4" s="641"/>
      <c r="D4" s="641"/>
      <c r="E4" s="641"/>
      <c r="F4" s="641"/>
      <c r="G4" s="641"/>
      <c r="H4" s="641"/>
      <c r="I4" s="641"/>
      <c r="J4" s="641"/>
      <c r="K4" s="641"/>
      <c r="L4" s="641"/>
      <c r="M4" s="641"/>
      <c r="N4" s="641"/>
      <c r="O4" s="641"/>
    </row>
    <row r="5" spans="1:27" ht="15.75" customHeight="1">
      <c r="A5" s="148"/>
      <c r="B5" s="45"/>
      <c r="C5" s="54"/>
      <c r="D5" s="54"/>
      <c r="E5" s="54"/>
      <c r="F5" s="54"/>
      <c r="G5" s="54"/>
      <c r="H5" s="54"/>
      <c r="I5" s="54"/>
      <c r="J5" s="54"/>
      <c r="K5" s="54"/>
      <c r="L5" s="54"/>
      <c r="M5" s="54"/>
      <c r="N5" s="54"/>
      <c r="O5" s="145"/>
    </row>
    <row r="6" spans="1:27" ht="15" customHeight="1">
      <c r="A6" s="623"/>
      <c r="B6" s="2" t="s">
        <v>473</v>
      </c>
      <c r="C6" s="654" t="s">
        <v>593</v>
      </c>
      <c r="D6" s="654"/>
      <c r="E6" s="654"/>
      <c r="F6" s="654"/>
      <c r="G6" s="654"/>
      <c r="H6" s="654"/>
      <c r="I6" s="654"/>
      <c r="J6" s="654"/>
      <c r="K6" s="654"/>
      <c r="L6" s="654"/>
      <c r="M6" s="654"/>
      <c r="N6" s="654"/>
      <c r="O6" s="654"/>
    </row>
    <row r="7" spans="1:27" ht="15.75" customHeight="1">
      <c r="A7" s="624"/>
      <c r="B7" s="4" t="s">
        <v>474</v>
      </c>
      <c r="C7" s="227" t="s">
        <v>660</v>
      </c>
      <c r="D7" s="227"/>
      <c r="E7" s="53"/>
      <c r="F7" s="53"/>
      <c r="G7" s="227" t="s">
        <v>661</v>
      </c>
      <c r="H7" s="227"/>
      <c r="I7" s="227" t="s">
        <v>662</v>
      </c>
      <c r="J7" s="227" t="s">
        <v>663</v>
      </c>
      <c r="K7" s="227"/>
      <c r="L7" s="227" t="s">
        <v>664</v>
      </c>
      <c r="M7" s="227" t="s">
        <v>665</v>
      </c>
      <c r="N7" s="227"/>
      <c r="O7" s="138" t="s">
        <v>475</v>
      </c>
      <c r="Q7" s="653"/>
      <c r="R7" s="653"/>
      <c r="S7" s="653"/>
      <c r="T7" s="653"/>
    </row>
    <row r="8" spans="1:27">
      <c r="A8" s="625"/>
      <c r="B8" s="15" t="s">
        <v>476</v>
      </c>
      <c r="C8" s="16" t="s">
        <v>667</v>
      </c>
      <c r="D8" s="16" t="s">
        <v>708</v>
      </c>
      <c r="E8" s="17" t="s">
        <v>709</v>
      </c>
      <c r="F8" s="17"/>
      <c r="G8" s="16" t="s">
        <v>668</v>
      </c>
      <c r="H8" s="16"/>
      <c r="I8" s="16" t="s">
        <v>667</v>
      </c>
      <c r="J8" s="16" t="s">
        <v>669</v>
      </c>
      <c r="K8" s="16"/>
      <c r="L8" s="16" t="s">
        <v>670</v>
      </c>
      <c r="M8" s="16" t="s">
        <v>671</v>
      </c>
      <c r="N8" s="16" t="s">
        <v>701</v>
      </c>
      <c r="O8" s="146" t="s">
        <v>15</v>
      </c>
      <c r="Q8" s="653"/>
      <c r="R8" s="653"/>
      <c r="S8" s="653"/>
      <c r="T8" s="653"/>
    </row>
    <row r="9" spans="1:27">
      <c r="A9" s="149" t="s">
        <v>600</v>
      </c>
      <c r="B9" s="33">
        <f>+'[2]OLD Tables'!N8</f>
        <v>73458.825806119945</v>
      </c>
      <c r="C9" s="32">
        <f>IF($B9&gt;0,(GETPIVOTDATA(" New Retirement",'$ Pivot Table'!$A$3,"Category2","Four-Year"))/$B9)*100</f>
        <v>10.763485515916638</v>
      </c>
      <c r="D9" s="32">
        <f>IF($B9&gt;0,(GETPIVOTDATA(" New Health",'$ Pivot Table'!$A$3,"Category2","Four-Year"))/$B9)*100</f>
        <v>9.1458526844867567</v>
      </c>
      <c r="E9" s="32">
        <f>IF($B9&gt;0,(GETPIVOTDATA(" New Disability",'$ Pivot Table'!$A$3,"Category2","Four-Year"))/$B9)*100</f>
        <v>0.38860869548590327</v>
      </c>
      <c r="F9" s="32"/>
      <c r="G9" s="32">
        <f>IF($B9&gt;0,(GETPIVOTDATA(" New Social Security",'$ Pivot Table'!$A$3,"Category2","Four-Year"))/$B9)*100</f>
        <v>6.929322939551966</v>
      </c>
      <c r="H9" s="32"/>
      <c r="I9" s="32">
        <f>IF($B9&gt;0,(GETPIVOTDATA(" New Unemployment",'$ Pivot Table'!$A$3,"Category2","Four-Year"))/$B9)*100</f>
        <v>0.17977340648857648</v>
      </c>
      <c r="J9" s="32">
        <f>IF($B9&gt;0,(GETPIVOTDATA(" New Life Insurance",'$ Pivot Table'!$A$3,"Category2","Four-Year"))/$B9)*100</f>
        <v>0.28300482113624842</v>
      </c>
      <c r="K9" s="32"/>
      <c r="L9" s="32">
        <f>IF($B9&gt;0,(GETPIVOTDATA(" New Worker's Comp",'$ Pivot Table'!$A$3,"Category2","Four-Year"))/$B9)*100</f>
        <v>0.48778972052271702</v>
      </c>
      <c r="M9" s="32">
        <f>IF($B9&gt;0,(GETPIVOTDATA(" New Tuition Plans",'$ Pivot Table'!$A$3,"Category2","Four-Year"))/$B9)*100</f>
        <v>3.9146934073450663</v>
      </c>
      <c r="N9" s="32">
        <f>IF($B9&gt;0,(GETPIVOTDATA(" New Other",'$ Pivot Table'!$A$3,"Category2","Four-Year"))/$B9)*100</f>
        <v>0.93492581082202197</v>
      </c>
      <c r="O9" s="32">
        <f>IF($B9&gt;0,(GETPIVOTDATA(" New Total",'$ Pivot Table'!$A$3,"Category2","Four-Year"))/$B9)*100</f>
        <v>26.683834710392919</v>
      </c>
      <c r="Q9" s="653"/>
      <c r="R9" s="165"/>
      <c r="S9" s="167"/>
      <c r="T9" s="169"/>
      <c r="U9" s="1"/>
      <c r="V9" s="117"/>
      <c r="X9" s="117"/>
      <c r="Y9" s="117"/>
      <c r="AA9" s="117"/>
    </row>
    <row r="10" spans="1:27">
      <c r="A10" s="149"/>
      <c r="B10" s="31"/>
      <c r="C10" s="32"/>
      <c r="D10" s="32"/>
      <c r="E10" s="32"/>
      <c r="F10" s="32"/>
      <c r="G10" s="32"/>
      <c r="H10" s="32"/>
      <c r="I10" s="32"/>
      <c r="J10" s="32"/>
      <c r="K10" s="32"/>
      <c r="L10" s="32"/>
      <c r="M10" s="32"/>
      <c r="N10" s="32"/>
      <c r="O10" s="32"/>
      <c r="Q10" s="653"/>
      <c r="R10" s="165"/>
      <c r="S10" s="167"/>
      <c r="T10" s="168"/>
      <c r="U10" s="1"/>
      <c r="V10" s="117"/>
      <c r="X10" s="117"/>
      <c r="Y10" s="117"/>
      <c r="AA10" s="117"/>
    </row>
    <row r="11" spans="1:27">
      <c r="A11" s="149" t="s">
        <v>479</v>
      </c>
      <c r="B11" s="617">
        <f>+'[2]OLD Tables'!N10</f>
        <v>71754.306204442197</v>
      </c>
      <c r="C11" s="32">
        <f>IF($B11&gt;0,(GETPIVOTDATA(" New Retirement",'$ Pivot Table'!$A$3,"State","AL","Category2","Four-Year"))/$B11)*100</f>
        <v>14.959376539891139</v>
      </c>
      <c r="D11" s="32">
        <f>IF($B11&gt;0,(GETPIVOTDATA(" New Health",'$ Pivot Table'!$A$3,"State","AL","Category2","Four-Year"))/$B11)*100</f>
        <v>9.6536896375264831</v>
      </c>
      <c r="E11" s="32">
        <f>IF($B11&gt;0,(GETPIVOTDATA(" New Disability",'$ Pivot Table'!$A$3,"State","AL","Category2","Four-Year"))/$B11)*100</f>
        <v>0.40165061402464486</v>
      </c>
      <c r="F11" s="32"/>
      <c r="G11" s="32">
        <f>IF($B11&gt;0,(GETPIVOTDATA(" New Social Security",'$ Pivot Table'!$A$3,"State","AL","Category2","Four-Year"))/$B11)*100</f>
        <v>7.3059695915005785</v>
      </c>
      <c r="H11" s="32"/>
      <c r="I11" s="32">
        <f>IF($B11&gt;0,(GETPIVOTDATA(" New Unemployment",'$ Pivot Table'!$A$3,"State","AL","Category2","Four-Year"))/$B11)*100</f>
        <v>0.11558794668970972</v>
      </c>
      <c r="J11" s="32">
        <f>IF($B11&gt;0,(GETPIVOTDATA(" New Life Insurance",'$ Pivot Table'!$A$3,"State","AL","Category2","Four-Year"))/$B11)*100</f>
        <v>0.19154928851399994</v>
      </c>
      <c r="K11" s="32"/>
      <c r="L11" s="32">
        <f>IF($B11&gt;0,(GETPIVOTDATA(" New Worker's Comp",'$ Pivot Table'!$A$3,"State","AL","Category2","Four-Year"))/$B11)*100</f>
        <v>9.3701042266019913E-2</v>
      </c>
      <c r="M11" s="32">
        <f>IF($B11&gt;0,(GETPIVOTDATA(" New Tuition Plans",'$ Pivot Table'!$A$3,"State","AL","Category2","Four-Year"))/$B11)*100</f>
        <v>5.1204671532270245</v>
      </c>
      <c r="N11" s="32">
        <f>IF($B11&gt;0,(GETPIVOTDATA(" New Other",'$ Pivot Table'!$A$3,"State","AL","Category2","Four-Year"))/$B11)*100</f>
        <v>3.1274769645134315</v>
      </c>
      <c r="O11" s="32">
        <f>IF($B11&gt;0,(GETPIVOTDATA(" New Total",'$ Pivot Table'!$A$3,"State","AL","Category2","Four-Year"))/$B11)*100</f>
        <v>31.568365632102974</v>
      </c>
      <c r="Q11" s="165"/>
      <c r="R11" s="165"/>
      <c r="S11" s="167"/>
      <c r="T11" s="168"/>
      <c r="U11" s="1"/>
      <c r="V11" s="117"/>
      <c r="X11" s="117"/>
      <c r="Y11" s="117"/>
      <c r="AA11" s="117"/>
    </row>
    <row r="12" spans="1:27">
      <c r="A12" s="149" t="s">
        <v>480</v>
      </c>
      <c r="B12" s="617">
        <f>+'[2]OLD Tables'!N11</f>
        <v>59792.055882499313</v>
      </c>
      <c r="C12" s="32">
        <f>IF($B12&gt;0,(GETPIVOTDATA(" New Retirement",'$ Pivot Table'!$A$3,"State","AR","Category2","Four-Year"))/$B12)*100</f>
        <v>9.988228424887895</v>
      </c>
      <c r="D12" s="32">
        <f>IF($B12&gt;0,(GETPIVOTDATA(" New Health",'$ Pivot Table'!$A$3,"State","AR","Category2","Four-Year"))/$B12)*100</f>
        <v>9.5765830770178919</v>
      </c>
      <c r="E12" s="32">
        <f>IF($B12&gt;0,(GETPIVOTDATA(" New Disability",'$ Pivot Table'!$A$3,"State","AR","Category2","Four-Year"))/$B12)*100</f>
        <v>0.2294746310428272</v>
      </c>
      <c r="F12" s="32"/>
      <c r="G12" s="32">
        <f>IF($B12&gt;0,(GETPIVOTDATA(" New Social Security",'$ Pivot Table'!$A$3,"State","AR","Category2","Four-Year"))/$B12)*100</f>
        <v>7.557679259702188</v>
      </c>
      <c r="H12" s="32"/>
      <c r="I12" s="32">
        <f>IF($B12&gt;0,(GETPIVOTDATA(" New Unemployment",'$ Pivot Table'!$A$3,"State","AR","Category2","Four-Year"))/$B12)*100</f>
        <v>0.36449696422252081</v>
      </c>
      <c r="J12" s="32">
        <f>IF($B12&gt;0,(GETPIVOTDATA(" New Life Insurance",'$ Pivot Table'!$A$3,"State","AR","Category2","Four-Year"))/$B12)*100</f>
        <v>0.25997561062157498</v>
      </c>
      <c r="K12" s="32"/>
      <c r="L12" s="32">
        <f>IF($B12&gt;0,(GETPIVOTDATA(" New Worker's Comp",'$ Pivot Table'!$A$3,"State","AR","Category2","Four-Year"))/$B12)*100</f>
        <v>0.32856659772291152</v>
      </c>
      <c r="M12" s="32">
        <f>IF($B12&gt;0,(GETPIVOTDATA(" New Tuition Plans",'$ Pivot Table'!$A$3,"State","AR","Category2","Four-Year"))/$B12)*100</f>
        <v>2.361685705298743</v>
      </c>
      <c r="N12" s="32">
        <f>IF($B12&gt;0,(GETPIVOTDATA(" New Other",'$ Pivot Table'!$A$3,"State","AR","Category2","Four-Year"))/$B12)*100</f>
        <v>1.0452893629016908</v>
      </c>
      <c r="O12" s="32">
        <f>IF($B12&gt;0,(GETPIVOTDATA(" New Total",'$ Pivot Table'!$A$3,"State","AR","Category2","Four-Year"))/$B12)*100</f>
        <v>27.371253592352414</v>
      </c>
      <c r="Q12" s="165"/>
      <c r="R12" s="165"/>
      <c r="S12" s="167"/>
      <c r="T12" s="168"/>
      <c r="U12" s="1"/>
      <c r="V12" s="117"/>
      <c r="X12" s="117"/>
      <c r="Y12" s="117"/>
      <c r="AA12" s="117"/>
    </row>
    <row r="13" spans="1:27" s="135" customFormat="1">
      <c r="A13" s="149" t="s">
        <v>494</v>
      </c>
      <c r="B13" s="617">
        <f>+'[2]OLD Tables'!N12</f>
        <v>93548.481453917047</v>
      </c>
      <c r="C13" s="90">
        <f>IF($B13&gt;0,(GETPIVOTDATA(" New Retirement",'$ Pivot Table'!$A$3,"State","DE","Category2","Four-Year"))/$B13)*100</f>
        <v>11.752933639213046</v>
      </c>
      <c r="D13" s="90">
        <f>IF($B13&gt;0,(GETPIVOTDATA(" New Health",'$ Pivot Table'!$A$3,"State","DE","Category2","Four-Year"))/$B13)*100</f>
        <v>12.35912382426616</v>
      </c>
      <c r="E13" s="90">
        <f>IF($B13&gt;0,(GETPIVOTDATA(" New Disability",'$ Pivot Table'!$A$3,"State","DE","Category2","Four-Year"))/$B13)*100</f>
        <v>0.29686547505201144</v>
      </c>
      <c r="F13" s="90"/>
      <c r="G13" s="90">
        <f>IF($B13&gt;0,(GETPIVOTDATA(" New Social Security",'$ Pivot Table'!$A$3,"State","DE","Category2","Four-Year"))/$B13)*100</f>
        <v>7.0472374995251776</v>
      </c>
      <c r="H13" s="90"/>
      <c r="I13" s="90">
        <f>IF($B13&gt;0,(GETPIVOTDATA(" New Unemployment",'$ Pivot Table'!$A$3,"State","DE","Category2","Four-Year"))/$B13)*100</f>
        <v>0.20408097448596463</v>
      </c>
      <c r="J13" s="90">
        <f>IF($B13&gt;0,(GETPIVOTDATA(" New Life Insurance",'$ Pivot Table'!$A$3,"State","DE","Category2","Four-Year"))/$B13)*100</f>
        <v>0.3215507982028894</v>
      </c>
      <c r="K13" s="90"/>
      <c r="L13" s="90">
        <f>IF($B13&gt;0,(GETPIVOTDATA(" New Worker's Comp",'$ Pivot Table'!$A$3,"State","DE","Category2","Four-Year"))/$B13)*100</f>
        <v>0.49351090350912907</v>
      </c>
      <c r="M13" s="90">
        <f>IF($B13&gt;0,(GETPIVOTDATA(" New Tuition Plans",'$ Pivot Table'!$A$3,"State","DE","Category2","Four-Year"))/$B13)*100</f>
        <v>9.0652898496982797</v>
      </c>
      <c r="N13" s="90">
        <f>IF($B13&gt;0,(GETPIVOTDATA(" New Other",'$ Pivot Table'!$A$3,"State","DE","Category2","Four-Year"))/$B13)*100</f>
        <v>0</v>
      </c>
      <c r="O13" s="90">
        <f>IF($B13&gt;0,(GETPIVOTDATA(" New Total",'$ Pivot Table'!$A$3,"State","DE","Category2","Four-Year"))/$B13)*100</f>
        <v>33.276984652280049</v>
      </c>
      <c r="P13" s="170"/>
      <c r="Q13" s="166"/>
      <c r="R13" s="166"/>
      <c r="S13" s="167"/>
      <c r="T13" s="168"/>
      <c r="U13" s="170"/>
      <c r="V13" s="150"/>
      <c r="X13" s="150"/>
      <c r="Y13" s="150"/>
      <c r="AA13" s="150"/>
    </row>
    <row r="14" spans="1:27">
      <c r="A14" s="149" t="s">
        <v>481</v>
      </c>
      <c r="B14" s="617">
        <f>+'[2]OLD Tables'!N13</f>
        <v>76316.768813501709</v>
      </c>
      <c r="C14" s="32">
        <f>IF($B14&gt;0,(GETPIVOTDATA(" New Retirement",'$ Pivot Table'!$A$3,"State","FL","Category2","Four-Year"))/$B14)*100</f>
        <v>10.774953584070051</v>
      </c>
      <c r="D14" s="32">
        <f>IF($B14&gt;0,(GETPIVOTDATA(" New Health",'$ Pivot Table'!$A$3,"State","FL","Category2","Four-Year"))/$B14)*100</f>
        <v>12.060333317857094</v>
      </c>
      <c r="E14" s="32">
        <f>IF($B14&gt;0,(GETPIVOTDATA(" New Disability",'$ Pivot Table'!$A$3,"State","FL","Category2","Four-Year"))/$B14)*100</f>
        <v>0</v>
      </c>
      <c r="F14" s="32"/>
      <c r="G14" s="32">
        <f>IF($B14&gt;0,(GETPIVOTDATA(" New Social Security",'$ Pivot Table'!$A$3,"State","FL","Category2","Four-Year"))/$B14)*100</f>
        <v>6.9647635067559888</v>
      </c>
      <c r="H14" s="32"/>
      <c r="I14" s="32">
        <f>IF($B14&gt;0,(GETPIVOTDATA(" New Unemployment",'$ Pivot Table'!$A$3,"State","FL","Category2","Four-Year"))/$B14)*100</f>
        <v>0.39925778333095158</v>
      </c>
      <c r="J14" s="32">
        <f>IF($B14&gt;0,(GETPIVOTDATA(" New Life Insurance",'$ Pivot Table'!$A$3,"State","FL","Category2","Four-Year"))/$B14)*100</f>
        <v>0.25060573042043099</v>
      </c>
      <c r="K14" s="32"/>
      <c r="L14" s="32">
        <f>IF($B14&gt;0,(GETPIVOTDATA(" New Worker's Comp",'$ Pivot Table'!$A$3,"State","FL","Category2","Four-Year"))/$B14)*100</f>
        <v>0.4539886930096052</v>
      </c>
      <c r="M14" s="32">
        <f>IF($B14&gt;0,(GETPIVOTDATA(" New Tuition Plans",'$ Pivot Table'!$A$3,"State","FL","Category2","Four-Year"))/$B14)*100</f>
        <v>5.8964760562607514E-2</v>
      </c>
      <c r="N14" s="32">
        <f>IF($B14&gt;0,(GETPIVOTDATA(" New Other",'$ Pivot Table'!$A$3,"State","FL","Category2","Four-Year"))/$B14)*100</f>
        <v>0.26302619883704537</v>
      </c>
      <c r="O14" s="32">
        <f>IF($B14&gt;0,(GETPIVOTDATA(" New Total",'$ Pivot Table'!$A$3,"State","FL","Category2","Four-Year"))/$B14)*100</f>
        <v>29.6538507431912</v>
      </c>
      <c r="Q14" s="165"/>
      <c r="R14" s="165"/>
      <c r="S14" s="167"/>
      <c r="T14" s="168"/>
      <c r="U14" s="1"/>
      <c r="V14" s="117"/>
      <c r="X14" s="117"/>
      <c r="Y14" s="117"/>
      <c r="AA14" s="117"/>
    </row>
    <row r="15" spans="1:27">
      <c r="A15" s="149"/>
      <c r="B15" s="617">
        <f>+'[2]OLD Tables'!N14</f>
        <v>0</v>
      </c>
      <c r="C15" s="32"/>
      <c r="D15" s="32"/>
      <c r="E15" s="32"/>
      <c r="F15" s="32"/>
      <c r="G15" s="32"/>
      <c r="H15" s="32"/>
      <c r="I15" s="32"/>
      <c r="J15" s="32"/>
      <c r="K15" s="32"/>
      <c r="L15" s="32"/>
      <c r="M15" s="32"/>
      <c r="N15" s="32"/>
      <c r="O15" s="32"/>
      <c r="Q15" s="165"/>
      <c r="R15" s="165"/>
      <c r="S15" s="167"/>
      <c r="T15" s="168"/>
      <c r="U15" s="1"/>
      <c r="V15" s="117"/>
      <c r="X15" s="117"/>
      <c r="Y15" s="117"/>
      <c r="AA15" s="117"/>
    </row>
    <row r="16" spans="1:27">
      <c r="A16" s="149" t="s">
        <v>482</v>
      </c>
      <c r="B16" s="617">
        <f>+'[2]OLD Tables'!N15</f>
        <v>72787.952532273717</v>
      </c>
      <c r="C16" s="32">
        <f>IF($B16&gt;0,(GETPIVOTDATA(" New Retirement",'$ Pivot Table'!$A$3,"State","GA","Category2","Four-Year"))/$B16)*100</f>
        <v>9.6567458653215823</v>
      </c>
      <c r="D16" s="32">
        <f>IF($B16&gt;0,(GETPIVOTDATA(" New Health",'$ Pivot Table'!$A$3,"State","GA","Category2","Four-Year"))/$B16)*100</f>
        <v>9.4491752850103214</v>
      </c>
      <c r="E16" s="32">
        <f>IF($B16&gt;0,(GETPIVOTDATA(" New Disability",'$ Pivot Table'!$A$3,"State","GA","Category2","Four-Year"))/$B16)*100</f>
        <v>0</v>
      </c>
      <c r="F16" s="32"/>
      <c r="G16" s="32">
        <f>IF($B16&gt;0,(GETPIVOTDATA(" New Social Security",'$ Pivot Table'!$A$3,"State","GA","Category2","Four-Year"))/$B16)*100</f>
        <v>7.2277089371882735</v>
      </c>
      <c r="H16" s="32"/>
      <c r="I16" s="32">
        <f>IF($B16&gt;0,(GETPIVOTDATA(" New Unemployment",'$ Pivot Table'!$A$3,"State","GA","Category2","Four-Year"))/$B16)*100</f>
        <v>0.1937133757643224</v>
      </c>
      <c r="J16" s="32">
        <f>IF($B16&gt;0,(GETPIVOTDATA(" New Life Insurance",'$ Pivot Table'!$A$3,"State","GA","Category2","Four-Year"))/$B16)*100</f>
        <v>0.19652303823109885</v>
      </c>
      <c r="K16" s="32"/>
      <c r="L16" s="32">
        <f>IF($B16&gt;0,(GETPIVOTDATA(" New Worker's Comp",'$ Pivot Table'!$A$3,"State","GA","Category2","Four-Year"))/$B16)*100</f>
        <v>0.17368877073983385</v>
      </c>
      <c r="M16" s="32">
        <f>IF($B16&gt;0,(GETPIVOTDATA(" New Tuition Plans",'$ Pivot Table'!$A$3,"State","GA","Category2","Four-Year"))/$B16)*100</f>
        <v>0</v>
      </c>
      <c r="N16" s="32">
        <f>IF($B16&gt;0,(GETPIVOTDATA(" New Other",'$ Pivot Table'!$A$3,"State","GA","Category2","Four-Year"))/$B16)*100</f>
        <v>0</v>
      </c>
      <c r="O16" s="32">
        <f>IF($B16&gt;0,(GETPIVOTDATA(" New Total",'$ Pivot Table'!$A$3,"State","GA","Category2","Four-Year"))/$B16)*100</f>
        <v>25.258261325254228</v>
      </c>
      <c r="Q16" s="165"/>
      <c r="R16" s="165"/>
      <c r="S16" s="167"/>
      <c r="T16" s="168"/>
      <c r="U16" s="1"/>
      <c r="V16" s="117"/>
      <c r="X16" s="117"/>
      <c r="Y16" s="117"/>
      <c r="AA16" s="117"/>
    </row>
    <row r="17" spans="1:27">
      <c r="A17" s="149" t="s">
        <v>483</v>
      </c>
      <c r="B17" s="617">
        <f>+'[2]OLD Tables'!N16</f>
        <v>68260.838038756556</v>
      </c>
      <c r="C17" s="32">
        <f>IF($B17&gt;0,(GETPIVOTDATA(" New Retirement",'$ Pivot Table'!$A$3,"State","KY","Category2","Four-Year"))/$B17)*100</f>
        <v>11.495728566829239</v>
      </c>
      <c r="D17" s="32">
        <f>IF($B17&gt;0,(GETPIVOTDATA(" New Health",'$ Pivot Table'!$A$3,"State","KY","Category2","Four-Year"))/$B17)*100</f>
        <v>8.8018617514303141</v>
      </c>
      <c r="E17" s="32">
        <f>IF($B17&gt;0,(GETPIVOTDATA(" New Disability",'$ Pivot Table'!$A$3,"State","KY","Category2","Four-Year"))/$B17)*100</f>
        <v>0.22108108481843225</v>
      </c>
      <c r="F17" s="32"/>
      <c r="G17" s="32">
        <f>IF($B17&gt;0,(GETPIVOTDATA(" New Social Security",'$ Pivot Table'!$A$3,"State","KY","Category2","Four-Year"))/$B17)*100</f>
        <v>7.8775883785472054</v>
      </c>
      <c r="H17" s="32"/>
      <c r="I17" s="32">
        <f>IF($B17&gt;0,(GETPIVOTDATA(" New Unemployment",'$ Pivot Table'!$A$3,"State","KY","Category2","Four-Year"))/$B17)*100</f>
        <v>0.21854266419840093</v>
      </c>
      <c r="J17" s="32">
        <f>IF($B17&gt;0,(GETPIVOTDATA(" New Life Insurance",'$ Pivot Table'!$A$3,"State","KY","Category2","Four-Year"))/$B17)*100</f>
        <v>0.18653053919700741</v>
      </c>
      <c r="K17" s="32"/>
      <c r="L17" s="32">
        <f>IF($B17&gt;0,(GETPIVOTDATA(" New Worker's Comp",'$ Pivot Table'!$A$3,"State","KY","Category2","Four-Year"))/$B17)*100</f>
        <v>0.45260584062662762</v>
      </c>
      <c r="M17" s="32">
        <f>IF($B17&gt;0,(GETPIVOTDATA(" New Tuition Plans",'$ Pivot Table'!$A$3,"State","KY","Category2","Four-Year"))/$B17)*100</f>
        <v>5.7513011507525844</v>
      </c>
      <c r="N17" s="32">
        <f>IF($B17&gt;0,(GETPIVOTDATA(" New Other",'$ Pivot Table'!$A$3,"State","KY","Category2","Four-Year"))/$B17)*100</f>
        <v>0.4683475309009516</v>
      </c>
      <c r="O17" s="32">
        <f>IF($B17&gt;0,(GETPIVOTDATA(" New Total",'$ Pivot Table'!$A$3,"State","KY","Category2","Four-Year"))/$B17)*100</f>
        <v>28.89404798139476</v>
      </c>
      <c r="Q17" s="165"/>
      <c r="R17" s="165"/>
      <c r="S17" s="167"/>
      <c r="T17" s="168"/>
      <c r="U17" s="1"/>
      <c r="V17" s="117"/>
      <c r="X17" s="117"/>
      <c r="Y17" s="117"/>
      <c r="AA17" s="117"/>
    </row>
    <row r="18" spans="1:27">
      <c r="A18" s="149" t="s">
        <v>484</v>
      </c>
      <c r="B18" s="617">
        <f>+'[2]OLD Tables'!N17</f>
        <v>65474.383098579077</v>
      </c>
      <c r="C18" s="32">
        <f>IF($B18&gt;0,(GETPIVOTDATA(" New Retirement",'$ Pivot Table'!$A$3,"State","LA","Category2","Four-Year"))/$B18)*100</f>
        <v>14.442994074753265</v>
      </c>
      <c r="D18" s="32">
        <f>IF($B18&gt;0,(GETPIVOTDATA(" New Health",'$ Pivot Table'!$A$3,"State","LA","Category2","Four-Year"))/$B18)*100</f>
        <v>8.6099846261493145</v>
      </c>
      <c r="E18" s="32">
        <f>IF($B18&gt;0,(GETPIVOTDATA(" New Disability",'$ Pivot Table'!$A$3,"State","LA","Category2","Four-Year"))/$B18)*100</f>
        <v>0.38255818548633924</v>
      </c>
      <c r="F18" s="32"/>
      <c r="G18" s="32">
        <f>IF($B18&gt;0,(GETPIVOTDATA(" New Social Security",'$ Pivot Table'!$A$3,"State","LA","Category2","Four-Year"))/$B18)*100</f>
        <v>1.2756360535681335</v>
      </c>
      <c r="H18" s="98" t="s">
        <v>468</v>
      </c>
      <c r="I18" s="32">
        <f>IF($B18&gt;0,(GETPIVOTDATA(" New Unemployment",'$ Pivot Table'!$A$3,"State","LA","Category2","Four-Year"))/$B18)*100</f>
        <v>0.21914197285781453</v>
      </c>
      <c r="J18" s="32">
        <f>IF($B18&gt;0,(GETPIVOTDATA(" New Life Insurance",'$ Pivot Table'!$A$3,"State","LA","Category2","Four-Year"))/$B18)*100</f>
        <v>0.28259168722922828</v>
      </c>
      <c r="K18" s="32"/>
      <c r="L18" s="32">
        <f>IF($B18&gt;0,(GETPIVOTDATA(" New Worker's Comp",'$ Pivot Table'!$A$3,"State","LA","Category2","Four-Year"))/$B18)*100</f>
        <v>0.53850957376682129</v>
      </c>
      <c r="M18" s="32">
        <f>IF($B18&gt;0,(GETPIVOTDATA(" New Tuition Plans",'$ Pivot Table'!$A$3,"State","LA","Category2","Four-Year"))/$B18)*100</f>
        <v>0.75659134816241114</v>
      </c>
      <c r="N18" s="32">
        <f>IF($B18&gt;0,(GETPIVOTDATA(" New Other",'$ Pivot Table'!$A$3,"State","LA","Category2","Four-Year"))/$B18)*100</f>
        <v>0.86216925350801943</v>
      </c>
      <c r="O18" s="32">
        <f>IF($B18&gt;0,(GETPIVOTDATA(" New Total",'$ Pivot Table'!$A$3,"State","LA","Category2","Four-Year"))/$B18)*100</f>
        <v>22.870709055727957</v>
      </c>
      <c r="Q18" s="165"/>
      <c r="R18" s="165"/>
      <c r="S18" s="167"/>
      <c r="T18" s="168"/>
      <c r="U18" s="1"/>
      <c r="V18" s="117"/>
      <c r="X18" s="117"/>
      <c r="Y18" s="117"/>
      <c r="AA18" s="117"/>
    </row>
    <row r="19" spans="1:27">
      <c r="A19" s="149" t="s">
        <v>485</v>
      </c>
      <c r="B19" s="617">
        <f>+'[2]OLD Tables'!N18</f>
        <v>81158.682618265375</v>
      </c>
      <c r="C19" s="32">
        <f>IF($B19&gt;0,(GETPIVOTDATA(" New Retirement",'$ Pivot Table'!$A$3,"State","MD","Category2","Four-Year"))/$B19)*100</f>
        <v>8.8609172180212408</v>
      </c>
      <c r="D19" s="32">
        <f>IF($B19&gt;0,(GETPIVOTDATA(" New Health",'$ Pivot Table'!$A$3,"State","MD","Category2","Four-Year"))/$B19)*100</f>
        <v>10.96395699821354</v>
      </c>
      <c r="E19" s="32">
        <f>IF($B19&gt;0,(GETPIVOTDATA(" New Disability",'$ Pivot Table'!$A$3,"State","MD","Category2","Four-Year"))/$B19)*100</f>
        <v>0</v>
      </c>
      <c r="F19" s="32"/>
      <c r="G19" s="32">
        <f>IF($B19&gt;0,(GETPIVOTDATA(" New Social Security",'$ Pivot Table'!$A$3,"State","MD","Category2","Four-Year"))/$B19)*100</f>
        <v>6.9568304587123651</v>
      </c>
      <c r="H19" s="32"/>
      <c r="I19" s="32">
        <f>IF($B19&gt;0,(GETPIVOTDATA(" New Unemployment",'$ Pivot Table'!$A$3,"State","MD","Category2","Four-Year"))/$B19)*100</f>
        <v>0.24162030308528806</v>
      </c>
      <c r="J19" s="32">
        <f>IF($B19&gt;0,(GETPIVOTDATA(" New Life Insurance",'$ Pivot Table'!$A$3,"State","MD","Category2","Four-Year"))/$B19)*100</f>
        <v>0</v>
      </c>
      <c r="K19" s="32"/>
      <c r="L19" s="32">
        <f>IF($B19&gt;0,(GETPIVOTDATA(" New Worker's Comp",'$ Pivot Table'!$A$3,"State","MD","Category2","Four-Year"))/$B19)*100</f>
        <v>0.41381641296183541</v>
      </c>
      <c r="M19" s="32">
        <f>IF($B19&gt;0,(GETPIVOTDATA(" New Tuition Plans",'$ Pivot Table'!$A$3,"State","MD","Category2","Four-Year"))/$B19)*100</f>
        <v>5.3899952514700162</v>
      </c>
      <c r="N19" s="32">
        <f>IF($B19&gt;0,(GETPIVOTDATA(" New Other",'$ Pivot Table'!$A$3,"State","MD","Category2","Four-Year"))/$B19)*100</f>
        <v>0</v>
      </c>
      <c r="O19" s="32">
        <f>IF($B19&gt;0,(GETPIVOTDATA(" New Total",'$ Pivot Table'!$A$3,"State","MD","Category2","Four-Year"))/$B19)*100</f>
        <v>27.182047726241599</v>
      </c>
      <c r="Q19" s="165"/>
      <c r="R19" s="165"/>
      <c r="S19" s="167"/>
      <c r="T19" s="168"/>
      <c r="U19" s="1"/>
      <c r="V19" s="117"/>
      <c r="X19" s="117"/>
      <c r="Y19" s="117"/>
      <c r="AA19" s="117"/>
    </row>
    <row r="20" spans="1:27">
      <c r="A20" s="149"/>
      <c r="B20" s="617">
        <f>+'[2]OLD Tables'!N19</f>
        <v>0</v>
      </c>
      <c r="C20" s="32"/>
      <c r="D20" s="32"/>
      <c r="E20" s="32"/>
      <c r="F20" s="32"/>
      <c r="G20" s="32"/>
      <c r="H20" s="32"/>
      <c r="I20" s="32"/>
      <c r="J20" s="32"/>
      <c r="K20" s="32"/>
      <c r="L20" s="32"/>
      <c r="M20" s="32"/>
      <c r="N20" s="32"/>
      <c r="O20" s="32"/>
      <c r="Q20" s="165"/>
      <c r="R20" s="165"/>
      <c r="S20" s="167"/>
      <c r="T20" s="168"/>
      <c r="U20" s="1"/>
      <c r="V20" s="117"/>
      <c r="X20" s="117"/>
      <c r="Y20" s="117"/>
      <c r="AA20" s="117"/>
    </row>
    <row r="21" spans="1:27">
      <c r="A21" s="149" t="s">
        <v>486</v>
      </c>
      <c r="B21" s="617">
        <f>+'[2]OLD Tables'!N20</f>
        <v>62528.093971512135</v>
      </c>
      <c r="C21" s="32">
        <f>IF($B21&gt;0,(GETPIVOTDATA(" New Retirement",'$ Pivot Table'!$A$3,"State","MS","Category2","Four-Year"))/$B21)*100</f>
        <v>11.22376828909721</v>
      </c>
      <c r="D21" s="32">
        <f>IF($B21&gt;0,(GETPIVOTDATA(" New Health",'$ Pivot Table'!$A$3,"State","MS","Category2","Four-Year"))/$B21)*100</f>
        <v>4.3920685960416828</v>
      </c>
      <c r="E21" s="32">
        <f>IF($B21&gt;0,(GETPIVOTDATA(" New Disability",'$ Pivot Table'!$A$3,"State","MS","Category2","Four-Year"))/$B21)*100</f>
        <v>0</v>
      </c>
      <c r="F21" s="32"/>
      <c r="G21" s="32">
        <f>IF($B21&gt;0,(GETPIVOTDATA(" New Social Security",'$ Pivot Table'!$A$3,"State","MS","Category2","Four-Year"))/$B21)*100</f>
        <v>6.5104149511058553</v>
      </c>
      <c r="H21" s="32"/>
      <c r="I21" s="32">
        <f>IF($B21&gt;0,(GETPIVOTDATA(" New Unemployment",'$ Pivot Table'!$A$3,"State","MS","Category2","Four-Year"))/$B21)*100</f>
        <v>0.17353122574702595</v>
      </c>
      <c r="J21" s="32">
        <f>IF($B21&gt;0,(GETPIVOTDATA(" New Life Insurance",'$ Pivot Table'!$A$3,"State","MS","Category2","Four-Year"))/$B21)*100</f>
        <v>0.23907162795730194</v>
      </c>
      <c r="K21" s="32"/>
      <c r="L21" s="32">
        <f>IF($B21&gt;0,(GETPIVOTDATA(" New Worker's Comp",'$ Pivot Table'!$A$3,"State","MS","Category2","Four-Year"))/$B21)*100</f>
        <v>0.64363478597870749</v>
      </c>
      <c r="M21" s="32">
        <f>IF($B21&gt;0,(GETPIVOTDATA(" New Tuition Plans",'$ Pivot Table'!$A$3,"State","MS","Category2","Four-Year"))/$B21)*100</f>
        <v>2.9847881972565342</v>
      </c>
      <c r="N21" s="32">
        <f>IF($B21&gt;0,(GETPIVOTDATA(" New Other",'$ Pivot Table'!$A$3,"State","MS","Category2","Four-Year"))/$B21)*100</f>
        <v>0</v>
      </c>
      <c r="O21" s="32">
        <f>IF($B21&gt;0,(GETPIVOTDATA(" New Total",'$ Pivot Table'!$A$3,"State","MS","Category2","Four-Year"))/$B21)*100</f>
        <v>20.488052746083074</v>
      </c>
      <c r="Q21" s="165"/>
      <c r="R21" s="165"/>
      <c r="S21" s="167"/>
      <c r="T21" s="168"/>
      <c r="U21" s="1"/>
      <c r="V21" s="117"/>
      <c r="X21" s="117"/>
      <c r="Y21" s="117"/>
      <c r="AA21" s="117"/>
    </row>
    <row r="22" spans="1:27">
      <c r="A22" s="149" t="s">
        <v>487</v>
      </c>
      <c r="B22" s="617">
        <f>+'[2]OLD Tables'!N21</f>
        <v>79533.217853819646</v>
      </c>
      <c r="C22" s="32">
        <f>IF($B22&gt;0,(GETPIVOTDATA(" New Retirement",'$ Pivot Table'!$A$3,"State","NC","Category2","Four-Year"))/$B22)*100</f>
        <v>11.413066256499386</v>
      </c>
      <c r="D22" s="32">
        <f>IF($B22&gt;0,(GETPIVOTDATA(" New Health",'$ Pivot Table'!$A$3,"State","NC","Category2","Four-Year"))/$B22)*100</f>
        <v>6.1986678434930598</v>
      </c>
      <c r="E22" s="32">
        <f>IF($B22&gt;0,(GETPIVOTDATA(" New Disability",'$ Pivot Table'!$A$3,"State","NC","Category2","Four-Year"))/$B22)*100</f>
        <v>0.51813380315913637</v>
      </c>
      <c r="F22" s="32"/>
      <c r="G22" s="32">
        <f>IF($B22&gt;0,(GETPIVOTDATA(" New Social Security",'$ Pivot Table'!$A$3,"State","NC","Category2","Four-Year"))/$B22)*100</f>
        <v>7.2445121827479486</v>
      </c>
      <c r="H22" s="32"/>
      <c r="I22" s="32">
        <f>IF($B22&gt;0,(GETPIVOTDATA(" New Unemployment",'$ Pivot Table'!$A$3,"State","NC","Category2","Four-Year"))/$B22)*100</f>
        <v>8.9798963951604124E-2</v>
      </c>
      <c r="J22" s="32">
        <f>IF($B22&gt;0,(GETPIVOTDATA(" New Life Insurance",'$ Pivot Table'!$A$3,"State","NC","Category2","Four-Year"))/$B22)*100</f>
        <v>0.14323162567647785</v>
      </c>
      <c r="K22" s="32"/>
      <c r="L22" s="32">
        <f>IF($B22&gt;0,(GETPIVOTDATA(" New Worker's Comp",'$ Pivot Table'!$A$3,"State","NC","Category2","Four-Year"))/$B22)*100</f>
        <v>0.86782477718708984</v>
      </c>
      <c r="M22" s="32">
        <f>IF($B22&gt;0,(GETPIVOTDATA(" New Tuition Plans",'$ Pivot Table'!$A$3,"State","NC","Category2","Four-Year"))/$B22)*100</f>
        <v>0</v>
      </c>
      <c r="N22" s="32">
        <f>IF($B22&gt;0,(GETPIVOTDATA(" New Other",'$ Pivot Table'!$A$3,"State","NC","Category2","Four-Year"))/$B22)*100</f>
        <v>0</v>
      </c>
      <c r="O22" s="32">
        <f>IF($B22&gt;0,(GETPIVOTDATA(" New Total",'$ Pivot Table'!$A$3,"State","NC","Category2","Four-Year"))/$B22)*100</f>
        <v>26.373318832886916</v>
      </c>
      <c r="Q22" s="165"/>
      <c r="R22" s="165"/>
      <c r="S22" s="167"/>
      <c r="T22" s="168"/>
      <c r="U22" s="1"/>
      <c r="V22" s="117"/>
      <c r="X22" s="117"/>
      <c r="Y22" s="117"/>
      <c r="AA22" s="117"/>
    </row>
    <row r="23" spans="1:27">
      <c r="A23" s="149" t="s">
        <v>488</v>
      </c>
      <c r="B23" s="617">
        <f>+'[2]OLD Tables'!N22</f>
        <v>66620.046984630986</v>
      </c>
      <c r="C23" s="28">
        <f>IF($B23&gt;0,(GETPIVOTDATA(" New Retirement",'$ Pivot Table'!$A$3,"State","OK","Category2","Four-Year"))/$B23)*100</f>
        <v>18.847521306302824</v>
      </c>
      <c r="D23" s="28">
        <f>IF($B23&gt;0,(GETPIVOTDATA(" New Health",'$ Pivot Table'!$A$3,"State","OK","Category2","Four-Year"))/$B23)*100</f>
        <v>7.8717733615797165</v>
      </c>
      <c r="E23" s="28">
        <f>IF($B23&gt;0,(GETPIVOTDATA(" New Disability",'$ Pivot Table'!$A$3,"State","OK","Category2","Four-Year"))/$B23)*100</f>
        <v>0</v>
      </c>
      <c r="F23" s="28"/>
      <c r="G23" s="28">
        <f>IF($B23&gt;0,(GETPIVOTDATA(" New Social Security",'$ Pivot Table'!$A$3,"State","OK","Category2","Four-Year"))/$B23)*100</f>
        <v>7.221857085619213</v>
      </c>
      <c r="H23" s="28"/>
      <c r="I23" s="28">
        <f>IF($B23&gt;0,(GETPIVOTDATA(" New Unemployment",'$ Pivot Table'!$A$3,"State","OK","Category2","Four-Year"))/$B23)*100</f>
        <v>0.13164213239645248</v>
      </c>
      <c r="J23" s="28">
        <f>IF($B23&gt;0,(GETPIVOTDATA(" New Life Insurance",'$ Pivot Table'!$A$3,"State","OK","Category2","Four-Year"))/$B23)*100</f>
        <v>0.49643449102765103</v>
      </c>
      <c r="K23" s="28"/>
      <c r="L23" s="28">
        <f>IF($B23&gt;0,(GETPIVOTDATA(" New Worker's Comp",'$ Pivot Table'!$A$3,"State","OK","Category2","Four-Year"))/$B23)*100</f>
        <v>0.79064043142080331</v>
      </c>
      <c r="M23" s="28">
        <f>IF($B23&gt;0,(GETPIVOTDATA(" New Tuition Plans",'$ Pivot Table'!$A$3,"State","OK","Category2","Four-Year"))/$B23)*100</f>
        <v>0</v>
      </c>
      <c r="N23" s="28">
        <f>IF($B23&gt;0,(GETPIVOTDATA(" New Other",'$ Pivot Table'!$A$3,"State","OK","Category2","Four-Year"))/$B23)*100</f>
        <v>0.21401923881861967</v>
      </c>
      <c r="O23" s="28">
        <f>IF($B23&gt;0,(GETPIVOTDATA(" New Total",'$ Pivot Table'!$A$3,"State","OK","Category2","Four-Year"))/$B23)*100</f>
        <v>35.392578117519434</v>
      </c>
      <c r="Q23" s="165"/>
      <c r="R23" s="165"/>
      <c r="S23" s="167"/>
      <c r="T23" s="168"/>
      <c r="U23" s="1"/>
      <c r="V23" s="117"/>
      <c r="X23" s="117"/>
      <c r="Y23" s="117"/>
      <c r="AA23" s="117"/>
    </row>
    <row r="24" spans="1:27">
      <c r="A24" s="149" t="s">
        <v>489</v>
      </c>
      <c r="B24" s="617">
        <f>+'[2]OLD Tables'!N23</f>
        <v>70066.963346718505</v>
      </c>
      <c r="C24" s="28">
        <f>IF($B24&gt;0,(GETPIVOTDATA(" New Retirement",'$ Pivot Table'!$A$3,"State","SC","Category2","Four-Year"))/$B24)*100</f>
        <v>13.084752552348929</v>
      </c>
      <c r="D24" s="28">
        <f>IF($B24&gt;0,(GETPIVOTDATA(" New Health",'$ Pivot Table'!$A$3,"State","SC","Category2","Four-Year"))/$B24)*100</f>
        <v>7.9527003021038638</v>
      </c>
      <c r="E24" s="28">
        <f>IF($B24&gt;0,(GETPIVOTDATA(" New Disability",'$ Pivot Table'!$A$3,"State","SC","Category2","Four-Year"))/$B24)*100</f>
        <v>5.4694535298131765E-2</v>
      </c>
      <c r="F24" s="28"/>
      <c r="G24" s="28">
        <f>IF($B24&gt;0,(GETPIVOTDATA(" New Social Security",'$ Pivot Table'!$A$3,"State","SC","Category2","Four-Year"))/$B24)*100</f>
        <v>6.8086502368076687</v>
      </c>
      <c r="H24" s="28"/>
      <c r="I24" s="28">
        <f>IF($B24&gt;0,(GETPIVOTDATA(" New Unemployment",'$ Pivot Table'!$A$3,"State","SC","Category2","Four-Year"))/$B24)*100</f>
        <v>0.19466095511813056</v>
      </c>
      <c r="J24" s="28">
        <f>IF($B24&gt;0,(GETPIVOTDATA(" New Life Insurance",'$ Pivot Table'!$A$3,"State","SC","Category2","Four-Year"))/$B24)*100</f>
        <v>0.18644866495083892</v>
      </c>
      <c r="K24" s="28"/>
      <c r="L24" s="28">
        <f>IF($B24&gt;0,(GETPIVOTDATA(" New Worker's Comp",'$ Pivot Table'!$A$3,"State","SC","Category2","Four-Year"))/$B24)*100</f>
        <v>1.1132023344074571</v>
      </c>
      <c r="M24" s="28">
        <f>IF($B24&gt;0,(GETPIVOTDATA(" New Tuition Plans",'$ Pivot Table'!$A$3,"State","SC","Category2","Four-Year"))/$B24)*100</f>
        <v>0.14272061357242105</v>
      </c>
      <c r="N24" s="28">
        <f>IF($B24&gt;0,(GETPIVOTDATA(" New Other",'$ Pivot Table'!$A$3,"State","SC","Category2","Four-Year"))/$B24)*100</f>
        <v>0</v>
      </c>
      <c r="O24" s="28">
        <f>IF($B24&gt;0,(GETPIVOTDATA(" New Total",'$ Pivot Table'!$A$3,"State","SC","Category2","Four-Year"))/$B24)*100</f>
        <v>29.230233043749372</v>
      </c>
      <c r="Q24" s="165"/>
      <c r="R24" s="165"/>
      <c r="S24" s="167"/>
      <c r="T24" s="168"/>
      <c r="U24" s="1"/>
      <c r="V24" s="117"/>
      <c r="X24" s="117"/>
      <c r="Y24" s="117"/>
      <c r="AA24" s="117"/>
    </row>
    <row r="25" spans="1:27">
      <c r="A25" s="149"/>
      <c r="B25" s="617">
        <f>+'[2]OLD Tables'!N24</f>
        <v>0</v>
      </c>
      <c r="C25" s="28"/>
      <c r="D25" s="28"/>
      <c r="E25" s="28"/>
      <c r="F25" s="28"/>
      <c r="G25" s="28"/>
      <c r="H25" s="28"/>
      <c r="I25" s="28"/>
      <c r="J25" s="28"/>
      <c r="K25" s="28"/>
      <c r="L25" s="28"/>
      <c r="M25" s="28"/>
      <c r="N25" s="28"/>
      <c r="O25" s="28"/>
      <c r="Q25" s="165"/>
      <c r="R25" s="165"/>
      <c r="S25" s="167"/>
      <c r="T25" s="168"/>
      <c r="U25" s="1"/>
      <c r="V25" s="117"/>
      <c r="X25" s="117"/>
      <c r="Y25" s="117"/>
      <c r="AA25" s="117"/>
    </row>
    <row r="26" spans="1:27">
      <c r="A26" s="149" t="s">
        <v>490</v>
      </c>
      <c r="B26" s="617">
        <f>+'[2]OLD Tables'!N25</f>
        <v>67217.103449595699</v>
      </c>
      <c r="C26" s="28">
        <f>IF($B26&gt;0,(GETPIVOTDATA(" New Retirement",'$ Pivot Table'!$A$3,"State","TN","Category2","Four-Year"))/$B26)*100</f>
        <v>12.013311692997268</v>
      </c>
      <c r="D26" s="28">
        <f>IF($B26&gt;0,(GETPIVOTDATA(" New Health",'$ Pivot Table'!$A$3,"State","TN","Category2","Four-Year"))/$B26)*100</f>
        <v>13.871226870891782</v>
      </c>
      <c r="E26" s="28">
        <f>IF($B26&gt;0,(GETPIVOTDATA(" New Disability",'$ Pivot Table'!$A$3,"State","TN","Category2","Four-Year"))/$B26)*100</f>
        <v>0</v>
      </c>
      <c r="F26" s="28"/>
      <c r="G26" s="28">
        <f>IF($B26&gt;0,(GETPIVOTDATA(" New Social Security",'$ Pivot Table'!$A$3,"State","TN","Category2","Four-Year"))/$B26)*100</f>
        <v>6.5955708755543148</v>
      </c>
      <c r="H26" s="28"/>
      <c r="I26" s="58">
        <f>IF($B26&gt;0,(GETPIVOTDATA(" New Unemployment",'$ Pivot Table'!$A$3,"State","TN","Category2","Four-Year"))/$B26)*100</f>
        <v>5.481210994572009E-2</v>
      </c>
      <c r="J26" s="28">
        <f>IF($B26&gt;0,(GETPIVOTDATA(" New Life Insurance",'$ Pivot Table'!$A$3,"State","TN","Category2","Four-Year"))/$B26)*100</f>
        <v>8.2446400248352328E-2</v>
      </c>
      <c r="K26" s="28"/>
      <c r="L26" s="28">
        <f>IF($B26&gt;0,(GETPIVOTDATA(" New Worker's Comp",'$ Pivot Table'!$A$3,"State","TN","Category2","Four-Year"))/$B26)*100</f>
        <v>0.22352172180908184</v>
      </c>
      <c r="M26" s="28">
        <f>IF($B26&gt;0,(GETPIVOTDATA(" New Tuition Plans",'$ Pivot Table'!$A$3,"State","TN","Category2","Four-Year"))/$B26)*100</f>
        <v>3.7262969277420703</v>
      </c>
      <c r="N26" s="28">
        <f>IF($B26&gt;0,(GETPIVOTDATA(" New Other",'$ Pivot Table'!$A$3,"State","TN","Category2","Four-Year"))/$B26)*100</f>
        <v>2.1682568447176198</v>
      </c>
      <c r="O26" s="28">
        <f>IF($B26&gt;0,(GETPIVOTDATA(" New Total",'$ Pivot Table'!$A$3,"State","TN","Category2","Four-Year"))/$B26)*100</f>
        <v>31.949484488767204</v>
      </c>
      <c r="Q26" s="165"/>
      <c r="R26" s="165"/>
      <c r="S26" s="167"/>
      <c r="T26" s="168"/>
      <c r="U26" s="1"/>
      <c r="V26" s="117"/>
      <c r="X26" s="117"/>
      <c r="Y26" s="117"/>
      <c r="AA26" s="117"/>
    </row>
    <row r="27" spans="1:27">
      <c r="A27" s="149" t="s">
        <v>491</v>
      </c>
      <c r="B27" s="617">
        <f>+'[2]OLD Tables'!N26</f>
        <v>76261.234018070681</v>
      </c>
      <c r="C27" s="28">
        <f>IF($B27&gt;0,(GETPIVOTDATA(" New Retirement",'$ Pivot Table'!$A$3,"State","TX","Category2","Four-Year"))/$B27)*100</f>
        <v>7.5099012440265485</v>
      </c>
      <c r="D27" s="28">
        <f>IF($B27&gt;0,(GETPIVOTDATA(" New Health",'$ Pivot Table'!$A$3,"State","TX","Category2","Four-Year"))/$B27)*100</f>
        <v>7.7209949784823522</v>
      </c>
      <c r="E27" s="28">
        <f>IF($B27&gt;0,(GETPIVOTDATA(" New Disability",'$ Pivot Table'!$A$3,"State","TX","Category2","Four-Year"))/$B27)*100</f>
        <v>1.3345689950208323E-2</v>
      </c>
      <c r="G27" s="28">
        <f>IF($B27&gt;0,(GETPIVOTDATA(" New Social Security",'$ Pivot Table'!$A$3,"State","TX","Category2","Four-Year"))/$B27)*100</f>
        <v>6.9658592007984206</v>
      </c>
      <c r="I27" s="28">
        <f>IF($B27&gt;0,(GETPIVOTDATA(" New Unemployment",'$ Pivot Table'!$A$3,"State","TX","Category2","Four-Year"))/$B27)*100</f>
        <v>0.1351503014183317</v>
      </c>
      <c r="J27" s="28">
        <f>IF($B27&gt;0,(GETPIVOTDATA(" New Life Insurance",'$ Pivot Table'!$A$3,"State","TX","Category2","Four-Year"))/$B27)*100</f>
        <v>0.31170583541517377</v>
      </c>
      <c r="L27" s="28">
        <f>IF($B27&gt;0,(GETPIVOTDATA(" New Worker's Comp",'$ Pivot Table'!$A$3,"State","TX","Category2","Four-Year"))/$B27)*100</f>
        <v>0.25985214606834961</v>
      </c>
      <c r="M27" s="28">
        <f>IF($B27&gt;0,(GETPIVOTDATA(" New Tuition Plans",'$ Pivot Table'!$A$3,"State","TX","Category2","Four-Year"))/$B27)*100</f>
        <v>6.9787532313891285</v>
      </c>
      <c r="N27" s="28">
        <f>IF($B27&gt;0,(GETPIVOTDATA(" New Other",'$ Pivot Table'!$A$3,"State","TX","Category2","Four-Year"))/$B27)*100</f>
        <v>0.10204497175923079</v>
      </c>
      <c r="O27" s="28">
        <f>IF($B27&gt;0,(GETPIVOTDATA(" New Total",'$ Pivot Table'!$A$3,"State","TX","Category2","Four-Year"))/$B27)*100</f>
        <v>21.431992869102011</v>
      </c>
      <c r="Q27" s="165"/>
      <c r="R27" s="165"/>
      <c r="S27" s="167"/>
      <c r="T27" s="168"/>
      <c r="U27" s="1"/>
      <c r="V27" s="117"/>
    </row>
    <row r="28" spans="1:27">
      <c r="A28" s="149" t="s">
        <v>492</v>
      </c>
      <c r="B28" s="617">
        <f>+'[2]OLD Tables'!N27</f>
        <v>80650.084406453097</v>
      </c>
      <c r="C28" s="28">
        <f>IF($B28&gt;0,(GETPIVOTDATA(" New Retirement",'$ Pivot Table'!$A$3,"State","VA","Category2","Four-Year"))/$B28)*100</f>
        <v>10.149802062890902</v>
      </c>
      <c r="D28" s="28">
        <f>IF($B28&gt;0,(GETPIVOTDATA(" New Health",'$ Pivot Table'!$A$3,"State","VA","Category2","Four-Year"))/$B28)*100</f>
        <v>10.594389862410686</v>
      </c>
      <c r="E28" s="28">
        <f>IF($B28&gt;0,(GETPIVOTDATA(" New Disability",'$ Pivot Table'!$A$3,"State","VA","Category2","Four-Year"))/$B28)*100</f>
        <v>0.4537479527733152</v>
      </c>
      <c r="F28" s="28"/>
      <c r="G28" s="28">
        <f>IF($B28&gt;0,(GETPIVOTDATA(" New Social Security",'$ Pivot Table'!$A$3,"State","VA","Category2","Four-Year"))/$B28)*100</f>
        <v>6.8952185333453722</v>
      </c>
      <c r="H28" s="28"/>
      <c r="I28" s="58">
        <f>IF($B28&gt;0,(GETPIVOTDATA(" New Unemployment",'$ Pivot Table'!$A$3,"State","VA","Category2","Four-Year"))/$B28)*100</f>
        <v>0.16405229980568753</v>
      </c>
      <c r="J28" s="28">
        <f>IF($B28&gt;0,(GETPIVOTDATA(" New Life Insurance",'$ Pivot Table'!$A$3,"State","VA","Category2","Four-Year"))/$B28)*100</f>
        <v>0.6765492861612431</v>
      </c>
      <c r="K28" s="28"/>
      <c r="L28" s="28">
        <f>IF($B28&gt;0,(GETPIVOTDATA(" New Worker's Comp",'$ Pivot Table'!$A$3,"State","VA","Category2","Four-Year"))/$B28)*100</f>
        <v>0.54725531650928982</v>
      </c>
      <c r="M28" s="28">
        <f>IF($B28&gt;0,(GETPIVOTDATA(" New Tuition Plans",'$ Pivot Table'!$A$3,"State","VA","Category2","Four-Year"))/$B28)*100</f>
        <v>2.3434569398277958</v>
      </c>
      <c r="N28" s="28">
        <f>IF($B28&gt;0,(GETPIVOTDATA(" New Other",'$ Pivot Table'!$A$3,"State","VA","Category2","Four-Year"))/$B28)*100</f>
        <v>0.29758183362892643</v>
      </c>
      <c r="O28" s="28">
        <f>IF($B28&gt;0,(GETPIVOTDATA(" New Total",'$ Pivot Table'!$A$3,"State","VA","Category2","Four-Year"))/$B28)*100</f>
        <v>28.075973245404068</v>
      </c>
      <c r="Q28" s="165"/>
      <c r="R28" s="165"/>
      <c r="S28" s="167"/>
      <c r="T28" s="168"/>
      <c r="U28" s="1"/>
      <c r="V28" s="117"/>
    </row>
    <row r="29" spans="1:27">
      <c r="A29" s="626" t="s">
        <v>493</v>
      </c>
      <c r="B29" s="618">
        <f>+'[2]OLD Tables'!N28</f>
        <v>64924.3900046532</v>
      </c>
      <c r="C29" s="30">
        <f>IF($B29&gt;0,(GETPIVOTDATA(" New Retirement",'$ Pivot Table'!$A$3,"State","WV","Category2","Four-Year"))/$B29)*100</f>
        <v>6.6782198832143314</v>
      </c>
      <c r="D29" s="30">
        <f>IF($B29&gt;0,(GETPIVOTDATA(" New Health",'$ Pivot Table'!$A$3,"State","WV","Category2","Four-Year"))/$B29)*100</f>
        <v>9.1074512952987181</v>
      </c>
      <c r="E29" s="30">
        <f>IF($B29&gt;0,(GETPIVOTDATA(" New Disability",'$ Pivot Table'!$A$3,"State","WV","Category2","Four-Year"))/$B29)*100</f>
        <v>0</v>
      </c>
      <c r="F29" s="158"/>
      <c r="G29" s="30">
        <f>IF($B29&gt;0,(GETPIVOTDATA(" New Social Security",'$ Pivot Table'!$A$3,"State","WV","Category2","Four-Year"))/$B29)*100</f>
        <v>6.957277629927086</v>
      </c>
      <c r="H29" s="158"/>
      <c r="I29" s="158">
        <f>IF($B29&gt;0,(GETPIVOTDATA(" New Unemployment",'$ Pivot Table'!$A$3,"State","WV","Category2","Four-Year"))/$B29)*100</f>
        <v>0</v>
      </c>
      <c r="J29" s="30">
        <f>IF($B29&gt;0,(GETPIVOTDATA(" New Life Insurance",'$ Pivot Table'!$A$3,"State","WV","Category2","Four-Year"))/$B29)*100</f>
        <v>9.7350404271103544E-2</v>
      </c>
      <c r="K29" s="158"/>
      <c r="L29" s="30">
        <f>IF($B29&gt;0,(GETPIVOTDATA(" New Worker's Comp",'$ Pivot Table'!$A$3,"State","WV","Category2","Four-Year"))/$B29)*100</f>
        <v>0.51838505254950895</v>
      </c>
      <c r="M29" s="30">
        <f>IF($B29&gt;0,(GETPIVOTDATA(" New Tuition Plans",'$ Pivot Table'!$A$3,"State","WV","Category2","Four-Year"))/$B29)*100</f>
        <v>0</v>
      </c>
      <c r="N29" s="30">
        <f>IF($B29&gt;0,(GETPIVOTDATA(" New Other",'$ Pivot Table'!$A$3,"State","WV","Category2","Four-Year"))/$B29)*100</f>
        <v>0</v>
      </c>
      <c r="O29" s="30">
        <f>IF($B29&gt;0,(GETPIVOTDATA(" New Total",'$ Pivot Table'!$A$3,"State","WV","Category2","Four-Year"))/$B29)*100</f>
        <v>22.690492887487917</v>
      </c>
      <c r="Q29" s="165"/>
      <c r="R29" s="165"/>
      <c r="S29" s="167"/>
      <c r="T29" s="168"/>
      <c r="U29" s="1"/>
      <c r="V29" s="117"/>
    </row>
    <row r="30" spans="1:27">
      <c r="A30" s="627" t="s">
        <v>692</v>
      </c>
      <c r="B30" s="31"/>
      <c r="C30" s="28"/>
      <c r="D30" s="28"/>
      <c r="E30" s="28"/>
      <c r="F30" s="28"/>
      <c r="G30" s="28"/>
      <c r="H30" s="28"/>
      <c r="I30" s="28"/>
      <c r="J30" s="28"/>
      <c r="K30" s="28"/>
      <c r="L30" s="28"/>
      <c r="M30" s="28"/>
      <c r="N30" s="28"/>
      <c r="O30" s="86"/>
      <c r="Q30" s="116"/>
      <c r="R30" s="101"/>
      <c r="S30" s="103"/>
      <c r="T30" s="102"/>
      <c r="V30" s="117"/>
    </row>
    <row r="31" spans="1:27" ht="15" customHeight="1">
      <c r="A31" s="628" t="s">
        <v>14</v>
      </c>
      <c r="B31" s="45"/>
      <c r="C31" s="54"/>
      <c r="D31" s="54"/>
      <c r="E31" s="54"/>
      <c r="F31" s="54"/>
      <c r="G31" s="54"/>
      <c r="H31" s="54"/>
      <c r="I31" s="54"/>
      <c r="J31" s="54"/>
      <c r="K31" s="54"/>
      <c r="L31" s="54"/>
      <c r="M31" s="54"/>
      <c r="N31" s="54"/>
      <c r="O31" s="145"/>
    </row>
    <row r="32" spans="1:27" ht="15" customHeight="1">
      <c r="A32" s="628" t="s">
        <v>678</v>
      </c>
      <c r="B32" s="45"/>
      <c r="C32" s="54"/>
      <c r="D32" s="54"/>
      <c r="E32" s="54"/>
      <c r="F32" s="54"/>
      <c r="G32" s="54"/>
      <c r="H32" s="54"/>
      <c r="I32" s="54"/>
      <c r="J32" s="54"/>
      <c r="K32" s="54"/>
      <c r="L32" s="54"/>
      <c r="M32" s="54"/>
      <c r="N32" s="54"/>
      <c r="O32" s="145"/>
      <c r="Q32" s="151"/>
    </row>
    <row r="33" spans="1:29">
      <c r="A33" s="629"/>
      <c r="O33" s="637" t="s">
        <v>1321</v>
      </c>
      <c r="Q33" s="119"/>
      <c r="R33" s="119"/>
      <c r="S33" s="119"/>
      <c r="T33" s="119"/>
      <c r="U33" s="119"/>
      <c r="V33" s="119"/>
      <c r="W33" s="119"/>
      <c r="X33" s="119"/>
      <c r="Y33" s="119"/>
      <c r="Z33" s="119"/>
      <c r="AA33" s="119"/>
      <c r="AB33" s="119"/>
      <c r="AC33" s="119"/>
    </row>
    <row r="34" spans="1:29" ht="18">
      <c r="A34" s="595" t="s">
        <v>1101</v>
      </c>
      <c r="B34" s="48"/>
      <c r="C34" s="48"/>
      <c r="D34" s="48"/>
      <c r="E34" s="48"/>
      <c r="F34" s="48"/>
      <c r="G34" s="48"/>
      <c r="H34" s="48"/>
      <c r="I34" s="48"/>
      <c r="J34" s="48"/>
      <c r="K34" s="48"/>
      <c r="L34" s="48"/>
      <c r="M34" s="48"/>
      <c r="N34" s="48"/>
      <c r="O34" s="48"/>
    </row>
    <row r="35" spans="1:29">
      <c r="A35" s="622"/>
      <c r="B35" s="45"/>
      <c r="C35" s="54"/>
      <c r="D35" s="54"/>
      <c r="E35" s="54"/>
      <c r="F35" s="54"/>
      <c r="G35" s="54"/>
      <c r="H35" s="54"/>
      <c r="I35" s="54"/>
      <c r="J35" s="54"/>
      <c r="K35" s="54"/>
      <c r="L35" s="54"/>
      <c r="M35" s="54"/>
      <c r="N35" s="54"/>
      <c r="O35" s="145"/>
    </row>
    <row r="36" spans="1:29" ht="15.75">
      <c r="A36" s="640" t="s">
        <v>466</v>
      </c>
      <c r="B36" s="641"/>
      <c r="C36" s="641"/>
      <c r="D36" s="641"/>
      <c r="E36" s="641"/>
      <c r="F36" s="641"/>
      <c r="G36" s="641"/>
      <c r="H36" s="641"/>
      <c r="I36" s="641"/>
      <c r="J36" s="641"/>
      <c r="K36" s="641"/>
      <c r="L36" s="641"/>
      <c r="M36" s="641"/>
      <c r="N36" s="641"/>
      <c r="O36" s="641"/>
    </row>
    <row r="37" spans="1:29" ht="15.75">
      <c r="A37" s="640" t="s">
        <v>1069</v>
      </c>
      <c r="B37" s="641"/>
      <c r="C37" s="641"/>
      <c r="D37" s="641"/>
      <c r="E37" s="641"/>
      <c r="F37" s="641"/>
      <c r="G37" s="641"/>
      <c r="H37" s="641"/>
      <c r="I37" s="641"/>
      <c r="J37" s="641"/>
      <c r="K37" s="641"/>
      <c r="L37" s="641"/>
      <c r="M37" s="641"/>
      <c r="N37" s="641"/>
      <c r="O37" s="641"/>
    </row>
    <row r="38" spans="1:29">
      <c r="A38" s="148"/>
      <c r="B38" s="45"/>
      <c r="C38" s="54"/>
      <c r="D38" s="54"/>
      <c r="E38" s="54"/>
      <c r="F38" s="54"/>
      <c r="G38" s="54"/>
      <c r="H38" s="54"/>
      <c r="I38" s="54"/>
      <c r="J38" s="54"/>
      <c r="K38" s="54"/>
      <c r="L38" s="54"/>
      <c r="M38" s="54"/>
      <c r="N38" s="54"/>
      <c r="O38" s="145"/>
    </row>
    <row r="39" spans="1:29">
      <c r="A39" s="623"/>
      <c r="B39" s="2" t="s">
        <v>473</v>
      </c>
      <c r="C39" s="643" t="s">
        <v>593</v>
      </c>
      <c r="D39" s="643"/>
      <c r="E39" s="643"/>
      <c r="F39" s="643"/>
      <c r="G39" s="643"/>
      <c r="H39" s="643"/>
      <c r="I39" s="643"/>
      <c r="J39" s="643"/>
      <c r="K39" s="643"/>
      <c r="L39" s="643"/>
      <c r="M39" s="643"/>
      <c r="N39" s="643"/>
      <c r="O39" s="643"/>
    </row>
    <row r="40" spans="1:29">
      <c r="A40" s="624"/>
      <c r="B40" s="4" t="s">
        <v>474</v>
      </c>
      <c r="C40" s="3" t="s">
        <v>660</v>
      </c>
      <c r="D40" s="3"/>
      <c r="E40" s="53"/>
      <c r="F40" s="53"/>
      <c r="G40" s="3" t="s">
        <v>661</v>
      </c>
      <c r="H40" s="3"/>
      <c r="I40" s="3" t="s">
        <v>662</v>
      </c>
      <c r="J40" s="3" t="s">
        <v>663</v>
      </c>
      <c r="K40" s="3"/>
      <c r="L40" s="3" t="s">
        <v>664</v>
      </c>
      <c r="M40" s="3" t="s">
        <v>665</v>
      </c>
      <c r="N40" s="3"/>
      <c r="O40" s="124" t="s">
        <v>475</v>
      </c>
    </row>
    <row r="41" spans="1:29" ht="14.1" customHeight="1">
      <c r="A41" s="625"/>
      <c r="B41" s="18" t="s">
        <v>476</v>
      </c>
      <c r="C41" s="16" t="s">
        <v>667</v>
      </c>
      <c r="D41" s="16" t="s">
        <v>708</v>
      </c>
      <c r="E41" s="17" t="s">
        <v>709</v>
      </c>
      <c r="F41" s="17"/>
      <c r="G41" s="16" t="s">
        <v>668</v>
      </c>
      <c r="H41" s="16"/>
      <c r="I41" s="16" t="s">
        <v>667</v>
      </c>
      <c r="J41" s="16" t="s">
        <v>669</v>
      </c>
      <c r="K41" s="16"/>
      <c r="L41" s="16" t="s">
        <v>670</v>
      </c>
      <c r="M41" s="16" t="s">
        <v>671</v>
      </c>
      <c r="N41" s="16" t="s">
        <v>701</v>
      </c>
      <c r="O41" s="146" t="s">
        <v>15</v>
      </c>
    </row>
    <row r="42" spans="1:29">
      <c r="A42" s="149" t="s">
        <v>600</v>
      </c>
      <c r="B42" s="31">
        <f>+'[2]OLD Tables'!B8</f>
        <v>84009.036482834694</v>
      </c>
      <c r="C42" s="32">
        <f>IF($B42&gt;0,(GETPIVOTDATA(" New Retirement",'$ Pivot Table'!$A$3,"Category",1,"Category2","Four-Year"))/$B42)*100</f>
        <v>10.862197502668613</v>
      </c>
      <c r="D42" s="32">
        <f>IF($B42&gt;0,(GETPIVOTDATA(" New Health",'$ Pivot Table'!$A$3,"Category",1,"Category2","Four-Year"))/$B42)*100</f>
        <v>8.6129563973709722</v>
      </c>
      <c r="E42" s="32">
        <f>IF($B42&gt;0,(GETPIVOTDATA(" New Disability",'$ Pivot Table'!$A$3,"Category",1,"Category2","Four-Year"))/$B42)*100</f>
        <v>0.37008490386422671</v>
      </c>
      <c r="F42" s="32"/>
      <c r="G42" s="32">
        <f>IF($B42&gt;0,(GETPIVOTDATA(" New Social Security",'$ Pivot Table'!$A$3,"Category",1,"Category2","Four-Year"))/$B42)*100</f>
        <v>6.7255192385278173</v>
      </c>
      <c r="H42" s="32"/>
      <c r="I42" s="32">
        <f>IF($B42&gt;0,(GETPIVOTDATA(" New Unemployment",'$ Pivot Table'!$A$3,"Category",1,"Category2","Four-Year"))/$B42)*100</f>
        <v>0.15746061117011317</v>
      </c>
      <c r="J42" s="32">
        <f>IF($B42&gt;0,(GETPIVOTDATA(" New Life Insurance",'$ Pivot Table'!$A$3,"Category",1,"Category2","Four-Year"))/$B42)*100</f>
        <v>0.23516784952661943</v>
      </c>
      <c r="K42" s="32"/>
      <c r="L42" s="32">
        <f>IF($B42&gt;0,(GETPIVOTDATA(" New Worker's Comp",'$ Pivot Table'!$A$3,"Category",1,"Category2","Four-Year"))/$B42)*100</f>
        <v>0.43155044222433803</v>
      </c>
      <c r="M42" s="32">
        <f>IF($B42&gt;0,(GETPIVOTDATA(" New Tuition Plans",'$ Pivot Table'!$A$3,"Category",1,"Category2","Four-Year"))/$B42)*100</f>
        <v>6.1788981298995616</v>
      </c>
      <c r="N42" s="32">
        <f>IF($B42&gt;0,(GETPIVOTDATA(" New Other",'$ Pivot Table'!$A$3,"Category",1,"Category2","Four-Year"))/$B42)*100</f>
        <v>0.90875809641301086</v>
      </c>
      <c r="O42" s="90">
        <f>IF($B42&gt;0,(GETPIVOTDATA(" New Total",'$ Pivot Table'!$A$3,"Category",1,"Category2","Four-Year"))/$B42)*100</f>
        <v>26.08788419201074</v>
      </c>
    </row>
    <row r="43" spans="1:29">
      <c r="A43" s="149"/>
      <c r="B43" s="31">
        <f>+'[3]OLD Tables 107-126'!B9</f>
        <v>0</v>
      </c>
      <c r="C43" s="32"/>
      <c r="D43" s="34"/>
      <c r="E43" s="32"/>
      <c r="F43" s="32"/>
      <c r="G43" s="32"/>
      <c r="H43" s="32"/>
      <c r="I43" s="32"/>
      <c r="J43" s="32"/>
      <c r="K43" s="32"/>
      <c r="L43" s="32"/>
      <c r="M43" s="32"/>
      <c r="N43" s="32"/>
      <c r="O43" s="90"/>
    </row>
    <row r="44" spans="1:29">
      <c r="A44" s="149" t="s">
        <v>479</v>
      </c>
      <c r="B44" s="617">
        <f>+'[2]OLD Tables'!B10</f>
        <v>79795.660453619479</v>
      </c>
      <c r="C44" s="32">
        <f>IF($B44&gt;0,(GETPIVOTDATA(" New Retirement",'$ Pivot Table'!$A$3,"State","AL","Category",1,"Category2","Four-Year"))/$B44)*100</f>
        <v>16.304600868404432</v>
      </c>
      <c r="D44" s="32">
        <f>IF($B44&gt;0,(GETPIVOTDATA(" New Health",'$ Pivot Table'!$A$3,"State","AL","Category",1,"Category2","Four-Year"))/$B44)*100</f>
        <v>8.915562925917925</v>
      </c>
      <c r="E44" s="32">
        <f>IF($B44&gt;0,(GETPIVOTDATA(" New Disability",'$ Pivot Table'!$A$3,"State","AL","Category",1,"Category2","Four-Year"))/$B44)*100</f>
        <v>0.3768928529977032</v>
      </c>
      <c r="F44" s="32"/>
      <c r="G44" s="32">
        <f>IF($B44&gt;0,(GETPIVOTDATA(" New Social Security",'$ Pivot Table'!$A$3,"State","AL","Category",1,"Category2","Four-Year"))/$B44)*100</f>
        <v>7.4287719246329988</v>
      </c>
      <c r="H44" s="32"/>
      <c r="I44" s="32">
        <f>IF($B44&gt;0,(GETPIVOTDATA(" New Unemployment",'$ Pivot Table'!$A$3,"State","AL","Category",1,"Category2","Four-Year"))/$B44)*100</f>
        <v>0.10409427401294534</v>
      </c>
      <c r="J44" s="32">
        <f>IF($B44&gt;0,(GETPIVOTDATA(" New Life Insurance",'$ Pivot Table'!$A$3,"State","AL","Category",1,"Category2","Four-Year"))/$B44)*100</f>
        <v>0.14384342896886471</v>
      </c>
      <c r="K44" s="32"/>
      <c r="L44" s="32">
        <f>IF($B44&gt;0,(GETPIVOTDATA(" New Worker's Comp",'$ Pivot Table'!$A$3,"State","AL","Category",1,"Category2","Four-Year"))/$B44)*100</f>
        <v>8.1180225070105083E-2</v>
      </c>
      <c r="M44" s="32">
        <f>IF($B44&gt;0,(GETPIVOTDATA(" New Tuition Plans",'$ Pivot Table'!$A$3,"State","AL","Category",1,"Category2","Four-Year"))/$B44)*100</f>
        <v>6.6947889287434936</v>
      </c>
      <c r="N44" s="32">
        <f>IF($B44&gt;0,(GETPIVOTDATA(" New Other",'$ Pivot Table'!$A$3,"State","AL","Category",1,"Category2","Four-Year"))/$B44)*100</f>
        <v>3.1167982984232956</v>
      </c>
      <c r="O44" s="90">
        <f>IF($B44&gt;0,(GETPIVOTDATA(" New Total",'$ Pivot Table'!$A$3,"State","AL","Category",1,"Category2","Four-Year"))/$B44)*100</f>
        <v>32.296236932695592</v>
      </c>
    </row>
    <row r="45" spans="1:29">
      <c r="A45" s="149" t="s">
        <v>480</v>
      </c>
      <c r="B45" s="617">
        <f>+'[2]OLD Tables'!B11</f>
        <v>76750.922739427304</v>
      </c>
      <c r="C45" s="32">
        <f>IF($B45&gt;0,(GETPIVOTDATA(" New Retirement",'$ Pivot Table'!$A$3,"State","AR","Category",1,"Category2","Four-Year"))/$B45)*100</f>
        <v>9.0677534986896813</v>
      </c>
      <c r="D45" s="32">
        <f>IF($B45&gt;0,(GETPIVOTDATA(" New Health",'$ Pivot Table'!$A$3,"State","AR","Category",1,"Category2","Four-Year"))/$B45)*100</f>
        <v>8.8826783507868683</v>
      </c>
      <c r="E45" s="32">
        <f>IF($B45&gt;0,(GETPIVOTDATA(" New Disability",'$ Pivot Table'!$A$3,"State","AR","Category",1,"Category2","Four-Year"))/$B45)*100</f>
        <v>7.1947319787211694E-2</v>
      </c>
      <c r="F45" s="32"/>
      <c r="G45" s="32">
        <f>IF($B45&gt;0,(GETPIVOTDATA(" New Social Security",'$ Pivot Table'!$A$3,"State","AR","Category",1,"Category2","Four-Year"))/$B45)*100</f>
        <v>7.2679200079341406</v>
      </c>
      <c r="H45" s="32"/>
      <c r="I45" s="32">
        <f>IF($B45&gt;0,(GETPIVOTDATA(" New Unemployment",'$ Pivot Table'!$A$3,"State","AR","Category",1,"Category2","Four-Year"))/$B45)*100</f>
        <v>0.44515518783489699</v>
      </c>
      <c r="J45" s="32">
        <f>IF($B45&gt;0,(GETPIVOTDATA(" New Life Insurance",'$ Pivot Table'!$A$3,"State","AR","Category",1,"Category2","Four-Year"))/$B45)*100</f>
        <v>0.18193550396295041</v>
      </c>
      <c r="K45" s="32"/>
      <c r="L45" s="32">
        <f>IF($B45&gt;0,(GETPIVOTDATA(" New Worker's Comp",'$ Pivot Table'!$A$3,"State","AR","Category",1,"Category2","Four-Year"))/$B45)*100</f>
        <v>0.33328316273087344</v>
      </c>
      <c r="M45" s="32">
        <f>IF($B45&gt;0,(GETPIVOTDATA(" New Tuition Plans",'$ Pivot Table'!$A$3,"State","AR","Category",1,"Category2","Four-Year"))/$B45)*100</f>
        <v>2.7165289543678472</v>
      </c>
      <c r="N45" s="32">
        <f>IF($B45&gt;0,(GETPIVOTDATA(" New Other",'$ Pivot Table'!$A$3,"State","AR","Category",1,"Category2","Four-Year"))/$B45)*100</f>
        <v>0</v>
      </c>
      <c r="O45" s="90">
        <f>IF($B45&gt;0,(GETPIVOTDATA(" New Total",'$ Pivot Table'!$A$3,"State","AR","Category",1,"Category2","Four-Year"))/$B45)*100</f>
        <v>25.332989368540872</v>
      </c>
    </row>
    <row r="46" spans="1:29">
      <c r="A46" s="149" t="s">
        <v>494</v>
      </c>
      <c r="B46" s="617">
        <f>+'[2]OLD Tables'!B12</f>
        <v>98168.273375359713</v>
      </c>
      <c r="C46" s="32">
        <f>IF($B46&gt;0,(GETPIVOTDATA(" New Retirement",'$ Pivot Table'!$A$3,"State","DE","Category",1,"Category2","Four-Year"))/$B46)*100</f>
        <v>11.165573073176461</v>
      </c>
      <c r="D46" s="32">
        <f>IF($B46&gt;0,(GETPIVOTDATA(" New Health",'$ Pivot Table'!$A$3,"State","DE","Category",1,"Category2","Four-Year"))/$B46)*100</f>
        <v>12.156001302039117</v>
      </c>
      <c r="E46" s="32">
        <f>IF($B46&gt;0,(GETPIVOTDATA(" New Disability",'$ Pivot Table'!$A$3,"State","DE","Category",1,"Category2","Four-Year"))/$B46)*100</f>
        <v>0.28289500703576581</v>
      </c>
      <c r="F46" s="32"/>
      <c r="G46" s="32">
        <f>IF($B46&gt;0,(GETPIVOTDATA(" New Social Security",'$ Pivot Table'!$A$3,"State","DE","Category",1,"Category2","Four-Year"))/$B46)*100</f>
        <v>7.0064590345501747</v>
      </c>
      <c r="H46" s="32"/>
      <c r="I46" s="32">
        <f>IF($B46&gt;0,(GETPIVOTDATA(" New Unemployment",'$ Pivot Table'!$A$3,"State","DE","Category",1,"Category2","Four-Year"))/$B46)*100</f>
        <v>0.20780644599908399</v>
      </c>
      <c r="J46" s="32">
        <f>IF($B46&gt;0,(GETPIVOTDATA(" New Life Insurance",'$ Pivot Table'!$A$3,"State","DE","Category",1,"Category2","Four-Year"))/$B46)*100</f>
        <v>0.33476271070309227</v>
      </c>
      <c r="K46" s="32"/>
      <c r="L46" s="32">
        <f>IF($B46&gt;0,(GETPIVOTDATA(" New Worker's Comp",'$ Pivot Table'!$A$3,"State","DE","Category",1,"Category2","Four-Year"))/$B46)*100</f>
        <v>0.32582035217118799</v>
      </c>
      <c r="M46" s="32">
        <f>IF($B46&gt;0,(GETPIVOTDATA(" New Tuition Plans",'$ Pivot Table'!$A$3,"State","DE","Category",1,"Category2","Four-Year"))/$B46)*100</f>
        <v>8.7821970518176009</v>
      </c>
      <c r="N46" s="32">
        <f>IF($B46&gt;0,(GETPIVOTDATA(" New Other",'$ Pivot Table'!$A$3,"State","DE","Category",1,"Category2","Four-Year"))/$B46)*100</f>
        <v>0</v>
      </c>
      <c r="O46" s="90">
        <f>IF($B46&gt;0,(GETPIVOTDATA(" New Total",'$ Pivot Table'!$A$3,"State","DE","Category",1,"Category2","Four-Year"))/$B46)*100</f>
        <v>32.500331702949062</v>
      </c>
    </row>
    <row r="47" spans="1:29">
      <c r="A47" s="149" t="s">
        <v>481</v>
      </c>
      <c r="B47" s="617">
        <f>+'[2]OLD Tables'!B13</f>
        <v>80136.293242337037</v>
      </c>
      <c r="C47" s="32">
        <f>IF($B47&gt;0,(GETPIVOTDATA(" New Retirement",'$ Pivot Table'!$A$3,"State","FL","Category",1,"Category2","Four-Year"))/$B47)*100</f>
        <v>10.660199582026413</v>
      </c>
      <c r="D47" s="32">
        <f>IF($B47&gt;0,(GETPIVOTDATA(" New Health",'$ Pivot Table'!$A$3,"State","FL","Category",1,"Category2","Four-Year"))/$B47)*100</f>
        <v>11.699925527908528</v>
      </c>
      <c r="E47" s="32">
        <f>IF($B47&gt;0,(GETPIVOTDATA(" New Disability",'$ Pivot Table'!$A$3,"State","FL","Category",1,"Category2","Four-Year"))/$B47)*100</f>
        <v>0</v>
      </c>
      <c r="F47" s="32"/>
      <c r="G47" s="32">
        <f>IF($B47&gt;0,(GETPIVOTDATA(" New Social Security",'$ Pivot Table'!$A$3,"State","FL","Category",1,"Category2","Four-Year"))/$B47)*100</f>
        <v>6.8034950682371198</v>
      </c>
      <c r="H47" s="32"/>
      <c r="I47" s="32">
        <f>IF($B47&gt;0,(GETPIVOTDATA(" New Unemployment",'$ Pivot Table'!$A$3,"State","FL","Category",1,"Category2","Four-Year"))/$B47)*100</f>
        <v>0.27592970119224625</v>
      </c>
      <c r="J47" s="32">
        <f>IF($B47&gt;0,(GETPIVOTDATA(" New Life Insurance",'$ Pivot Table'!$A$3,"State","FL","Category",1,"Category2","Four-Year"))/$B47)*100</f>
        <v>0.26455744995563479</v>
      </c>
      <c r="K47" s="32"/>
      <c r="L47" s="32">
        <f>IF($B47&gt;0,(GETPIVOTDATA(" New Worker's Comp",'$ Pivot Table'!$A$3,"State","FL","Category",1,"Category2","Four-Year"))/$B47)*100</f>
        <v>0.40444114664230307</v>
      </c>
      <c r="M47" s="32">
        <f>IF($B47&gt;0,(GETPIVOTDATA(" New Tuition Plans",'$ Pivot Table'!$A$3,"State","FL","Category",1,"Category2","Four-Year"))/$B47)*100</f>
        <v>0</v>
      </c>
      <c r="N47" s="32">
        <f>IF($B47&gt;0,(GETPIVOTDATA(" New Other",'$ Pivot Table'!$A$3,"State","FL","Category",1,"Category2","Four-Year"))/$B47)*100</f>
        <v>0</v>
      </c>
      <c r="O47" s="90">
        <f>IF($B47&gt;0,(GETPIVOTDATA(" New Total",'$ Pivot Table'!$A$3,"State","FL","Category",1,"Category2","Four-Year"))/$B47)*100</f>
        <v>29.083157971018807</v>
      </c>
    </row>
    <row r="48" spans="1:29">
      <c r="A48" s="149"/>
      <c r="B48" s="617">
        <f>+'[2]OLD Tables'!B14</f>
        <v>0</v>
      </c>
      <c r="C48" s="32"/>
      <c r="D48" s="34"/>
      <c r="E48" s="32"/>
      <c r="F48" s="32"/>
      <c r="G48" s="32"/>
      <c r="H48" s="32"/>
      <c r="I48" s="32"/>
      <c r="J48" s="32"/>
      <c r="K48" s="32"/>
      <c r="L48" s="32"/>
      <c r="M48" s="32"/>
      <c r="N48" s="32"/>
      <c r="O48" s="90"/>
    </row>
    <row r="49" spans="1:15">
      <c r="A49" s="149" t="s">
        <v>482</v>
      </c>
      <c r="B49" s="617">
        <f>+'[2]OLD Tables'!B15</f>
        <v>82608.400718853911</v>
      </c>
      <c r="C49" s="32">
        <f>IF($B49&gt;0,(GETPIVOTDATA(" New Retirement",'$ Pivot Table'!$A$3,"State","GA","Category",1,"Category2","Four-Year"))/$B49)*100</f>
        <v>9.6730195736330931</v>
      </c>
      <c r="D49" s="32">
        <f>IF($B49&gt;0,(GETPIVOTDATA(" New Health",'$ Pivot Table'!$A$3,"State","GA","Category",1,"Category2","Four-Year"))/$B49)*100</f>
        <v>8.9481355772375668</v>
      </c>
      <c r="E49" s="32">
        <f>IF($B49&gt;0,(GETPIVOTDATA(" New Disability",'$ Pivot Table'!$A$3,"State","GA","Category",1,"Category2","Four-Year"))/$B49)*100</f>
        <v>0</v>
      </c>
      <c r="F49" s="32"/>
      <c r="G49" s="32">
        <f>IF($B49&gt;0,(GETPIVOTDATA(" New Social Security",'$ Pivot Table'!$A$3,"State","GA","Category",1,"Category2","Four-Year"))/$B49)*100</f>
        <v>7.1241560488052649</v>
      </c>
      <c r="H49" s="32"/>
      <c r="I49" s="32">
        <f>IF($B49&gt;0,(GETPIVOTDATA(" New Unemployment",'$ Pivot Table'!$A$3,"State","GA","Category",1,"Category2","Four-Year"))/$B49)*100</f>
        <v>0.17068481991301793</v>
      </c>
      <c r="J49" s="32">
        <f>IF($B49&gt;0,(GETPIVOTDATA(" New Life Insurance",'$ Pivot Table'!$A$3,"State","GA","Category",1,"Category2","Four-Year"))/$B49)*100</f>
        <v>0.13013017101112498</v>
      </c>
      <c r="K49" s="32"/>
      <c r="L49" s="32">
        <f>IF($B49&gt;0,(GETPIVOTDATA(" New Worker's Comp",'$ Pivot Table'!$A$3,"State","GA","Category",1,"Category2","Four-Year"))/$B49)*100</f>
        <v>0.1513293963050687</v>
      </c>
      <c r="M49" s="32">
        <f>IF($B49&gt;0,(GETPIVOTDATA(" New Tuition Plans",'$ Pivot Table'!$A$3,"State","GA","Category",1,"Category2","Four-Year"))/$B49)*100</f>
        <v>0</v>
      </c>
      <c r="N49" s="32">
        <f>IF($B49&gt;0,(GETPIVOTDATA(" New Other",'$ Pivot Table'!$A$3,"State","GA","Category",1,"Category2","Four-Year"))/$B49)*100</f>
        <v>0</v>
      </c>
      <c r="O49" s="90">
        <f>IF($B49&gt;0,(GETPIVOTDATA(" New Total",'$ Pivot Table'!$A$3,"State","GA","Category",1,"Category2","Four-Year"))/$B49)*100</f>
        <v>24.894582078308009</v>
      </c>
    </row>
    <row r="50" spans="1:15">
      <c r="A50" s="149" t="s">
        <v>483</v>
      </c>
      <c r="B50" s="617">
        <f>+'[2]OLD Tables'!B16</f>
        <v>78918.481451703221</v>
      </c>
      <c r="C50" s="32">
        <f>IF($B50&gt;0,(GETPIVOTDATA(" New Retirement",'$ Pivot Table'!$A$3,"State","KY","Category",1,"Category2","Four-Year"))/$B50)*100</f>
        <v>10.14522485362682</v>
      </c>
      <c r="D50" s="32">
        <f>IF($B50&gt;0,(GETPIVOTDATA(" New Health",'$ Pivot Table'!$A$3,"State","KY","Category",1,"Category2","Four-Year"))/$B50)*100</f>
        <v>8.7705511919140644</v>
      </c>
      <c r="E50" s="32">
        <f>IF($B50&gt;0,(GETPIVOTDATA(" New Disability",'$ Pivot Table'!$A$3,"State","KY","Category",1,"Category2","Four-Year"))/$B50)*100</f>
        <v>0.18246676488336333</v>
      </c>
      <c r="F50" s="32"/>
      <c r="G50" s="32">
        <f>IF($B50&gt;0,(GETPIVOTDATA(" New Social Security",'$ Pivot Table'!$A$3,"State","KY","Category",1,"Category2","Four-Year"))/$B50)*100</f>
        <v>8.0697403878456857</v>
      </c>
      <c r="H50" s="32"/>
      <c r="I50" s="32">
        <f>IF($B50&gt;0,(GETPIVOTDATA(" New Unemployment",'$ Pivot Table'!$A$3,"State","KY","Category",1,"Category2","Four-Year"))/$B50)*100</f>
        <v>0.20286716100251598</v>
      </c>
      <c r="J50" s="32">
        <f>IF($B50&gt;0,(GETPIVOTDATA(" New Life Insurance",'$ Pivot Table'!$A$3,"State","KY","Category",1,"Category2","Four-Year"))/$B50)*100</f>
        <v>0.26832128648125181</v>
      </c>
      <c r="K50" s="56"/>
      <c r="L50" s="32">
        <f>IF($B50&gt;0,(GETPIVOTDATA(" New Worker's Comp",'$ Pivot Table'!$A$3,"State","KY","Category",1,"Category2","Four-Year"))/$B50)*100</f>
        <v>0.53179938016666251</v>
      </c>
      <c r="M50" s="32">
        <f>IF($B50&gt;0,(GETPIVOTDATA(" New Tuition Plans",'$ Pivot Table'!$A$3,"State","KY","Category",1,"Category2","Four-Year"))/$B50)*100</f>
        <v>9.9272600194891023</v>
      </c>
      <c r="N50" s="32">
        <f>IF($B50&gt;0,(GETPIVOTDATA(" New Other",'$ Pivot Table'!$A$3,"State","KY","Category",1,"Category2","Four-Year"))/$B50)*100</f>
        <v>0.46376969407854846</v>
      </c>
      <c r="O50" s="90">
        <f>IF($B50&gt;0,(GETPIVOTDATA(" New Total",'$ Pivot Table'!$A$3,"State","KY","Category",1,"Category2","Four-Year"))/$B50)*100</f>
        <v>27.593444057613592</v>
      </c>
    </row>
    <row r="51" spans="1:15">
      <c r="A51" s="149" t="s">
        <v>484</v>
      </c>
      <c r="B51" s="617">
        <f>+'[2]OLD Tables'!B17</f>
        <v>80885.909835555562</v>
      </c>
      <c r="C51" s="32">
        <f>IF($B51&gt;0,(GETPIVOTDATA(" New Retirement",'$ Pivot Table'!$A$3,"State","LA","Category",1,"Category2","Four-Year"))/$B51)*100</f>
        <v>14.208807897951464</v>
      </c>
      <c r="D51" s="32">
        <f>IF($B51&gt;0,(GETPIVOTDATA(" New Health",'$ Pivot Table'!$A$3,"State","LA","Category",1,"Category2","Four-Year"))/$B51)*100</f>
        <v>7.4175754386552049</v>
      </c>
      <c r="E51" s="32">
        <f>IF($B51&gt;0,(GETPIVOTDATA(" New Disability",'$ Pivot Table'!$A$3,"State","LA","Category",1,"Category2","Four-Year"))/$B51)*100</f>
        <v>0</v>
      </c>
      <c r="F51" s="32"/>
      <c r="G51" s="90">
        <f>IF($B51&gt;0,(GETPIVOTDATA(" New Social Security",'$ Pivot Table'!$A$3,"State","LA","Category",1,"Category2","Four-Year"))/$B51)*100</f>
        <v>1.2119655570199699</v>
      </c>
      <c r="H51" s="91" t="s">
        <v>468</v>
      </c>
      <c r="I51" s="32">
        <f>IF($B51&gt;0,(GETPIVOTDATA(" New Unemployment",'$ Pivot Table'!$A$3,"State","LA","Category",1,"Category2","Four-Year"))/$B51)*100</f>
        <v>0</v>
      </c>
      <c r="J51" s="32">
        <f>IF($B51&gt;0,(GETPIVOTDATA(" New Life Insurance",'$ Pivot Table'!$A$3,"State","LA","Category",1,"Category2","Four-Year"))/$B51)*100</f>
        <v>0.23532793454306769</v>
      </c>
      <c r="K51" s="32"/>
      <c r="L51" s="32">
        <f>IF($B51&gt;0,(GETPIVOTDATA(" New Worker's Comp",'$ Pivot Table'!$A$3,"State","LA","Category",1,"Category2","Four-Year"))/$B51)*100</f>
        <v>0.53957450083187242</v>
      </c>
      <c r="M51" s="32">
        <f>IF($B51&gt;0,(GETPIVOTDATA(" New Tuition Plans",'$ Pivot Table'!$A$3,"State","LA","Category",1,"Category2","Four-Year"))/$B51)*100</f>
        <v>0</v>
      </c>
      <c r="N51" s="32">
        <f>IF($B51&gt;0,(GETPIVOTDATA(" New Other",'$ Pivot Table'!$A$3,"State","LA","Category",1,"Category2","Four-Year"))/$B51)*100</f>
        <v>0</v>
      </c>
      <c r="O51" s="90">
        <f>IF($B51&gt;0,(GETPIVOTDATA(" New Total",'$ Pivot Table'!$A$3,"State","LA","Category",1,"Category2","Four-Year"))/$B51)*100</f>
        <v>22.240471503392023</v>
      </c>
    </row>
    <row r="52" spans="1:15">
      <c r="A52" s="149" t="s">
        <v>485</v>
      </c>
      <c r="B52" s="617">
        <f>+'[2]OLD Tables'!B18</f>
        <v>103615.90642451914</v>
      </c>
      <c r="C52" s="32">
        <f>IF($B52&gt;0,(GETPIVOTDATA(" New Retirement",'$ Pivot Table'!$A$3,"State","MD","Category",1,"Category2","Four-Year"))/$B52)*100</f>
        <v>7.8320481228910959</v>
      </c>
      <c r="D52" s="32">
        <f>IF($B52&gt;0,(GETPIVOTDATA(" New Health",'$ Pivot Table'!$A$3,"State","MD","Category",1,"Category2","Four-Year"))/$B52)*100</f>
        <v>8.891491970599489</v>
      </c>
      <c r="E52" s="32">
        <f>IF($B52&gt;0,(GETPIVOTDATA(" New Disability",'$ Pivot Table'!$A$3,"State","MD","Category",1,"Category2","Four-Year"))/$B52)*100</f>
        <v>0</v>
      </c>
      <c r="F52" s="32"/>
      <c r="G52" s="32">
        <f>IF($B52&gt;0,(GETPIVOTDATA(" New Social Security",'$ Pivot Table'!$A$3,"State","MD","Category",1,"Category2","Four-Year"))/$B52)*100</f>
        <v>6.3035635384960296</v>
      </c>
      <c r="H52" s="32"/>
      <c r="I52" s="32">
        <f>IF($B52&gt;0,(GETPIVOTDATA(" New Unemployment",'$ Pivot Table'!$A$3,"State","MD","Category",1,"Category2","Four-Year"))/$B52)*100</f>
        <v>0.1064179891361397</v>
      </c>
      <c r="J52" s="32">
        <f>IF($B52&gt;0,(GETPIVOTDATA(" New Life Insurance",'$ Pivot Table'!$A$3,"State","MD","Category",1,"Category2","Four-Year"))/$B52)*100</f>
        <v>0</v>
      </c>
      <c r="K52" s="32"/>
      <c r="L52" s="32">
        <f>IF($B52&gt;0,(GETPIVOTDATA(" New Worker's Comp",'$ Pivot Table'!$A$3,"State","MD","Category",1,"Category2","Four-Year"))/$B52)*100</f>
        <v>0.3075228873150781</v>
      </c>
      <c r="M52" s="32">
        <f>IF($B52&gt;0,(GETPIVOTDATA(" New Tuition Plans",'$ Pivot Table'!$A$3,"State","MD","Category",1,"Category2","Four-Year"))/$B52)*100</f>
        <v>4.3588261544836353</v>
      </c>
      <c r="N52" s="32">
        <f>IF($B52&gt;0,(GETPIVOTDATA(" New Other",'$ Pivot Table'!$A$3,"State","MD","Category",1,"Category2","Four-Year"))/$B52)*100</f>
        <v>0</v>
      </c>
      <c r="O52" s="90">
        <f>IF($B52&gt;0,(GETPIVOTDATA(" New Total",'$ Pivot Table'!$A$3,"State","MD","Category",1,"Category2","Four-Year"))/$B52)*100</f>
        <v>24.117885494740364</v>
      </c>
    </row>
    <row r="53" spans="1:15">
      <c r="A53" s="149"/>
      <c r="B53" s="617">
        <f>+'[2]OLD Tables'!B19</f>
        <v>0</v>
      </c>
      <c r="C53" s="32"/>
      <c r="D53" s="34"/>
      <c r="E53" s="32"/>
      <c r="F53" s="32"/>
      <c r="G53" s="32"/>
      <c r="H53" s="32"/>
      <c r="I53" s="32"/>
      <c r="J53" s="32"/>
      <c r="K53" s="32"/>
      <c r="L53" s="32"/>
      <c r="M53" s="32"/>
      <c r="N53" s="32"/>
      <c r="O53" s="90"/>
    </row>
    <row r="54" spans="1:15">
      <c r="A54" s="149" t="s">
        <v>486</v>
      </c>
      <c r="B54" s="617">
        <f>+'[2]OLD Tables'!B20</f>
        <v>64519.903135105742</v>
      </c>
      <c r="C54" s="32">
        <f>IF($B54&gt;0,(GETPIVOTDATA(" New Retirement",'$ Pivot Table'!$A$3,"State","MS","Category",1,"Category2","Four-Year"))/$B54)*100</f>
        <v>11.865523218301496</v>
      </c>
      <c r="D54" s="32">
        <f>IF($B54&gt;0,(GETPIVOTDATA(" New Health",'$ Pivot Table'!$A$3,"State","MS","Category",1,"Category2","Four-Year"))/$B54)*100</f>
        <v>3.2990356506705591</v>
      </c>
      <c r="E54" s="32">
        <f>IF($B54&gt;0,(GETPIVOTDATA(" New Disability",'$ Pivot Table'!$A$3,"State","MS","Category",1,"Category2","Four-Year"))/$B54)*100</f>
        <v>0</v>
      </c>
      <c r="F54" s="32"/>
      <c r="G54" s="32">
        <f>IF($B54&gt;0,(GETPIVOTDATA(" New Social Security",'$ Pivot Table'!$A$3,"State","MS","Category",1,"Category2","Four-Year"))/$B54)*100</f>
        <v>5.5290582783657438</v>
      </c>
      <c r="H54" s="32"/>
      <c r="I54" s="32">
        <f>IF($B54&gt;0,(GETPIVOTDATA(" New Unemployment",'$ Pivot Table'!$A$3,"State","MS","Category",1,"Category2","Four-Year"))/$B54)*100</f>
        <v>0.11989814590356107</v>
      </c>
      <c r="J54" s="32">
        <f>IF($B54&gt;0,(GETPIVOTDATA(" New Life Insurance",'$ Pivot Table'!$A$3,"State","MS","Category",1,"Category2","Four-Year"))/$B54)*100</f>
        <v>0.19326016432655524</v>
      </c>
      <c r="K54" s="32"/>
      <c r="L54" s="32">
        <f>IF($B54&gt;0,(GETPIVOTDATA(" New Worker's Comp",'$ Pivot Table'!$A$3,"State","MS","Category",1,"Category2","Four-Year"))/$B54)*100</f>
        <v>0.64148852023528857</v>
      </c>
      <c r="M54" s="32">
        <f>IF($B54&gt;0,(GETPIVOTDATA(" New Tuition Plans",'$ Pivot Table'!$A$3,"State","MS","Category",1,"Category2","Four-Year"))/$B54)*100</f>
        <v>2.0538069980351246</v>
      </c>
      <c r="N54" s="32">
        <f>IF($B54&gt;0,(GETPIVOTDATA(" New Other",'$ Pivot Table'!$A$3,"State","MS","Category",1,"Category2","Four-Year"))/$B54)*100</f>
        <v>0</v>
      </c>
      <c r="O54" s="90">
        <f>IF($B54&gt;0,(GETPIVOTDATA(" New Total",'$ Pivot Table'!$A$3,"State","MS","Category",1,"Category2","Four-Year"))/$B54)*100</f>
        <v>16.921832519974696</v>
      </c>
    </row>
    <row r="55" spans="1:15">
      <c r="A55" s="149" t="s">
        <v>487</v>
      </c>
      <c r="B55" s="617">
        <f>+'[2]OLD Tables'!B21</f>
        <v>96437.632231284908</v>
      </c>
      <c r="C55" s="32">
        <f>IF($B55&gt;0,(GETPIVOTDATA(" New Retirement",'$ Pivot Table'!$A$3,"State","NC","Category",1,"Category2","Four-Year"))/$B55)*100</f>
        <v>11.694422627292314</v>
      </c>
      <c r="D55" s="32">
        <f>IF($B55&gt;0,(GETPIVOTDATA(" New Health",'$ Pivot Table'!$A$3,"State","NC","Category",1,"Category2","Four-Year"))/$B55)*100</f>
        <v>5.1121122386916928</v>
      </c>
      <c r="E55" s="32">
        <f>IF($B55&gt;0,(GETPIVOTDATA(" New Disability",'$ Pivot Table'!$A$3,"State","NC","Category",1,"Category2","Four-Year"))/$B55)*100</f>
        <v>0.52028641272831289</v>
      </c>
      <c r="F55" s="32"/>
      <c r="G55" s="32">
        <f>IF($B55&gt;0,(GETPIVOTDATA(" New Social Security",'$ Pivot Table'!$A$3,"State","NC","Category",1,"Category2","Four-Year"))/$B55)*100</f>
        <v>6.8971259782215606</v>
      </c>
      <c r="H55" s="32"/>
      <c r="I55" s="32">
        <f>IF($B55&gt;0,(GETPIVOTDATA(" New Unemployment",'$ Pivot Table'!$A$3,"State","NC","Category",1,"Category2","Four-Year"))/$B55)*100</f>
        <v>9.0309085719874574E-2</v>
      </c>
      <c r="J55" s="32">
        <f>IF($B55&gt;0,(GETPIVOTDATA(" New Life Insurance",'$ Pivot Table'!$A$3,"State","NC","Category",1,"Category2","Four-Year"))/$B55)*100</f>
        <v>0.14314473186136492</v>
      </c>
      <c r="K55" s="32"/>
      <c r="L55" s="32">
        <f>IF($B55&gt;0,(GETPIVOTDATA(" New Worker's Comp",'$ Pivot Table'!$A$3,"State","NC","Category",1,"Category2","Four-Year"))/$B55)*100</f>
        <v>0.87278685726064398</v>
      </c>
      <c r="M55" s="32">
        <f>IF($B55&gt;0,(GETPIVOTDATA(" New Tuition Plans",'$ Pivot Table'!$A$3,"State","NC","Category",1,"Category2","Four-Year"))/$B55)*100</f>
        <v>0</v>
      </c>
      <c r="N55" s="32">
        <f>IF($B55&gt;0,(GETPIVOTDATA(" New Other",'$ Pivot Table'!$A$3,"State","NC","Category",1,"Category2","Four-Year"))/$B55)*100</f>
        <v>0</v>
      </c>
      <c r="O55" s="90">
        <f>IF($B55&gt;0,(GETPIVOTDATA(" New Total",'$ Pivot Table'!$A$3,"State","NC","Category",1,"Category2","Four-Year"))/$B55)*100</f>
        <v>25.216499427574135</v>
      </c>
    </row>
    <row r="56" spans="1:15">
      <c r="A56" s="149" t="s">
        <v>488</v>
      </c>
      <c r="B56" s="617">
        <f>+'[2]OLD Tables'!B22</f>
        <v>77205.691486159849</v>
      </c>
      <c r="C56" s="32">
        <f>IF($B56&gt;0,(GETPIVOTDATA(" New Retirement",'$ Pivot Table'!$A$3,"State","OK","Category",1,"Category2","Four-Year"))/$B56)*100</f>
        <v>21.889048816896619</v>
      </c>
      <c r="D56" s="32">
        <f>IF($B56&gt;0,(GETPIVOTDATA(" New Health",'$ Pivot Table'!$A$3,"State","OK","Category",1,"Category2","Four-Year"))/$B56)*100</f>
        <v>6.621136271909597</v>
      </c>
      <c r="E56" s="32">
        <f>IF($B56&gt;0,(GETPIVOTDATA(" New Disability",'$ Pivot Table'!$A$3,"State","OK","Category",1,"Category2","Four-Year"))/$B56)*100</f>
        <v>0</v>
      </c>
      <c r="F56" s="32"/>
      <c r="G56" s="32">
        <f>IF($B56&gt;0,(GETPIVOTDATA(" New Social Security",'$ Pivot Table'!$A$3,"State","OK","Category",1,"Category2","Four-Year"))/$B56)*100</f>
        <v>7.0867076480268683</v>
      </c>
      <c r="H56" s="32"/>
      <c r="I56" s="56">
        <f>IF($B56&gt;0,(GETPIVOTDATA(" New Unemployment",'$ Pivot Table'!$A$3,"State","OK","Category",1,"Category2","Four-Year"))/$B56)*100</f>
        <v>2.7174769561854162E-2</v>
      </c>
      <c r="J56" s="32">
        <f>IF($B56&gt;0,(GETPIVOTDATA(" New Life Insurance",'$ Pivot Table'!$A$3,"State","OK","Category",1,"Category2","Four-Year"))/$B56)*100</f>
        <v>0.37832606555027054</v>
      </c>
      <c r="K56" s="32"/>
      <c r="L56" s="32">
        <f>IF($B56&gt;0,(GETPIVOTDATA(" New Worker's Comp",'$ Pivot Table'!$A$3,"State","OK","Category",1,"Category2","Four-Year"))/$B56)*100</f>
        <v>0.77265996263905601</v>
      </c>
      <c r="M56" s="32">
        <f>IF($B56&gt;0,(GETPIVOTDATA(" New Tuition Plans",'$ Pivot Table'!$A$3,"State","OK","Category",1,"Category2","Four-Year"))/$B56)*100</f>
        <v>0</v>
      </c>
      <c r="N56" s="35">
        <f>IF($B56&gt;0,(GETPIVOTDATA(" New Other",'$ Pivot Table'!$A$3,"State","OK","Category",1,"Category2","Four-Year"))/$B56)*100</f>
        <v>1.4141404007704784E-3</v>
      </c>
      <c r="O56" s="90">
        <f>IF($B56&gt;0,(GETPIVOTDATA(" New Total",'$ Pivot Table'!$A$3,"State","OK","Category",1,"Category2","Four-Year"))/$B56)*100</f>
        <v>36.59299027303738</v>
      </c>
    </row>
    <row r="57" spans="1:15">
      <c r="A57" s="149" t="s">
        <v>489</v>
      </c>
      <c r="B57" s="617">
        <f>+'[2]OLD Tables'!B23</f>
        <v>78863.153531941934</v>
      </c>
      <c r="C57" s="32">
        <f>IF($B57&gt;0,(GETPIVOTDATA(" New Retirement",'$ Pivot Table'!$A$3,"State","SC","Category",1,"Category2","Four-Year"))/$B57)*100</f>
        <v>13.360870716785245</v>
      </c>
      <c r="D57" s="32">
        <f>IF($B57&gt;0,(GETPIVOTDATA(" New Health",'$ Pivot Table'!$A$3,"State","SC","Category",1,"Category2","Four-Year"))/$B57)*100</f>
        <v>6.8536362730459528</v>
      </c>
      <c r="E57" s="32">
        <f>IF($B57&gt;0,(GETPIVOTDATA(" New Disability",'$ Pivot Table'!$A$3,"State","SC","Category",1,"Category2","Four-Year"))/$B57)*100</f>
        <v>4.9148816743154446E-2</v>
      </c>
      <c r="F57" s="32"/>
      <c r="G57" s="32">
        <f>IF($B57&gt;0,(GETPIVOTDATA(" New Social Security",'$ Pivot Table'!$A$3,"State","SC","Category",1,"Category2","Four-Year"))/$B57)*100</f>
        <v>6.5670210563623366</v>
      </c>
      <c r="H57" s="32"/>
      <c r="I57" s="32">
        <f>IF($B57&gt;0,(GETPIVOTDATA(" New Unemployment",'$ Pivot Table'!$A$3,"State","SC","Category",1,"Category2","Four-Year"))/$B57)*100</f>
        <v>0.17446655154069371</v>
      </c>
      <c r="J57" s="32">
        <f>IF($B57&gt;0,(GETPIVOTDATA(" New Life Insurance",'$ Pivot Table'!$A$3,"State","SC","Category",1,"Category2","Four-Year"))/$B57)*100</f>
        <v>8.4145434815790385E-2</v>
      </c>
      <c r="K57" s="32"/>
      <c r="L57" s="32">
        <f>IF($B57&gt;0,(GETPIVOTDATA(" New Worker's Comp",'$ Pivot Table'!$A$3,"State","SC","Category",1,"Category2","Four-Year"))/$B57)*100</f>
        <v>1.0194380457402303</v>
      </c>
      <c r="M57" s="32">
        <f>IF($B57&gt;0,(GETPIVOTDATA(" New Tuition Plans",'$ Pivot Table'!$A$3,"State","SC","Category",1,"Category2","Four-Year"))/$B57)*100</f>
        <v>0</v>
      </c>
      <c r="N57" s="32">
        <f>IF($B57&gt;0,(GETPIVOTDATA(" New Other",'$ Pivot Table'!$A$3,"State","SC","Category",1,"Category2","Four-Year"))/$B57)*100</f>
        <v>0</v>
      </c>
      <c r="O57" s="90">
        <f>IF($B57&gt;0,(GETPIVOTDATA(" New Total",'$ Pivot Table'!$A$3,"State","SC","Category",1,"Category2","Four-Year"))/$B57)*100</f>
        <v>27.94112703398212</v>
      </c>
    </row>
    <row r="58" spans="1:15">
      <c r="A58" s="149"/>
      <c r="B58" s="617">
        <f>+'[2]OLD Tables'!B24</f>
        <v>0</v>
      </c>
      <c r="C58" s="32"/>
      <c r="D58" s="34"/>
      <c r="E58" s="32"/>
      <c r="F58" s="32"/>
      <c r="G58" s="32"/>
      <c r="H58" s="32"/>
      <c r="I58" s="32"/>
      <c r="J58" s="32"/>
      <c r="K58" s="32"/>
      <c r="L58" s="32"/>
      <c r="M58" s="32"/>
      <c r="N58" s="32"/>
      <c r="O58" s="90"/>
    </row>
    <row r="59" spans="1:15" ht="15.75" customHeight="1">
      <c r="A59" s="149" t="s">
        <v>490</v>
      </c>
      <c r="B59" s="617">
        <f>+'[2]OLD Tables'!B25</f>
        <v>77017.774593491864</v>
      </c>
      <c r="C59" s="28">
        <f>IF($B59&gt;0,(GETPIVOTDATA(" New Retirement",'$ Pivot Table'!$A$3,"State","TN","Category",1,"Category2","Four-Year"))/$B59)*100</f>
        <v>12.18718020940506</v>
      </c>
      <c r="D59" s="28">
        <f>IF($B59&gt;0,(GETPIVOTDATA(" New Health",'$ Pivot Table'!$A$3,"State","TN","Category",1,"Category2","Four-Year"))/$B59)*100</f>
        <v>12.308115719482441</v>
      </c>
      <c r="E59" s="28">
        <f>IF($B59&gt;0,(GETPIVOTDATA(" New Disability",'$ Pivot Table'!$A$3,"State","TN","Category",1,"Category2","Four-Year"))/$B59)*100</f>
        <v>0</v>
      </c>
      <c r="F59" s="28"/>
      <c r="G59" s="28">
        <f>IF($B59&gt;0,(GETPIVOTDATA(" New Social Security",'$ Pivot Table'!$A$3,"State","TN","Category",1,"Category2","Four-Year"))/$B59)*100</f>
        <v>5.9448743648574389</v>
      </c>
      <c r="H59" s="28"/>
      <c r="I59" s="58">
        <f>IF($B59&gt;0,(GETPIVOTDATA(" New Unemployment",'$ Pivot Table'!$A$3,"State","TN","Category",1,"Category2","Four-Year"))/$B59)*100</f>
        <v>5.1552756218512449E-2</v>
      </c>
      <c r="J59" s="28">
        <f>IF($B59&gt;0,(GETPIVOTDATA(" New Life Insurance",'$ Pivot Table'!$A$3,"State","TN","Category",1,"Category2","Four-Year"))/$B59)*100</f>
        <v>7.1268690805772958E-2</v>
      </c>
      <c r="K59" s="28"/>
      <c r="L59" s="28">
        <f>IF($B59&gt;0,(GETPIVOTDATA(" New Worker's Comp",'$ Pivot Table'!$A$3,"State","TN","Category",1,"Category2","Four-Year"))/$B59)*100</f>
        <v>0.21088518210873761</v>
      </c>
      <c r="M59" s="28">
        <f>IF($B59&gt;0,(GETPIVOTDATA(" New Tuition Plans",'$ Pivot Table'!$A$3,"State","TN","Category",1,"Category2","Four-Year"))/$B59)*100</f>
        <v>0</v>
      </c>
      <c r="N59" s="28">
        <f>IF($B59&gt;0,(GETPIVOTDATA(" New Other",'$ Pivot Table'!$A$3,"State","TN","Category",1,"Category2","Four-Year"))/$B59)*100</f>
        <v>0.75210461525992167</v>
      </c>
      <c r="O59" s="86">
        <f>IF($B59&gt;0,(GETPIVOTDATA(" New Total",'$ Pivot Table'!$A$3,"State","TN","Category",1,"Category2","Four-Year"))/$B59)*100</f>
        <v>29.368447076756233</v>
      </c>
    </row>
    <row r="60" spans="1:15" ht="15.75" customHeight="1">
      <c r="A60" s="149" t="s">
        <v>491</v>
      </c>
      <c r="B60" s="617">
        <f>+'[2]OLD Tables'!B26</f>
        <v>87134.146502431191</v>
      </c>
      <c r="C60" s="28">
        <f>IF($B60&gt;0,(GETPIVOTDATA(" New Retirement",'$ Pivot Table'!$A$3,"State","TX","Category",1,"Category2","Four-Year"))/$B60)*100</f>
        <v>7.509511117503183</v>
      </c>
      <c r="D60" s="28">
        <f>IF($B60&gt;0,(GETPIVOTDATA(" New Health",'$ Pivot Table'!$A$3,"State","TX","Category",1,"Category2","Four-Year"))/$B60)*100</f>
        <v>7.4485394666055944</v>
      </c>
      <c r="E60" s="28">
        <f>IF($B60&gt;0,(GETPIVOTDATA(" New Disability",'$ Pivot Table'!$A$3,"State","TX","Category",1,"Category2","Four-Year"))/$B60)*100</f>
        <v>0</v>
      </c>
      <c r="F60" s="28"/>
      <c r="G60" s="28">
        <f>IF($B60&gt;0,(GETPIVOTDATA(" New Social Security",'$ Pivot Table'!$A$3,"State","TX","Category",1,"Category2","Four-Year"))/$B60)*100</f>
        <v>6.8751154324321186</v>
      </c>
      <c r="H60" s="28"/>
      <c r="I60" s="28">
        <f>IF($B60&gt;0,(GETPIVOTDATA(" New Unemployment",'$ Pivot Table'!$A$3,"State","TX","Category",1,"Category2","Four-Year"))/$B60)*100</f>
        <v>0.13954355942693478</v>
      </c>
      <c r="J60" s="58">
        <f>IF($B60&gt;0,(GETPIVOTDATA(" New Life Insurance",'$ Pivot Table'!$A$3,"State","TX","Category",1,"Category2","Four-Year"))/$B60)*100</f>
        <v>2.6689799131116184E-2</v>
      </c>
      <c r="K60" s="58"/>
      <c r="L60" s="28">
        <f>IF($B60&gt;0,(GETPIVOTDATA(" New Worker's Comp",'$ Pivot Table'!$A$3,"State","TX","Category",1,"Category2","Four-Year"))/$B60)*100</f>
        <v>0.2068418095392841</v>
      </c>
      <c r="M60" s="28">
        <f>IF($B60&gt;0,(GETPIVOTDATA(" New Tuition Plans",'$ Pivot Table'!$A$3,"State","TX","Category",1,"Category2","Four-Year"))/$B60)*100</f>
        <v>0</v>
      </c>
      <c r="N60" s="28">
        <f>IF($B60&gt;0,(GETPIVOTDATA(" New Other",'$ Pivot Table'!$A$3,"State","TX","Category",1,"Category2","Four-Year"))/$B60)*100</f>
        <v>0</v>
      </c>
      <c r="O60" s="86">
        <f>IF($B60&gt;0,(GETPIVOTDATA(" New Total",'$ Pivot Table'!$A$3,"State","TX","Category",1,"Category2","Four-Year"))/$B60)*100</f>
        <v>21.139375227828538</v>
      </c>
    </row>
    <row r="61" spans="1:15" ht="15.75" customHeight="1">
      <c r="A61" s="149" t="s">
        <v>492</v>
      </c>
      <c r="B61" s="617">
        <f>+'[2]OLD Tables'!B27</f>
        <v>90193.862815430271</v>
      </c>
      <c r="C61" s="28">
        <f>IF($B61&gt;0,(GETPIVOTDATA(" New Retirement",'$ Pivot Table'!$A$3,"State","VA","Category",1,"Category2","Four-Year"))/$B61)*100</f>
        <v>10.0792402791709</v>
      </c>
      <c r="D61" s="28">
        <f>IF($B61&gt;0,(GETPIVOTDATA(" New Health",'$ Pivot Table'!$A$3,"State","VA","Category",1,"Category2","Four-Year"))/$B61)*100</f>
        <v>9.5562588514986508</v>
      </c>
      <c r="E61" s="28">
        <f>IF($B61&gt;0,(GETPIVOTDATA(" New Disability",'$ Pivot Table'!$A$3,"State","VA","Category",1,"Category2","Four-Year"))/$B61)*100</f>
        <v>0.42405158399710496</v>
      </c>
      <c r="F61" s="28"/>
      <c r="G61" s="28">
        <f>IF($B61&gt;0,(GETPIVOTDATA(" New Social Security",'$ Pivot Table'!$A$3,"State","VA","Category",1,"Category2","Four-Year"))/$B61)*100</f>
        <v>6.6288100249602007</v>
      </c>
      <c r="H61" s="28"/>
      <c r="I61" s="58">
        <f>IF($B61&gt;0,(GETPIVOTDATA(" New Unemployment",'$ Pivot Table'!$A$3,"State","VA","Category",1,"Category2","Four-Year"))/$B61)*100</f>
        <v>0.27122112407625343</v>
      </c>
      <c r="J61" s="28">
        <f>IF($B61&gt;0,(GETPIVOTDATA(" New Life Insurance",'$ Pivot Table'!$A$3,"State","VA","Category",1,"Category2","Four-Year"))/$B61)*100</f>
        <v>0.57316370288107044</v>
      </c>
      <c r="K61" s="28"/>
      <c r="L61" s="28">
        <f>IF($B61&gt;0,(GETPIVOTDATA(" New Worker's Comp",'$ Pivot Table'!$A$3,"State","VA","Category",1,"Category2","Four-Year"))/$B61)*100</f>
        <v>0.72022342937268435</v>
      </c>
      <c r="M61" s="28">
        <f>IF($B61&gt;0,(GETPIVOTDATA(" New Tuition Plans",'$ Pivot Table'!$A$3,"State","VA","Category",1,"Category2","Four-Year"))/$B61)*100</f>
        <v>2.0954862570501427</v>
      </c>
      <c r="N61" s="28">
        <f>IF($B61&gt;0,(GETPIVOTDATA(" New Other",'$ Pivot Table'!$A$3,"State","VA","Category",1,"Category2","Four-Year"))/$B61)*100</f>
        <v>0</v>
      </c>
      <c r="O61" s="86">
        <f>IF($B61&gt;0,(GETPIVOTDATA(" New Total",'$ Pivot Table'!$A$3,"State","VA","Category",1,"Category2","Four-Year"))/$B61)*100</f>
        <v>26.623900360375313</v>
      </c>
    </row>
    <row r="62" spans="1:15" ht="15.75" customHeight="1">
      <c r="A62" s="630" t="s">
        <v>493</v>
      </c>
      <c r="B62" s="618">
        <f>+'[2]OLD Tables'!B28</f>
        <v>75774.047674551213</v>
      </c>
      <c r="C62" s="30">
        <f>IF($B62&gt;0,(GETPIVOTDATA(" New Retirement",'$ Pivot Table'!$A$3,"State","WV","Category",1,"Category2","Four-Year"))/$B62)*100</f>
        <v>7.3340337213859312</v>
      </c>
      <c r="D62" s="30">
        <f>IF($B62&gt;0,(GETPIVOTDATA(" New Health",'$ Pivot Table'!$A$3,"State","WV","Category",1,"Category2","Four-Year"))/$B62)*100</f>
        <v>8.4380276076871645</v>
      </c>
      <c r="E62" s="30">
        <f>IF($B62&gt;0,(GETPIVOTDATA(" New Disability",'$ Pivot Table'!$A$3,"State","WV","Category",1,"Category2","Four-Year"))/$B62)*100</f>
        <v>0</v>
      </c>
      <c r="F62" s="30"/>
      <c r="G62" s="30">
        <f>IF($B62&gt;0,(GETPIVOTDATA(" New Social Security",'$ Pivot Table'!$A$3,"State","WV","Category",1,"Category2","Four-Year"))/$B62)*100</f>
        <v>6.1363508397480118</v>
      </c>
      <c r="H62" s="30"/>
      <c r="I62" s="30">
        <f>IF($B62&gt;0,(GETPIVOTDATA(" New Unemployment",'$ Pivot Table'!$A$3,"State","WV","Category",1,"Category2","Four-Year"))/$B62)*100</f>
        <v>0</v>
      </c>
      <c r="J62" s="30">
        <f>IF($B62&gt;0,(GETPIVOTDATA(" New Life Insurance",'$ Pivot Table'!$A$3,"State","WV","Category",1,"Category2","Four-Year"))/$B62)*100</f>
        <v>8.2396029068823914E-2</v>
      </c>
      <c r="K62" s="30"/>
      <c r="L62" s="30">
        <f>IF($B62&gt;0,(GETPIVOTDATA(" New Worker's Comp",'$ Pivot Table'!$A$3,"State","WV","Category",1,"Category2","Four-Year"))/$B62)*100</f>
        <v>0.4572175999435657</v>
      </c>
      <c r="M62" s="30">
        <f>IF($B62&gt;0,(GETPIVOTDATA(" New Tuition Plans",'$ Pivot Table'!$A$3,"State","WV","Category",1,"Category2","Four-Year"))/$B62)*100</f>
        <v>0</v>
      </c>
      <c r="N62" s="30">
        <f>IF($B62&gt;0,(GETPIVOTDATA(" New Other",'$ Pivot Table'!$A$3,"State","WV","Category",1,"Category2","Four-Year"))/$B62)*100</f>
        <v>0</v>
      </c>
      <c r="O62" s="115">
        <f>IF($B62&gt;0,(GETPIVOTDATA(" New Total",'$ Pivot Table'!$A$3,"State","WV","Category",1,"Category2","Four-Year"))/$B62)*100</f>
        <v>20.910985255950411</v>
      </c>
    </row>
    <row r="63" spans="1:15" ht="18" customHeight="1">
      <c r="A63" s="628" t="s">
        <v>14</v>
      </c>
      <c r="B63" s="45"/>
      <c r="C63" s="54"/>
      <c r="D63" s="54"/>
      <c r="E63" s="54"/>
      <c r="F63" s="54"/>
      <c r="G63" s="54"/>
      <c r="H63" s="54"/>
      <c r="I63" s="54"/>
      <c r="J63" s="54"/>
      <c r="K63" s="54"/>
      <c r="L63" s="54"/>
      <c r="M63" s="54"/>
      <c r="N63" s="54"/>
      <c r="O63" s="145"/>
    </row>
    <row r="64" spans="1:15" ht="18" customHeight="1">
      <c r="A64" s="628" t="s">
        <v>678</v>
      </c>
      <c r="B64" s="45"/>
      <c r="C64" s="54"/>
      <c r="D64" s="54"/>
      <c r="E64" s="54"/>
      <c r="F64" s="54"/>
      <c r="G64" s="54"/>
      <c r="H64" s="54"/>
      <c r="I64" s="54"/>
      <c r="J64" s="54"/>
      <c r="K64" s="54"/>
      <c r="L64" s="54"/>
      <c r="M64" s="54"/>
      <c r="N64" s="54"/>
      <c r="O64" s="145"/>
    </row>
    <row r="65" spans="1:15">
      <c r="A65" s="629"/>
      <c r="B65" s="45"/>
      <c r="C65" s="54"/>
      <c r="D65" s="54"/>
      <c r="E65" s="54"/>
      <c r="F65" s="54"/>
      <c r="G65" s="54"/>
      <c r="H65" s="54"/>
      <c r="I65" s="54"/>
      <c r="J65" s="54"/>
      <c r="K65" s="54"/>
      <c r="L65" s="54"/>
      <c r="M65" s="54"/>
      <c r="N65" s="54"/>
      <c r="O65" s="637" t="s">
        <v>1321</v>
      </c>
    </row>
    <row r="66" spans="1:15" ht="18">
      <c r="A66" s="595" t="s">
        <v>1102</v>
      </c>
      <c r="B66" s="48"/>
      <c r="C66" s="48"/>
      <c r="D66" s="48"/>
      <c r="E66" s="48"/>
      <c r="F66" s="48"/>
      <c r="G66" s="48"/>
      <c r="H66" s="48"/>
      <c r="I66" s="48"/>
      <c r="J66" s="48"/>
      <c r="K66" s="48"/>
      <c r="L66" s="48"/>
      <c r="M66" s="48"/>
      <c r="N66" s="48"/>
      <c r="O66" s="48"/>
    </row>
    <row r="67" spans="1:15">
      <c r="A67" s="622"/>
      <c r="B67" s="45"/>
      <c r="C67" s="54"/>
      <c r="D67" s="54"/>
      <c r="E67" s="54"/>
      <c r="F67" s="54"/>
      <c r="G67" s="54"/>
      <c r="H67" s="54"/>
      <c r="I67" s="54"/>
      <c r="J67" s="54"/>
      <c r="K67" s="54"/>
      <c r="L67" s="54"/>
      <c r="M67" s="54"/>
      <c r="N67" s="54"/>
      <c r="O67" s="145"/>
    </row>
    <row r="68" spans="1:15" ht="15.75">
      <c r="A68" s="640" t="s">
        <v>466</v>
      </c>
      <c r="B68" s="641"/>
      <c r="C68" s="641"/>
      <c r="D68" s="641"/>
      <c r="E68" s="641"/>
      <c r="F68" s="641"/>
      <c r="G68" s="641"/>
      <c r="H68" s="641"/>
      <c r="I68" s="641"/>
      <c r="J68" s="641"/>
      <c r="K68" s="641"/>
      <c r="L68" s="641"/>
      <c r="M68" s="641"/>
      <c r="N68" s="641"/>
      <c r="O68" s="641"/>
    </row>
    <row r="69" spans="1:15" ht="15.75">
      <c r="A69" s="640" t="s">
        <v>1070</v>
      </c>
      <c r="B69" s="641"/>
      <c r="C69" s="641"/>
      <c r="D69" s="641"/>
      <c r="E69" s="641"/>
      <c r="F69" s="641"/>
      <c r="G69" s="641"/>
      <c r="H69" s="641"/>
      <c r="I69" s="641"/>
      <c r="J69" s="641"/>
      <c r="K69" s="641"/>
      <c r="L69" s="641"/>
      <c r="M69" s="641"/>
      <c r="N69" s="641"/>
      <c r="O69" s="641"/>
    </row>
    <row r="70" spans="1:15">
      <c r="A70" s="148"/>
      <c r="B70" s="45"/>
      <c r="C70" s="54"/>
      <c r="D70" s="54"/>
      <c r="E70" s="54"/>
      <c r="F70" s="54"/>
      <c r="G70" s="54"/>
      <c r="H70" s="54"/>
      <c r="I70" s="54"/>
      <c r="J70" s="54"/>
      <c r="K70" s="54"/>
      <c r="L70" s="54"/>
      <c r="M70" s="54"/>
      <c r="N70" s="54"/>
      <c r="O70" s="145"/>
    </row>
    <row r="71" spans="1:15">
      <c r="A71" s="631"/>
      <c r="B71" s="2" t="s">
        <v>473</v>
      </c>
      <c r="C71" s="643" t="s">
        <v>593</v>
      </c>
      <c r="D71" s="643"/>
      <c r="E71" s="643"/>
      <c r="F71" s="643"/>
      <c r="G71" s="643"/>
      <c r="H71" s="643"/>
      <c r="I71" s="643"/>
      <c r="J71" s="643"/>
      <c r="K71" s="643"/>
      <c r="L71" s="643"/>
      <c r="M71" s="643"/>
      <c r="N71" s="643"/>
      <c r="O71" s="643"/>
    </row>
    <row r="72" spans="1:15">
      <c r="A72" s="624"/>
      <c r="B72" s="4" t="s">
        <v>474</v>
      </c>
      <c r="C72" s="3" t="s">
        <v>660</v>
      </c>
      <c r="D72" s="3"/>
      <c r="E72" s="53"/>
      <c r="F72" s="53"/>
      <c r="G72" s="3" t="s">
        <v>661</v>
      </c>
      <c r="H72" s="3"/>
      <c r="I72" s="3" t="s">
        <v>662</v>
      </c>
      <c r="J72" s="3" t="s">
        <v>663</v>
      </c>
      <c r="K72" s="3"/>
      <c r="L72" s="3" t="s">
        <v>664</v>
      </c>
      <c r="M72" s="3" t="s">
        <v>665</v>
      </c>
      <c r="N72" s="3"/>
      <c r="O72" s="124" t="s">
        <v>475</v>
      </c>
    </row>
    <row r="73" spans="1:15">
      <c r="A73" s="625"/>
      <c r="B73" s="15" t="s">
        <v>476</v>
      </c>
      <c r="C73" s="16" t="s">
        <v>667</v>
      </c>
      <c r="D73" s="16" t="s">
        <v>708</v>
      </c>
      <c r="E73" s="17" t="s">
        <v>709</v>
      </c>
      <c r="F73" s="17"/>
      <c r="G73" s="16" t="s">
        <v>668</v>
      </c>
      <c r="H73" s="16"/>
      <c r="I73" s="16" t="s">
        <v>667</v>
      </c>
      <c r="J73" s="16" t="s">
        <v>669</v>
      </c>
      <c r="K73" s="16"/>
      <c r="L73" s="16" t="s">
        <v>670</v>
      </c>
      <c r="M73" s="16" t="s">
        <v>671</v>
      </c>
      <c r="N73" s="16" t="s">
        <v>701</v>
      </c>
      <c r="O73" s="146" t="s">
        <v>15</v>
      </c>
    </row>
    <row r="74" spans="1:15">
      <c r="A74" s="149" t="s">
        <v>600</v>
      </c>
      <c r="B74" s="33">
        <f>+'[2]OLD Tables'!D8</f>
        <v>75982.479552900986</v>
      </c>
      <c r="C74" s="32">
        <f>IF($B74&gt;0,(GETPIVOTDATA(" New Retirement",'$ Pivot Table'!$A$3,"Category",2,"Category2","Four-Year"))/$B74)*100</f>
        <v>10.496024423226441</v>
      </c>
      <c r="D74" s="32">
        <f>IF($B74&gt;0,(GETPIVOTDATA(" New Health",'$ Pivot Table'!$A$3,"Category",2,"Category2","Four-Year"))/$B74)*100</f>
        <v>8.6525170934571118</v>
      </c>
      <c r="E74" s="32">
        <f>IF($B74&gt;0,(GETPIVOTDATA(" New Disability",'$ Pivot Table'!$A$3,"Category",2,"Category2","Four-Year"))/$B74)*100</f>
        <v>0.35120507503118975</v>
      </c>
      <c r="F74" s="32"/>
      <c r="G74" s="32">
        <f>IF($B74&gt;0,(GETPIVOTDATA(" New Social Security",'$ Pivot Table'!$A$3,"Category",2,"Category2","Four-Year"))/$B74)*100</f>
        <v>6.6431474486735915</v>
      </c>
      <c r="H74" s="32"/>
      <c r="I74" s="32">
        <f>IF($B74&gt;0,(GETPIVOTDATA(" New Unemployment",'$ Pivot Table'!$A$3,"Category",2,"Category2","Four-Year"))/$B74)*100</f>
        <v>0.19515307294242626</v>
      </c>
      <c r="J74" s="32">
        <f>IF($B74&gt;0,(GETPIVOTDATA(" New Life Insurance",'$ Pivot Table'!$A$3,"Category",2,"Category2","Four-Year"))/$B74)*100</f>
        <v>0.26535642990895952</v>
      </c>
      <c r="K74" s="32"/>
      <c r="L74" s="32">
        <f>IF($B74&gt;0,(GETPIVOTDATA(" New Worker's Comp",'$ Pivot Table'!$A$3,"Category",2,"Category2","Four-Year"))/$B74)*100</f>
        <v>0.43302324219749255</v>
      </c>
      <c r="M74" s="32">
        <f>IF($B74&gt;0,(GETPIVOTDATA(" New Tuition Plans",'$ Pivot Table'!$A$3,"Category",2,"Category2","Four-Year"))/$B74)*100</f>
        <v>0.4963686037699479</v>
      </c>
      <c r="N74" s="32">
        <f>IF($B74&gt;0,(GETPIVOTDATA(" New Other",'$ Pivot Table'!$A$3,"Category",2,"Category2","Four-Year"))/$B74)*100</f>
        <v>0.5063404737673739</v>
      </c>
      <c r="O74" s="90">
        <f>IF($B74&gt;0,(GETPIVOTDATA(" New Total",'$ Pivot Table'!$A$3,"Category",2,"Category2","Four-Year"))/$B74)*100</f>
        <v>25.458246630087032</v>
      </c>
    </row>
    <row r="75" spans="1:15">
      <c r="A75" s="149"/>
      <c r="B75" s="31">
        <f>+'[3]OLD Tables 107-126'!D9</f>
        <v>0</v>
      </c>
      <c r="C75" s="32"/>
      <c r="D75" s="34"/>
      <c r="E75" s="32"/>
      <c r="F75" s="32"/>
      <c r="G75" s="32"/>
      <c r="H75" s="32"/>
      <c r="I75" s="32"/>
      <c r="J75" s="32"/>
      <c r="K75" s="32"/>
      <c r="L75" s="32"/>
      <c r="M75" s="32"/>
      <c r="N75" s="32"/>
      <c r="O75" s="90"/>
    </row>
    <row r="76" spans="1:15">
      <c r="A76" s="149" t="s">
        <v>479</v>
      </c>
      <c r="B76" s="617">
        <f>+'[2]OLD Tables'!D10</f>
        <v>74941.678860066007</v>
      </c>
      <c r="C76" s="32">
        <f>IF($B76&gt;0,(GETPIVOTDATA(" New Retirement",'$ Pivot Table'!$A$3,"State","AL","Category",2,"Category2","Four-Year"))/$B76)*100</f>
        <v>17.101799760019755</v>
      </c>
      <c r="D76" s="32">
        <f>IF($B76&gt;0,(GETPIVOTDATA(" New Health",'$ Pivot Table'!$A$3,"State","AL","Category",2,"Category2","Four-Year"))/$B76)*100</f>
        <v>7.3065948190554062</v>
      </c>
      <c r="E76" s="32">
        <f>IF($B76&gt;0,(GETPIVOTDATA(" New Disability",'$ Pivot Table'!$A$3,"State","AL","Category",2,"Category2","Four-Year"))/$B76)*100</f>
        <v>0.48679438029312055</v>
      </c>
      <c r="F76" s="32"/>
      <c r="G76" s="32">
        <f>IF($B76&gt;0,(GETPIVOTDATA(" New Social Security",'$ Pivot Table'!$A$3,"State","AL","Category",2,"Category2","Four-Year"))/$B76)*100</f>
        <v>7.5456618673400628</v>
      </c>
      <c r="H76" s="32"/>
      <c r="I76" s="56">
        <f>IF($B76&gt;0,(GETPIVOTDATA(" New Unemployment",'$ Pivot Table'!$A$3,"State","AL","Category",2,"Category2","Four-Year"))/$B76)*100</f>
        <v>0.1240876915949199</v>
      </c>
      <c r="J76" s="32">
        <f>IF($B76&gt;0,(GETPIVOTDATA(" New Life Insurance",'$ Pivot Table'!$A$3,"State","AL","Category",2,"Category2","Four-Year"))/$B76)*100</f>
        <v>0.2792192699226565</v>
      </c>
      <c r="K76" s="32"/>
      <c r="L76" s="32">
        <f>IF($B76&gt;0,(GETPIVOTDATA(" New Worker's Comp",'$ Pivot Table'!$A$3,"State","AL","Category",2,"Category2","Four-Year"))/$B76)*100</f>
        <v>0</v>
      </c>
      <c r="M76" s="32">
        <f>IF($B76&gt;0,(GETPIVOTDATA(" New Tuition Plans",'$ Pivot Table'!$A$3,"State","AL","Category",2,"Category2","Four-Year"))/$B76)*100</f>
        <v>1.9580840394189785</v>
      </c>
      <c r="N76" s="32">
        <f>IF($B76&gt;0,(GETPIVOTDATA(" New Other",'$ Pivot Table'!$A$3,"State","AL","Category",2,"Category2","Four-Year"))/$B76)*100</f>
        <v>0</v>
      </c>
      <c r="O76" s="90">
        <f>IF($B76&gt;0,(GETPIVOTDATA(" New Total",'$ Pivot Table'!$A$3,"State","AL","Category",2,"Category2","Four-Year"))/$B76)*100</f>
        <v>31.698748451162963</v>
      </c>
    </row>
    <row r="77" spans="1:15">
      <c r="A77" s="149" t="s">
        <v>480</v>
      </c>
      <c r="B77" s="617">
        <f>+'[2]OLD Tables'!D11</f>
        <v>0</v>
      </c>
      <c r="C77" s="32">
        <f>IF($B77&gt;0,(GETPIVOTDATA(" New Retirement",'$ Pivot Table'!$A$3,"State","AR","Category",2,"Category2","Four-Year"))/$B77)*100</f>
        <v>0</v>
      </c>
      <c r="D77" s="32">
        <f>IF($B77&gt;0,(GETPIVOTDATA(" New Health",'$ Pivot Table'!$A$3,"State","AR","Category",2,"Category2","Four-Year"))/$B77)*100</f>
        <v>0</v>
      </c>
      <c r="E77" s="32">
        <f>IF($B77&gt;0,(GETPIVOTDATA(" New Disability",'$ Pivot Table'!$A$3,"State","AR","Category",2,"Category2","Four-Year"))/$B77)*100</f>
        <v>0</v>
      </c>
      <c r="F77" s="32"/>
      <c r="G77" s="32">
        <f>IF($B77&gt;0,(GETPIVOTDATA(" New Social Security",'$ Pivot Table'!$A$3,"State","AR","Category",2,"Category2","Four-Year"))/$B77)*100</f>
        <v>0</v>
      </c>
      <c r="H77" s="32"/>
      <c r="I77" s="32">
        <f>IF($B77&gt;0,(GETPIVOTDATA(" New Unemployment",'$ Pivot Table'!$A$3,"State","AR","Category",2,"Category2","Four-Year"))/$B77)*100</f>
        <v>0</v>
      </c>
      <c r="J77" s="32">
        <f>IF($B77&gt;0,(GETPIVOTDATA(" New Life Insurance",'$ Pivot Table'!$A$3,"State","AR","Category",2,"Category2","Four-Year"))/$B77)*100</f>
        <v>0</v>
      </c>
      <c r="K77" s="32"/>
      <c r="L77" s="32">
        <f>IF($B77&gt;0,(GETPIVOTDATA(" New Worker's Comp",'$ Pivot Table'!$A$3,"State","AR","Category",2,"Category2","Four-Year"))/$B77)*100</f>
        <v>0</v>
      </c>
      <c r="M77" s="32">
        <f>IF($B77&gt;0,(GETPIVOTDATA(" New Tuition Plans",'$ Pivot Table'!$A$3,"State","AR","Category",2,"Category2","Four-Year"))/$B77)*100</f>
        <v>0</v>
      </c>
      <c r="N77" s="32">
        <f>IF($B77&gt;0,(GETPIVOTDATA(" New Other",'$ Pivot Table'!$A$3,"State","AR","Category",2,"Category2","Four-Year"))/$B77)*100</f>
        <v>0</v>
      </c>
      <c r="O77" s="90">
        <f>IF($B77&gt;0,(GETPIVOTDATA(" New Total",'$ Pivot Table'!$A$3,"State","AR","Category",2,"Category2","Four-Year"))/$B77)*100</f>
        <v>0</v>
      </c>
    </row>
    <row r="78" spans="1:15">
      <c r="A78" s="149" t="s">
        <v>494</v>
      </c>
      <c r="B78" s="617">
        <f>+'[2]OLD Tables'!D12</f>
        <v>0</v>
      </c>
      <c r="C78" s="32">
        <f>IF($B78&gt;0,(GETPIVOTDATA(" New Retirement",'$ Pivot Table'!$A$3,"State","DE","Category",2,"Category2","Four-Year"))/$B78)*100</f>
        <v>0</v>
      </c>
      <c r="D78" s="32">
        <f>IF($B78&gt;0,(GETPIVOTDATA(" New Health",'$ Pivot Table'!$A$3,"State","DE","Category",2,"Category2","Four-Year"))/$B78)*100</f>
        <v>0</v>
      </c>
      <c r="E78" s="32">
        <f>IF($B78&gt;0,(GETPIVOTDATA(" New Disability",'$ Pivot Table'!$A$3,"State","DE","Category",2,"Category2","Four-Year"))/$B78)*100</f>
        <v>0</v>
      </c>
      <c r="F78" s="32"/>
      <c r="G78" s="32">
        <f>IF($B78&gt;0,(GETPIVOTDATA(" New Social Security",'$ Pivot Table'!$A$3,"State","DE","Category",2,"Category2","Four-Year"))/$B78)*100</f>
        <v>0</v>
      </c>
      <c r="H78" s="32"/>
      <c r="I78" s="32">
        <f>IF($B78&gt;0,(GETPIVOTDATA(" New Unemployment",'$ Pivot Table'!$A$3,"State","DE","Category",2,"Category2","Four-Year"))/$B78)*100</f>
        <v>0</v>
      </c>
      <c r="J78" s="32">
        <f>IF($B78&gt;0,(GETPIVOTDATA(" New Life Insurance",'$ Pivot Table'!$A$3,"State","DE","Category",2,"Category2","Four-Year"))/$B78)*100</f>
        <v>0</v>
      </c>
      <c r="K78" s="32"/>
      <c r="L78" s="32">
        <f>IF($B78&gt;0,(GETPIVOTDATA(" New Worker's Comp",'$ Pivot Table'!$A$3,"State","DE","Category",2,"Category2","Four-Year"))/$B78)*100</f>
        <v>0</v>
      </c>
      <c r="M78" s="32">
        <f>IF($B78&gt;0,(GETPIVOTDATA(" New Tuition Plans",'$ Pivot Table'!$A$3,"State","DE","Category",2,"Category2","Four-Year"))/$B78)*100</f>
        <v>0</v>
      </c>
      <c r="N78" s="32">
        <f>IF($B78&gt;0,(GETPIVOTDATA(" New Other",'$ Pivot Table'!$A$3,"State","DE","Category",2,"Category2","Four-Year"))/$B78)*100</f>
        <v>0</v>
      </c>
      <c r="O78" s="90">
        <f>IF($B78&gt;0,(GETPIVOTDATA(" New Total",'$ Pivot Table'!$A$3,"State","DE","Category",2,"Category2","Four-Year"))/$B78)*100</f>
        <v>0</v>
      </c>
    </row>
    <row r="79" spans="1:15">
      <c r="A79" s="149" t="s">
        <v>481</v>
      </c>
      <c r="B79" s="617">
        <f>+'[2]OLD Tables'!D13</f>
        <v>68760.949777424903</v>
      </c>
      <c r="C79" s="32">
        <f>IF($B79&gt;0,(GETPIVOTDATA(" New Retirement",'$ Pivot Table'!$A$3,"State","FL","Category",2,"Category2","Four-Year"))/$B79)*100</f>
        <v>10.803390790945048</v>
      </c>
      <c r="D79" s="32">
        <f>IF($B79&gt;0,(GETPIVOTDATA(" New Health",'$ Pivot Table'!$A$3,"State","FL","Category",2,"Category2","Four-Year"))/$B79)*100</f>
        <v>13.790523955401884</v>
      </c>
      <c r="E79" s="32">
        <f>IF($B79&gt;0,(GETPIVOTDATA(" New Disability",'$ Pivot Table'!$A$3,"State","FL","Category",2,"Category2","Four-Year"))/$B79)*100</f>
        <v>0</v>
      </c>
      <c r="F79" s="32"/>
      <c r="G79" s="32">
        <f>IF($B79&gt;0,(GETPIVOTDATA(" New Social Security",'$ Pivot Table'!$A$3,"State","FL","Category",2,"Category2","Four-Year"))/$B79)*100</f>
        <v>7.6339983569435406</v>
      </c>
      <c r="H79" s="32"/>
      <c r="I79" s="32">
        <f>IF($B79&gt;0,(GETPIVOTDATA(" New Unemployment",'$ Pivot Table'!$A$3,"State","FL","Category",2,"Category2","Four-Year"))/$B79)*100</f>
        <v>1.096646573271699</v>
      </c>
      <c r="J79" s="32">
        <f>IF($B79&gt;0,(GETPIVOTDATA(" New Life Insurance",'$ Pivot Table'!$A$3,"State","FL","Category",2,"Category2","Four-Year"))/$B79)*100</f>
        <v>0.23556052758531573</v>
      </c>
      <c r="K79" s="32"/>
      <c r="L79" s="32">
        <f>IF($B79&gt;0,(GETPIVOTDATA(" New Worker's Comp",'$ Pivot Table'!$A$3,"State","FL","Category",2,"Category2","Four-Year"))/$B79)*100</f>
        <v>0.61615167781689217</v>
      </c>
      <c r="M79" s="32">
        <f>IF($B79&gt;0,(GETPIVOTDATA(" New Tuition Plans",'$ Pivot Table'!$A$3,"State","FL","Category",2,"Category2","Four-Year"))/$B79)*100</f>
        <v>0</v>
      </c>
      <c r="N79" s="32">
        <f>IF($B79&gt;0,(GETPIVOTDATA(" New Other",'$ Pivot Table'!$A$3,"State","FL","Category",2,"Category2","Four-Year"))/$B79)*100</f>
        <v>0</v>
      </c>
      <c r="O79" s="90">
        <f>IF($B79&gt;0,(GETPIVOTDATA(" New Total",'$ Pivot Table'!$A$3,"State","FL","Category",2,"Category2","Four-Year"))/$B79)*100</f>
        <v>33.282904292581613</v>
      </c>
    </row>
    <row r="80" spans="1:15">
      <c r="A80" s="149"/>
      <c r="B80" s="617">
        <f>+'[2]OLD Tables'!D14</f>
        <v>0</v>
      </c>
      <c r="C80" s="32"/>
      <c r="D80" s="34"/>
      <c r="E80" s="32"/>
      <c r="F80" s="32"/>
      <c r="G80" s="32"/>
      <c r="H80" s="32"/>
      <c r="I80" s="32"/>
      <c r="J80" s="32"/>
      <c r="K80" s="32"/>
      <c r="L80" s="32"/>
      <c r="M80" s="32"/>
      <c r="N80" s="32"/>
      <c r="O80" s="90"/>
    </row>
    <row r="81" spans="1:15">
      <c r="A81" s="149" t="s">
        <v>482</v>
      </c>
      <c r="B81" s="617">
        <f>+'[2]OLD Tables'!D15</f>
        <v>107062.63898098159</v>
      </c>
      <c r="C81" s="32">
        <f>IF($B81&gt;0,(GETPIVOTDATA(" New Retirement",'$ Pivot Table'!$A$3,"State","GA","Category",2,"Category2","Four-Year"))/$B81)*100</f>
        <v>10.721390646791297</v>
      </c>
      <c r="D81" s="32">
        <f>IF($B81&gt;0,(GETPIVOTDATA(" New Health",'$ Pivot Table'!$A$3,"State","GA","Category",2,"Category2","Four-Year"))/$B81)*100</f>
        <v>5.5283354831021079</v>
      </c>
      <c r="E81" s="32">
        <f>IF($B81&gt;0,(GETPIVOTDATA(" New Disability",'$ Pivot Table'!$A$3,"State","GA","Category",2,"Category2","Four-Year"))/$B81)*100</f>
        <v>0</v>
      </c>
      <c r="F81" s="32"/>
      <c r="G81" s="32">
        <f>IF($B81&gt;0,(GETPIVOTDATA(" New Social Security",'$ Pivot Table'!$A$3,"State","GA","Category",2,"Category2","Four-Year"))/$B81)*100</f>
        <v>7.0270503714686132</v>
      </c>
      <c r="H81" s="32"/>
      <c r="I81" s="32">
        <f>IF($B81&gt;0,(GETPIVOTDATA(" New Unemployment",'$ Pivot Table'!$A$3,"State","GA","Category",2,"Category2","Four-Year"))/$B81)*100</f>
        <v>0.13169860311872844</v>
      </c>
      <c r="J81" s="32">
        <f>IF($B81&gt;0,(GETPIVOTDATA(" New Life Insurance",'$ Pivot Table'!$A$3,"State","GA","Category",2,"Category2","Four-Year"))/$B81)*100</f>
        <v>0.1162573727695816</v>
      </c>
      <c r="K81" s="32"/>
      <c r="L81" s="32">
        <f>IF($B81&gt;0,(GETPIVOTDATA(" New Worker's Comp",'$ Pivot Table'!$A$3,"State","GA","Category",2,"Category2","Four-Year"))/$B81)*100</f>
        <v>0.11917635719154804</v>
      </c>
      <c r="M81" s="32">
        <f>IF($B81&gt;0,(GETPIVOTDATA(" New Tuition Plans",'$ Pivot Table'!$A$3,"State","GA","Category",2,"Category2","Four-Year"))/$B81)*100</f>
        <v>0</v>
      </c>
      <c r="N81" s="32">
        <f>IF($B81&gt;0,(GETPIVOTDATA(" New Other",'$ Pivot Table'!$A$3,"State","GA","Category",2,"Category2","Four-Year"))/$B81)*100</f>
        <v>0</v>
      </c>
      <c r="O81" s="90">
        <f>IF($B81&gt;0,(GETPIVOTDATA(" New Total",'$ Pivot Table'!$A$3,"State","GA","Category",2,"Category2","Four-Year"))/$B81)*100</f>
        <v>22.711867394560677</v>
      </c>
    </row>
    <row r="82" spans="1:15">
      <c r="A82" s="149" t="s">
        <v>483</v>
      </c>
      <c r="B82" s="617">
        <f>+'[2]OLD Tables'!D16</f>
        <v>0</v>
      </c>
      <c r="C82" s="32">
        <f>IF($B82&gt;0,(GETPIVOTDATA(" New Retirement",'$ Pivot Table'!$A$3,"State","KY","Category",2,"Category2","Four-Year"))/$B82)*100</f>
        <v>0</v>
      </c>
      <c r="D82" s="32">
        <f>IF($B82&gt;0,(GETPIVOTDATA(" New Health",'$ Pivot Table'!$A$3,"State","KY","Category",2,"Category2","Four-Year"))/$B82)*100</f>
        <v>0</v>
      </c>
      <c r="E82" s="32">
        <f>IF($B82&gt;0,(GETPIVOTDATA(" New Disability",'$ Pivot Table'!$A$3,"State","KY","Category",2,"Category2","Four-Year"))/$B82)*100</f>
        <v>0</v>
      </c>
      <c r="F82" s="32"/>
      <c r="G82" s="32">
        <f>IF($B82&gt;0,(GETPIVOTDATA(" New Social Security",'$ Pivot Table'!$A$3,"State","KY","Category",2,"Category2","Four-Year"))/$B82)*100</f>
        <v>0</v>
      </c>
      <c r="H82" s="32"/>
      <c r="I82" s="32">
        <f>IF($B82&gt;0,(GETPIVOTDATA(" New Unemployment",'$ Pivot Table'!$A$3,"State","KY","Category",2,"Category2","Four-Year"))/$B82)*100</f>
        <v>0</v>
      </c>
      <c r="J82" s="32">
        <f>IF($B82&gt;0,(GETPIVOTDATA(" New Life Insurance",'$ Pivot Table'!$A$3,"State","KY","Category",2,"Category2","Four-Year"))/$B82)*100</f>
        <v>0</v>
      </c>
      <c r="K82" s="32"/>
      <c r="L82" s="32">
        <f>IF($B82&gt;0,(GETPIVOTDATA(" New Worker's Comp",'$ Pivot Table'!$A$3,"State","KY","Category",2,"Category2","Four-Year"))/$B82)*100</f>
        <v>0</v>
      </c>
      <c r="M82" s="32">
        <f>IF($B82&gt;0,(GETPIVOTDATA(" New Tuition Plans",'$ Pivot Table'!$A$3,"State","KY","Category",2,"Category2","Four-Year"))/$B82)*100</f>
        <v>0</v>
      </c>
      <c r="N82" s="32">
        <f>IF($B82&gt;0,(GETPIVOTDATA(" New Other",'$ Pivot Table'!$A$3,"State","KY","Category",2,"Category2","Four-Year"))/$B82)*100</f>
        <v>0</v>
      </c>
      <c r="O82" s="90">
        <f>IF($B82&gt;0,(GETPIVOTDATA(" New Total",'$ Pivot Table'!$A$3,"State","KY","Category",2,"Category2","Four-Year"))/$B82)*100</f>
        <v>0</v>
      </c>
    </row>
    <row r="83" spans="1:15">
      <c r="A83" s="149" t="s">
        <v>484</v>
      </c>
      <c r="B83" s="617">
        <f>+'[2]OLD Tables'!D17</f>
        <v>66682.225266249996</v>
      </c>
      <c r="C83" s="32">
        <f>IF($B83&gt;0,(GETPIVOTDATA(" New Retirement",'$ Pivot Table'!$A$3,"State","LA","Category",2,"Category2","Four-Year"))/$B83)*100</f>
        <v>14.424034723006571</v>
      </c>
      <c r="D83" s="32">
        <f>IF($B83&gt;0,(GETPIVOTDATA(" New Health",'$ Pivot Table'!$A$3,"State","LA","Category",2,"Category2","Four-Year"))/$B83)*100</f>
        <v>7.987814985469516</v>
      </c>
      <c r="E83" s="32">
        <f>IF($B83&gt;0,(GETPIVOTDATA(" New Disability",'$ Pivot Table'!$A$3,"State","LA","Category",2,"Category2","Four-Year"))/$B83)*100</f>
        <v>0</v>
      </c>
      <c r="F83" s="32"/>
      <c r="G83" s="90">
        <f>IF($B83&gt;0,(GETPIVOTDATA(" New Social Security",'$ Pivot Table'!$A$3,"State","LA","Category",2,"Category2","Four-Year"))/$B83)*100</f>
        <v>1.1412865496566511</v>
      </c>
      <c r="H83" s="91">
        <v>2</v>
      </c>
      <c r="I83" s="32">
        <f>IF($B83&gt;0,(GETPIVOTDATA(" New Unemployment",'$ Pivot Table'!$A$3,"State","LA","Category",2,"Category2","Four-Year"))/$B83)*100</f>
        <v>0</v>
      </c>
      <c r="J83" s="32">
        <f>IF($B83&gt;0,(GETPIVOTDATA(" New Life Insurance",'$ Pivot Table'!$A$3,"State","LA","Category",2,"Category2","Four-Year"))/$B83)*100</f>
        <v>0.23005343224513042</v>
      </c>
      <c r="K83" s="32"/>
      <c r="L83" s="32">
        <f>IF($B83&gt;0,(GETPIVOTDATA(" New Worker's Comp",'$ Pivot Table'!$A$3,"State","LA","Category",2,"Category2","Four-Year"))/$B83)*100</f>
        <v>0.34401441547067318</v>
      </c>
      <c r="M83" s="32">
        <f>IF($B83&gt;0,(GETPIVOTDATA(" New Tuition Plans",'$ Pivot Table'!$A$3,"State","LA","Category",2,"Category2","Four-Year"))/$B83)*100</f>
        <v>7.1288625890118681E-2</v>
      </c>
      <c r="N83" s="32">
        <f>IF($B83&gt;0,(GETPIVOTDATA(" New Other",'$ Pivot Table'!$A$3,"State","LA","Category",2,"Category2","Four-Year"))/$B83)*100</f>
        <v>0.84655243244515943</v>
      </c>
      <c r="O83" s="90">
        <f>IF($B83&gt;0,(GETPIVOTDATA(" New Total",'$ Pivot Table'!$A$3,"State","LA","Category",2,"Category2","Four-Year"))/$B83)*100</f>
        <v>22.477939893245175</v>
      </c>
    </row>
    <row r="84" spans="1:15">
      <c r="A84" s="149" t="s">
        <v>485</v>
      </c>
      <c r="B84" s="617">
        <f>+'[2]OLD Tables'!D18</f>
        <v>82074.193795479165</v>
      </c>
      <c r="C84" s="32">
        <f>IF($B84&gt;0,(GETPIVOTDATA(" New Retirement",'$ Pivot Table'!$A$3,"State","MD","Category",2,"Category2","Four-Year"))/$B84)*100</f>
        <v>8.0838541801325672</v>
      </c>
      <c r="D84" s="32">
        <f>IF($B84&gt;0,(GETPIVOTDATA(" New Health",'$ Pivot Table'!$A$3,"State","MD","Category",2,"Category2","Four-Year"))/$B84)*100</f>
        <v>11.420154821571073</v>
      </c>
      <c r="E84" s="32">
        <f>IF($B84&gt;0,(GETPIVOTDATA(" New Disability",'$ Pivot Table'!$A$3,"State","MD","Category",2,"Category2","Four-Year"))/$B84)*100</f>
        <v>0</v>
      </c>
      <c r="F84" s="32"/>
      <c r="G84" s="32">
        <f>IF($B84&gt;0,(GETPIVOTDATA(" New Social Security",'$ Pivot Table'!$A$3,"State","MD","Category",2,"Category2","Four-Year"))/$B84)*100</f>
        <v>6.9974902423022627</v>
      </c>
      <c r="H84" s="32"/>
      <c r="I84" s="32">
        <f>IF($B84&gt;0,(GETPIVOTDATA(" New Unemployment",'$ Pivot Table'!$A$3,"State","MD","Category",2,"Category2","Four-Year"))/$B84)*100</f>
        <v>0.29228915911347619</v>
      </c>
      <c r="J84" s="32">
        <f>IF($B84&gt;0,(GETPIVOTDATA(" New Life Insurance",'$ Pivot Table'!$A$3,"State","MD","Category",2,"Category2","Four-Year"))/$B84)*100</f>
        <v>0</v>
      </c>
      <c r="K84" s="32"/>
      <c r="L84" s="32">
        <f>IF($B84&gt;0,(GETPIVOTDATA(" New Worker's Comp",'$ Pivot Table'!$A$3,"State","MD","Category",2,"Category2","Four-Year"))/$B84)*100</f>
        <v>0.30888734827336811</v>
      </c>
      <c r="M84" s="32">
        <f>IF($B84&gt;0,(GETPIVOTDATA(" New Tuition Plans",'$ Pivot Table'!$A$3,"State","MD","Category",2,"Category2","Four-Year"))/$B84)*100</f>
        <v>0</v>
      </c>
      <c r="N84" s="32">
        <f>IF($B84&gt;0,(GETPIVOTDATA(" New Other",'$ Pivot Table'!$A$3,"State","MD","Category",2,"Category2","Four-Year"))/$B84)*100</f>
        <v>0</v>
      </c>
      <c r="O84" s="90">
        <f>IF($B84&gt;0,(GETPIVOTDATA(" New Total",'$ Pivot Table'!$A$3,"State","MD","Category",2,"Category2","Four-Year"))/$B84)*100</f>
        <v>26.743956327718021</v>
      </c>
    </row>
    <row r="85" spans="1:15">
      <c r="A85" s="149"/>
      <c r="B85" s="617">
        <f>+'[2]OLD Tables'!D19</f>
        <v>0</v>
      </c>
      <c r="C85" s="32"/>
      <c r="D85" s="34"/>
      <c r="E85" s="32"/>
      <c r="F85" s="32"/>
      <c r="G85" s="32"/>
      <c r="H85" s="32"/>
      <c r="I85" s="32"/>
      <c r="J85" s="32"/>
      <c r="K85" s="32"/>
      <c r="L85" s="32"/>
      <c r="M85" s="32"/>
      <c r="N85" s="32"/>
      <c r="O85" s="90"/>
    </row>
    <row r="86" spans="1:15">
      <c r="A86" s="149" t="s">
        <v>486</v>
      </c>
      <c r="B86" s="617">
        <f>+'[2]OLD Tables'!D20</f>
        <v>65720.434914081998</v>
      </c>
      <c r="C86" s="32">
        <f>IF($B86&gt;0,(GETPIVOTDATA(" New Retirement",'$ Pivot Table'!$A$3,"State","MS","Category",2,"Category2","Four-Year"))/$B86)*100</f>
        <v>10.377427794908698</v>
      </c>
      <c r="D86" s="32">
        <f>IF($B86&gt;0,(GETPIVOTDATA(" New Health",'$ Pivot Table'!$A$3,"State","MS","Category",2,"Category2","Four-Year"))/$B86)*100</f>
        <v>4.1575634830690804</v>
      </c>
      <c r="E86" s="32">
        <f>IF($B86&gt;0,(GETPIVOTDATA(" New Disability",'$ Pivot Table'!$A$3,"State","MS","Category",2,"Category2","Four-Year"))/$B86)*100</f>
        <v>0</v>
      </c>
      <c r="F86" s="32"/>
      <c r="G86" s="32">
        <f>IF($B86&gt;0,(GETPIVOTDATA(" New Social Security",'$ Pivot Table'!$A$3,"State","MS","Category",2,"Category2","Four-Year"))/$B86)*100</f>
        <v>7.5050133035297897</v>
      </c>
      <c r="H86" s="32"/>
      <c r="I86" s="56">
        <f>IF($B86&gt;0,(GETPIVOTDATA(" New Unemployment",'$ Pivot Table'!$A$3,"State","MS","Category",2,"Category2","Four-Year"))/$B86)*100</f>
        <v>8.7061916894590502E-2</v>
      </c>
      <c r="J86" s="32">
        <f>IF($B86&gt;0,(GETPIVOTDATA(" New Life Insurance",'$ Pivot Table'!$A$3,"State","MS","Category",2,"Category2","Four-Year"))/$B86)*100</f>
        <v>0.12638983346732932</v>
      </c>
      <c r="K86" s="32"/>
      <c r="L86" s="32">
        <f>IF($B86&gt;0,(GETPIVOTDATA(" New Worker's Comp",'$ Pivot Table'!$A$3,"State","MS","Category",2,"Category2","Four-Year"))/$B86)*100</f>
        <v>0.5467451366997168</v>
      </c>
      <c r="M86" s="32">
        <f>IF($B86&gt;0,(GETPIVOTDATA(" New Tuition Plans",'$ Pivot Table'!$A$3,"State","MS","Category",2,"Category2","Four-Year"))/$B86)*100</f>
        <v>3.3163988141394909</v>
      </c>
      <c r="N86" s="32">
        <f>IF($B86&gt;0,(GETPIVOTDATA(" New Other",'$ Pivot Table'!$A$3,"State","MS","Category",2,"Category2","Four-Year"))/$B86)*100</f>
        <v>0</v>
      </c>
      <c r="O86" s="90">
        <f>IF($B86&gt;0,(GETPIVOTDATA(" New Total",'$ Pivot Table'!$A$3,"State","MS","Category",2,"Category2","Four-Year"))/$B86)*100</f>
        <v>21.761446450528851</v>
      </c>
    </row>
    <row r="87" spans="1:15">
      <c r="A87" s="149" t="s">
        <v>487</v>
      </c>
      <c r="B87" s="617">
        <f>+'[2]OLD Tables'!D21</f>
        <v>75843.229486846642</v>
      </c>
      <c r="C87" s="32">
        <f>IF($B87&gt;0,(GETPIVOTDATA(" New Retirement",'$ Pivot Table'!$A$3,"State","NC","Category",2,"Category2","Four-Year"))/$B87)*100</f>
        <v>11.60407016623923</v>
      </c>
      <c r="D87" s="32">
        <f>IF($B87&gt;0,(GETPIVOTDATA(" New Health",'$ Pivot Table'!$A$3,"State","NC","Category",2,"Category2","Four-Year"))/$B87)*100</f>
        <v>6.5002506266627273</v>
      </c>
      <c r="E87" s="32">
        <f>IF($B87&gt;0,(GETPIVOTDATA(" New Disability",'$ Pivot Table'!$A$3,"State","NC","Category",2,"Category2","Four-Year"))/$B87)*100</f>
        <v>0.51936138544259447</v>
      </c>
      <c r="F87" s="32"/>
      <c r="G87" s="32">
        <f>IF($B87&gt;0,(GETPIVOTDATA(" New Social Security",'$ Pivot Table'!$A$3,"State","NC","Category",2,"Category2","Four-Year"))/$B87)*100</f>
        <v>7.3515909623036997</v>
      </c>
      <c r="H87" s="32"/>
      <c r="I87" s="32">
        <f>IF($B87&gt;0,(GETPIVOTDATA(" New Unemployment",'$ Pivot Table'!$A$3,"State","NC","Category",2,"Category2","Four-Year"))/$B87)*100</f>
        <v>8.9953597846679736E-2</v>
      </c>
      <c r="J87" s="32">
        <f>IF($B87&gt;0,(GETPIVOTDATA(" New Life Insurance",'$ Pivot Table'!$A$3,"State","NC","Category",2,"Category2","Four-Year"))/$B87)*100</f>
        <v>0.14335820699213681</v>
      </c>
      <c r="K87" s="32"/>
      <c r="L87" s="32">
        <f>IF($B87&gt;0,(GETPIVOTDATA(" New Worker's Comp",'$ Pivot Table'!$A$3,"State","NC","Category",2,"Category2","Four-Year"))/$B87)*100</f>
        <v>0.86917929391016335</v>
      </c>
      <c r="M87" s="32">
        <f>IF($B87&gt;0,(GETPIVOTDATA(" New Tuition Plans",'$ Pivot Table'!$A$3,"State","NC","Category",2,"Category2","Four-Year"))/$B87)*100</f>
        <v>0</v>
      </c>
      <c r="N87" s="32">
        <f>IF($B87&gt;0,(GETPIVOTDATA(" New Other",'$ Pivot Table'!$A$3,"State","NC","Category",2,"Category2","Four-Year"))/$B87)*100</f>
        <v>0</v>
      </c>
      <c r="O87" s="90">
        <f>IF($B87&gt;0,(GETPIVOTDATA(" New Total",'$ Pivot Table'!$A$3,"State","NC","Category",2,"Category2","Four-Year"))/$B87)*100</f>
        <v>26.967359177300938</v>
      </c>
    </row>
    <row r="88" spans="1:15">
      <c r="A88" s="149" t="s">
        <v>488</v>
      </c>
      <c r="B88" s="617">
        <f>+'[2]OLD Tables'!D22</f>
        <v>0</v>
      </c>
      <c r="C88" s="32">
        <f>IF($B88&gt;0,(GETPIVOTDATA(" New Retirement",'$ Pivot Table'!$A$3,"State","OK","Category",2,"Category2","Four-Year"))/$B88)*100</f>
        <v>0</v>
      </c>
      <c r="D88" s="32">
        <f>IF($B88&gt;0,(GETPIVOTDATA(" New Health",'$ Pivot Table'!$A$3,"State","OK","Category",2,"Category2","Four-Year"))/$B88)*100</f>
        <v>0</v>
      </c>
      <c r="E88" s="32">
        <f>IF($B88&gt;0,(GETPIVOTDATA(" New Disability",'$ Pivot Table'!$A$3,"State","OK","Category",2,"Category2","Four-Year"))/$B88)*100</f>
        <v>0</v>
      </c>
      <c r="F88" s="32"/>
      <c r="G88" s="32">
        <f>IF($B88&gt;0,(GETPIVOTDATA(" New Social Security",'$ Pivot Table'!$A$3,"State","OK","Category",2,"Category2","Four-Year"))/$B88)*100</f>
        <v>0</v>
      </c>
      <c r="H88" s="32"/>
      <c r="I88" s="32">
        <f>IF($B88&gt;0,(GETPIVOTDATA(" New Unemployment",'$ Pivot Table'!$A$3,"State","OK","Category",2,"Category2","Four-Year"))/$B88)*100</f>
        <v>0</v>
      </c>
      <c r="J88" s="32">
        <f>IF($B88&gt;0,(GETPIVOTDATA(" New Life Insurance",'$ Pivot Table'!$A$3,"State","OK","Category",2,"Category2","Four-Year"))/$B88)*100</f>
        <v>0</v>
      </c>
      <c r="K88" s="32"/>
      <c r="L88" s="32">
        <f>IF($B88&gt;0,(GETPIVOTDATA(" New Worker's Comp",'$ Pivot Table'!$A$3,"State","OK","Category",2,"Category2","Four-Year"))/$B88)*100</f>
        <v>0</v>
      </c>
      <c r="M88" s="32">
        <f>IF($B88&gt;0,(GETPIVOTDATA(" New Tuition Plans",'$ Pivot Table'!$A$3,"State","OK","Category",2,"Category2","Four-Year"))/$B88)*100</f>
        <v>0</v>
      </c>
      <c r="N88" s="32">
        <f>IF($B88&gt;0,(GETPIVOTDATA(" New Other",'$ Pivot Table'!$A$3,"State","OK","Category",2,"Category2","Four-Year"))/$B88)*100</f>
        <v>0</v>
      </c>
      <c r="O88" s="90">
        <f>IF($B88&gt;0,(GETPIVOTDATA(" New Total",'$ Pivot Table'!$A$3,"State","OK","Category",2,"Category2","Four-Year"))/$B88)*100</f>
        <v>0</v>
      </c>
    </row>
    <row r="89" spans="1:15">
      <c r="A89" s="149" t="s">
        <v>489</v>
      </c>
      <c r="B89" s="617">
        <f>+'[2]OLD Tables'!D23</f>
        <v>0</v>
      </c>
      <c r="C89" s="32">
        <f>IF($B89&gt;0,(GETPIVOTDATA(" New Retirement",'$ Pivot Table'!$A$3,"State","SC","Category",2,"Category2","Four-Year"))/$B89)*100</f>
        <v>0</v>
      </c>
      <c r="D89" s="32">
        <f>IF($B89&gt;0,(GETPIVOTDATA(" New Health",'$ Pivot Table'!$A$3,"State","SC","Category",2,"Category2","Four-Year"))/$B89)*100</f>
        <v>0</v>
      </c>
      <c r="E89" s="32">
        <f>IF($B89&gt;0,(GETPIVOTDATA(" New Disability",'$ Pivot Table'!$A$3,"State","SC","Category",2,"Category2","Four-Year"))/$B89)*100</f>
        <v>0</v>
      </c>
      <c r="F89" s="32"/>
      <c r="G89" s="32">
        <f>IF($B89&gt;0,(GETPIVOTDATA(" New Social Security",'$ Pivot Table'!$A$3,"State","SC","Category",2,"Category2","Four-Year"))/$B89)*100</f>
        <v>0</v>
      </c>
      <c r="H89" s="32"/>
      <c r="I89" s="32">
        <f>IF($B89&gt;0,(GETPIVOTDATA(" New Unemployment",'$ Pivot Table'!$A$3,"State","SC","Category",2,"Category2","Four-Year"))/$B89)*100</f>
        <v>0</v>
      </c>
      <c r="J89" s="32">
        <f>IF($B89&gt;0,(GETPIVOTDATA(" New Life Insurance",'$ Pivot Table'!$A$3,"State","SC","Category",2,"Category2","Four-Year"))/$B89)*100</f>
        <v>0</v>
      </c>
      <c r="K89" s="32"/>
      <c r="L89" s="32">
        <f>IF($B89&gt;0,(GETPIVOTDATA(" New Worker's Comp",'$ Pivot Table'!$A$3,"State","SC","Category",2,"Category2","Four-Year"))/$B89)*100</f>
        <v>0</v>
      </c>
      <c r="M89" s="32">
        <f>IF($B89&gt;0,(GETPIVOTDATA(" New Tuition Plans",'$ Pivot Table'!$A$3,"State","SC","Category",2,"Category2","Four-Year"))/$B89)*100</f>
        <v>0</v>
      </c>
      <c r="N89" s="32">
        <f>IF($B89&gt;0,(GETPIVOTDATA(" New Other",'$ Pivot Table'!$A$3,"State","SC","Category",2,"Category2","Four-Year"))/$B89)*100</f>
        <v>0</v>
      </c>
      <c r="O89" s="90">
        <f>IF($B89&gt;0,(GETPIVOTDATA(" New Total",'$ Pivot Table'!$A$3,"State","SC","Category",2,"Category2","Four-Year"))/$B89)*100</f>
        <v>0</v>
      </c>
    </row>
    <row r="90" spans="1:15">
      <c r="A90" s="149"/>
      <c r="B90" s="617">
        <f>+'[2]OLD Tables'!D24</f>
        <v>0</v>
      </c>
      <c r="C90" s="32"/>
      <c r="D90" s="34"/>
      <c r="E90" s="32"/>
      <c r="F90" s="32"/>
      <c r="G90" s="32"/>
      <c r="H90" s="32"/>
      <c r="I90" s="32"/>
      <c r="J90" s="32"/>
      <c r="K90" s="32"/>
      <c r="L90" s="32"/>
      <c r="M90" s="32"/>
      <c r="N90" s="32"/>
      <c r="O90" s="90"/>
    </row>
    <row r="91" spans="1:15">
      <c r="A91" s="149" t="s">
        <v>490</v>
      </c>
      <c r="B91" s="617">
        <f>+'[2]OLD Tables'!D25</f>
        <v>0</v>
      </c>
      <c r="C91" s="28">
        <f>IF($B91&gt;0,(GETPIVOTDATA(" New Retirement",'$ Pivot Table'!$A$3,"State","TN","Category",2,"Category2","Four-Year"))/$B91)*100</f>
        <v>0</v>
      </c>
      <c r="D91" s="28">
        <f>IF($B91&gt;0,(GETPIVOTDATA(" New Health",'$ Pivot Table'!$A$3,"State","TN","Category",2,"Category2","Four-Year"))/$B91)*100</f>
        <v>0</v>
      </c>
      <c r="E91" s="28">
        <f>IF($B91&gt;0,(GETPIVOTDATA(" New Disability",'$ Pivot Table'!$A$3,"State","TN","Category",2,"Category2","Four-Year"))/$B91)*100</f>
        <v>0</v>
      </c>
      <c r="F91" s="28"/>
      <c r="G91" s="28">
        <f>IF($B91&gt;0,(GETPIVOTDATA(" New Social Security",'$ Pivot Table'!$A$3,"State","TN","Category",2,"Category2","Four-Year"))/$B91)*100</f>
        <v>0</v>
      </c>
      <c r="H91" s="28"/>
      <c r="I91" s="28">
        <f>IF($B91&gt;0,(GETPIVOTDATA(" New Unemployment",'$ Pivot Table'!$A$3,"State","TN","Category",2,"Category2","Four-Year"))/$B91)*100</f>
        <v>0</v>
      </c>
      <c r="J91" s="28">
        <f>IF($B91&gt;0,(GETPIVOTDATA(" New Life Insurance",'$ Pivot Table'!$A$3,"State","TN","Category",2,"Category2","Four-Year"))/$B91)*100</f>
        <v>0</v>
      </c>
      <c r="K91" s="28"/>
      <c r="L91" s="28">
        <f>IF($B91&gt;0,(GETPIVOTDATA(" New Worker's Comp",'$ Pivot Table'!$A$3,"State","TN","Category",2,"Category2","Four-Year"))/$B91)*100</f>
        <v>0</v>
      </c>
      <c r="M91" s="28">
        <f>IF($B91&gt;0,(GETPIVOTDATA(" New Tuition Plans",'$ Pivot Table'!$A$3,"State","TN","Category",2,"Category2","Four-Year"))/$B91)*100</f>
        <v>0</v>
      </c>
      <c r="N91" s="28">
        <f>IF($B91&gt;0,(GETPIVOTDATA(" New Other",'$ Pivot Table'!$A$3,"State","TN","Category",2,"Category2","Four-Year"))/$B91)*100</f>
        <v>0</v>
      </c>
      <c r="O91" s="86">
        <f>IF($B91&gt;0,(GETPIVOTDATA(" New Total",'$ Pivot Table'!$A$3,"State","TN","Category",2,"Category2","Four-Year"))/$B91)*100</f>
        <v>0</v>
      </c>
    </row>
    <row r="92" spans="1:15">
      <c r="A92" s="149" t="s">
        <v>491</v>
      </c>
      <c r="B92" s="617">
        <f>+'[2]OLD Tables'!D26</f>
        <v>71913.133333333331</v>
      </c>
      <c r="C92" s="28">
        <f>IF($B92&gt;0,(GETPIVOTDATA(" New Retirement",'$ Pivot Table'!$A$3,"State","TX","Category",2,"Category2","Four-Year"))/$B92)*100</f>
        <v>7.741628009618001</v>
      </c>
      <c r="D92" s="28">
        <f>IF($B92&gt;0,(GETPIVOTDATA(" New Health",'$ Pivot Table'!$A$3,"State","TX","Category",2,"Category2","Four-Year"))/$B92)*100</f>
        <v>9.8478792488322853</v>
      </c>
      <c r="E92" s="28">
        <f>IF($B92&gt;0,(GETPIVOTDATA(" New Disability",'$ Pivot Table'!$A$3,"State","TX","Category",2,"Category2","Four-Year"))/$B92)*100</f>
        <v>0</v>
      </c>
      <c r="F92" s="28"/>
      <c r="G92" s="28">
        <f>IF($B92&gt;0,(GETPIVOTDATA(" New Social Security",'$ Pivot Table'!$A$3,"State","TX","Category",2,"Category2","Four-Year"))/$B92)*100</f>
        <v>6.077706843204898</v>
      </c>
      <c r="H92" s="28"/>
      <c r="I92" s="58">
        <f>IF($B92&gt;0,(GETPIVOTDATA(" New Unemployment",'$ Pivot Table'!$A$3,"State","TX","Category",2,"Category2","Four-Year"))/$B92)*100</f>
        <v>7.5259397786564E-2</v>
      </c>
      <c r="J92" s="58">
        <f>IF($B92&gt;0,(GETPIVOTDATA(" New Life Insurance",'$ Pivot Table'!$A$3,"State","TX","Category",2,"Category2","Four-Year"))/$B92)*100</f>
        <v>3.1673641565631801E-2</v>
      </c>
      <c r="K92" s="58"/>
      <c r="L92" s="28">
        <f>IF($B92&gt;0,(GETPIVOTDATA(" New Worker's Comp",'$ Pivot Table'!$A$3,"State","TX","Category",2,"Category2","Four-Year"))/$B92)*100</f>
        <v>0.16064511310850327</v>
      </c>
      <c r="M92" s="28">
        <f>IF($B92&gt;0,(GETPIVOTDATA(" New Tuition Plans",'$ Pivot Table'!$A$3,"State","TX","Category",2,"Category2","Four-Year"))/$B92)*100</f>
        <v>0</v>
      </c>
      <c r="N92" s="28">
        <f>IF($B92&gt;0,(GETPIVOTDATA(" New Other",'$ Pivot Table'!$A$3,"State","TX","Category",2,"Category2","Four-Year"))/$B92)*100</f>
        <v>0</v>
      </c>
      <c r="O92" s="86">
        <f>IF($B92&gt;0,(GETPIVOTDATA(" New Total",'$ Pivot Table'!$A$3,"State","TX","Category",2,"Category2","Four-Year"))/$B92)*100</f>
        <v>23.311577593441889</v>
      </c>
    </row>
    <row r="93" spans="1:15">
      <c r="A93" s="149" t="s">
        <v>492</v>
      </c>
      <c r="B93" s="617">
        <f>+'[2]OLD Tables'!D27</f>
        <v>78891.825942071388</v>
      </c>
      <c r="C93" s="28">
        <f>IF($B93&gt;0,(GETPIVOTDATA(" New Retirement",'$ Pivot Table'!$A$3,"State","VA","Category",2,"Category2","Four-Year"))/$B93)*100</f>
        <v>9.0733857008736649</v>
      </c>
      <c r="D93" s="28">
        <f>IF($B93&gt;0,(GETPIVOTDATA(" New Health",'$ Pivot Table'!$A$3,"State","VA","Category",2,"Category2","Four-Year"))/$B93)*100</f>
        <v>11.416976869716763</v>
      </c>
      <c r="E93" s="28">
        <f>IF($B93&gt;0,(GETPIVOTDATA(" New Disability",'$ Pivot Table'!$A$3,"State","VA","Category",2,"Category2","Four-Year"))/$B93)*100</f>
        <v>0.13591708544975623</v>
      </c>
      <c r="F93" s="28"/>
      <c r="G93" s="28">
        <f>IF($B93&gt;0,(GETPIVOTDATA(" New Social Security",'$ Pivot Table'!$A$3,"State","VA","Category",2,"Category2","Four-Year"))/$B93)*100</f>
        <v>7.0736920225881752</v>
      </c>
      <c r="H93" s="28"/>
      <c r="I93" s="28">
        <f>IF($B93&gt;0,(GETPIVOTDATA(" New Unemployment",'$ Pivot Table'!$A$3,"State","VA","Category",2,"Category2","Four-Year"))/$B93)*100</f>
        <v>7.0574124156735862E-2</v>
      </c>
      <c r="J93" s="28">
        <f>IF($B93&gt;0,(GETPIVOTDATA(" New Life Insurance",'$ Pivot Table'!$A$3,"State","VA","Category",2,"Category2","Four-Year"))/$B93)*100</f>
        <v>0.59131531837877194</v>
      </c>
      <c r="K93" s="28"/>
      <c r="L93" s="28">
        <f>IF($B93&gt;0,(GETPIVOTDATA(" New Worker's Comp",'$ Pivot Table'!$A$3,"State","VA","Category",2,"Category2","Four-Year"))/$B93)*100</f>
        <v>0.35996156825728054</v>
      </c>
      <c r="M93" s="28">
        <f>IF($B93&gt;0,(GETPIVOTDATA(" New Tuition Plans",'$ Pivot Table'!$A$3,"State","VA","Category",2,"Category2","Four-Year"))/$B93)*100</f>
        <v>0</v>
      </c>
      <c r="N93" s="28">
        <f>IF($B93&gt;0,(GETPIVOTDATA(" New Other",'$ Pivot Table'!$A$3,"State","VA","Category",2,"Category2","Four-Year"))/$B93)*100</f>
        <v>0.30421402614793952</v>
      </c>
      <c r="O93" s="86">
        <f>IF($B93&gt;0,(GETPIVOTDATA(" New Total",'$ Pivot Table'!$A$3,"State","VA","Category",2,"Category2","Four-Year"))/$B93)*100</f>
        <v>27.586894084747758</v>
      </c>
    </row>
    <row r="94" spans="1:15">
      <c r="A94" s="630" t="s">
        <v>493</v>
      </c>
      <c r="B94" s="618">
        <f>+'[2]OLD Tables'!D28</f>
        <v>0</v>
      </c>
      <c r="C94" s="30">
        <f>IF($B94&gt;0,(GETPIVOTDATA(" New Retirement",'$ Pivot Table'!$A$3,"State","WV","Category",2,"Category2","Four-Year"))/$B94)*100</f>
        <v>0</v>
      </c>
      <c r="D94" s="30">
        <f>IF($B94&gt;0,(GETPIVOTDATA(" New Health",'$ Pivot Table'!$A$3,"State","WV","Category",2,"Category2","Four-Year"))/$B94)*100</f>
        <v>0</v>
      </c>
      <c r="E94" s="30">
        <f>IF($B94&gt;0,(GETPIVOTDATA(" New Disability",'$ Pivot Table'!$A$3,"State","WV","Category",2,"Category2","Four-Year"))/$B94)*100</f>
        <v>0</v>
      </c>
      <c r="F94" s="30"/>
      <c r="G94" s="30">
        <f>IF($B94&gt;0,(GETPIVOTDATA(" New Social Security",'$ Pivot Table'!$A$3,"State","WV","Category",2,"Category2","Four-Year"))/$B94)*100</f>
        <v>0</v>
      </c>
      <c r="H94" s="30"/>
      <c r="I94" s="30">
        <f>IF($B94&gt;0,(GETPIVOTDATA(" New Unemployment",'$ Pivot Table'!$A$3,"State","WV","Category",2,"Category2","Four-Year"))/$B94)*100</f>
        <v>0</v>
      </c>
      <c r="J94" s="30">
        <f>IF($B94&gt;0,(GETPIVOTDATA(" New Life Insurance",'$ Pivot Table'!$A$3,"State","WV","Category",2,"Category2","Four-Year"))/$B94)*100</f>
        <v>0</v>
      </c>
      <c r="K94" s="30"/>
      <c r="L94" s="30">
        <f>IF($B94&gt;0,(GETPIVOTDATA(" New Worker's Comp",'$ Pivot Table'!$A$3,"State","WV","Category",2,"Category2","Four-Year"))/$B94)*100</f>
        <v>0</v>
      </c>
      <c r="M94" s="30">
        <f>IF($B94&gt;0,(GETPIVOTDATA(" New Tuition Plans",'$ Pivot Table'!$A$3,"State","WV","Category",2,"Category2","Four-Year"))/$B94)*100</f>
        <v>0</v>
      </c>
      <c r="N94" s="30">
        <f>IF($B94&gt;0,(GETPIVOTDATA(" New Other",'$ Pivot Table'!$A$3,"State","WV","Category",2,"Category2","Four-Year"))/$B94)*100</f>
        <v>0</v>
      </c>
      <c r="O94" s="115">
        <f>IF($B94&gt;0,(GETPIVOTDATA(" New Total",'$ Pivot Table'!$A$3,"State","WV","Category",2,"Category2","Four-Year"))/$B94)*100</f>
        <v>0</v>
      </c>
    </row>
    <row r="95" spans="1:15" ht="18" customHeight="1">
      <c r="A95" s="628" t="s">
        <v>14</v>
      </c>
      <c r="B95" s="45"/>
      <c r="C95" s="54"/>
      <c r="D95" s="54"/>
      <c r="E95" s="54"/>
      <c r="F95" s="54"/>
      <c r="G95" s="54"/>
      <c r="H95" s="54"/>
      <c r="I95" s="54"/>
      <c r="J95" s="54"/>
      <c r="K95" s="54"/>
      <c r="L95" s="54"/>
      <c r="M95" s="54"/>
      <c r="N95" s="54"/>
      <c r="O95" s="145"/>
    </row>
    <row r="96" spans="1:15" ht="18" customHeight="1">
      <c r="A96" s="628" t="s">
        <v>678</v>
      </c>
      <c r="B96" s="45"/>
      <c r="C96" s="54"/>
      <c r="D96" s="54"/>
      <c r="E96" s="54"/>
      <c r="F96" s="54"/>
      <c r="G96" s="54"/>
      <c r="H96" s="54"/>
      <c r="I96" s="54"/>
      <c r="J96" s="54"/>
      <c r="K96" s="54"/>
      <c r="L96" s="54"/>
      <c r="M96" s="54"/>
      <c r="N96" s="54"/>
      <c r="O96" s="145"/>
    </row>
    <row r="97" spans="1:15">
      <c r="A97" s="629"/>
      <c r="B97" s="45"/>
      <c r="C97" s="54"/>
      <c r="D97" s="54"/>
      <c r="E97" s="54"/>
      <c r="F97" s="54"/>
      <c r="G97" s="54"/>
      <c r="H97" s="54"/>
      <c r="I97" s="54"/>
      <c r="J97" s="54"/>
      <c r="K97" s="54"/>
      <c r="L97" s="54"/>
      <c r="M97" s="54"/>
      <c r="N97" s="54"/>
      <c r="O97" s="637" t="s">
        <v>1321</v>
      </c>
    </row>
    <row r="98" spans="1:15" ht="18">
      <c r="A98" s="595" t="s">
        <v>1103</v>
      </c>
      <c r="B98" s="48"/>
      <c r="C98" s="48"/>
      <c r="D98" s="48"/>
      <c r="E98" s="48"/>
      <c r="F98" s="48"/>
      <c r="G98" s="48"/>
      <c r="H98" s="48"/>
      <c r="I98" s="48"/>
      <c r="J98" s="48"/>
      <c r="K98" s="48"/>
      <c r="L98" s="48"/>
      <c r="M98" s="48"/>
      <c r="N98" s="48"/>
      <c r="O98" s="48"/>
    </row>
    <row r="99" spans="1:15">
      <c r="A99" s="622"/>
      <c r="B99" s="45"/>
      <c r="C99" s="54"/>
      <c r="D99" s="54"/>
      <c r="E99" s="54"/>
      <c r="F99" s="54"/>
      <c r="G99" s="54"/>
      <c r="H99" s="54"/>
      <c r="I99" s="54"/>
      <c r="J99" s="54"/>
      <c r="K99" s="54"/>
      <c r="L99" s="54"/>
      <c r="M99" s="54"/>
      <c r="N99" s="54"/>
      <c r="O99" s="145"/>
    </row>
    <row r="100" spans="1:15" ht="15.75">
      <c r="A100" s="640" t="s">
        <v>466</v>
      </c>
      <c r="B100" s="640"/>
      <c r="C100" s="640"/>
      <c r="D100" s="640"/>
      <c r="E100" s="640"/>
      <c r="F100" s="640"/>
      <c r="G100" s="640"/>
      <c r="H100" s="640"/>
      <c r="I100" s="640"/>
      <c r="J100" s="640"/>
      <c r="K100" s="640"/>
      <c r="L100" s="640"/>
      <c r="M100" s="640"/>
      <c r="N100" s="640"/>
      <c r="O100" s="640"/>
    </row>
    <row r="101" spans="1:15" ht="15.75">
      <c r="A101" s="640" t="s">
        <v>1071</v>
      </c>
      <c r="B101" s="640"/>
      <c r="C101" s="640"/>
      <c r="D101" s="640"/>
      <c r="E101" s="640"/>
      <c r="F101" s="640"/>
      <c r="G101" s="640"/>
      <c r="H101" s="640"/>
      <c r="I101" s="640"/>
      <c r="J101" s="640"/>
      <c r="K101" s="640"/>
      <c r="L101" s="640"/>
      <c r="M101" s="640"/>
      <c r="N101" s="640"/>
      <c r="O101" s="640"/>
    </row>
    <row r="102" spans="1:15">
      <c r="A102" s="148"/>
      <c r="B102" s="45"/>
      <c r="C102" s="54"/>
      <c r="D102" s="54"/>
      <c r="E102" s="54"/>
      <c r="F102" s="54"/>
      <c r="G102" s="54"/>
      <c r="H102" s="54"/>
      <c r="I102" s="54"/>
      <c r="J102" s="54"/>
      <c r="K102" s="54"/>
      <c r="L102" s="54"/>
      <c r="M102" s="54"/>
      <c r="N102" s="54"/>
      <c r="O102" s="145"/>
    </row>
    <row r="103" spans="1:15">
      <c r="A103" s="623"/>
      <c r="B103" s="2" t="s">
        <v>473</v>
      </c>
      <c r="C103" s="643" t="s">
        <v>593</v>
      </c>
      <c r="D103" s="643"/>
      <c r="E103" s="643"/>
      <c r="F103" s="643"/>
      <c r="G103" s="643"/>
      <c r="H103" s="643"/>
      <c r="I103" s="643"/>
      <c r="J103" s="643"/>
      <c r="K103" s="643"/>
      <c r="L103" s="643"/>
      <c r="M103" s="643"/>
      <c r="N103" s="643"/>
      <c r="O103" s="643"/>
    </row>
    <row r="104" spans="1:15">
      <c r="A104" s="624"/>
      <c r="B104" s="4" t="s">
        <v>474</v>
      </c>
      <c r="C104" s="3" t="s">
        <v>660</v>
      </c>
      <c r="D104" s="3"/>
      <c r="E104" s="53"/>
      <c r="F104" s="53"/>
      <c r="G104" s="3" t="s">
        <v>661</v>
      </c>
      <c r="H104" s="3"/>
      <c r="I104" s="3" t="s">
        <v>662</v>
      </c>
      <c r="J104" s="3" t="s">
        <v>663</v>
      </c>
      <c r="K104" s="3"/>
      <c r="L104" s="3" t="s">
        <v>664</v>
      </c>
      <c r="M104" s="3" t="s">
        <v>665</v>
      </c>
      <c r="N104" s="3"/>
      <c r="O104" s="124" t="s">
        <v>475</v>
      </c>
    </row>
    <row r="105" spans="1:15">
      <c r="A105" s="625"/>
      <c r="B105" s="15" t="s">
        <v>476</v>
      </c>
      <c r="C105" s="16" t="s">
        <v>667</v>
      </c>
      <c r="D105" s="16" t="s">
        <v>708</v>
      </c>
      <c r="E105" s="17" t="s">
        <v>709</v>
      </c>
      <c r="F105" s="17"/>
      <c r="G105" s="16" t="s">
        <v>668</v>
      </c>
      <c r="H105" s="16"/>
      <c r="I105" s="16" t="s">
        <v>667</v>
      </c>
      <c r="J105" s="16" t="s">
        <v>669</v>
      </c>
      <c r="K105" s="16"/>
      <c r="L105" s="16" t="s">
        <v>670</v>
      </c>
      <c r="M105" s="16" t="s">
        <v>671</v>
      </c>
      <c r="N105" s="16" t="s">
        <v>701</v>
      </c>
      <c r="O105" s="146" t="s">
        <v>15</v>
      </c>
    </row>
    <row r="106" spans="1:15">
      <c r="A106" s="149" t="s">
        <v>600</v>
      </c>
      <c r="B106" s="33">
        <f>+'[2]OLD Tables'!F8</f>
        <v>63167.617887218912</v>
      </c>
      <c r="C106" s="32">
        <f>IF($B106&gt;0,(GETPIVOTDATA(" New Retirement",'$ Pivot Table'!$A$3,"Category",3,"Category2","Four-Year"))/$B106)*100</f>
        <v>10.422929649036183</v>
      </c>
      <c r="D106" s="32">
        <f>IF($B106&gt;0,(GETPIVOTDATA(" New Health",'$ Pivot Table'!$A$3,"Category",3,"Category2","Four-Year"))/$B106)*100</f>
        <v>9.9295756943617288</v>
      </c>
      <c r="E106" s="32">
        <f>IF($B106&gt;0,(GETPIVOTDATA(" New Disability",'$ Pivot Table'!$A$3,"Category",3,"Category2","Four-Year"))/$B106)*100</f>
        <v>0.4067399706035757</v>
      </c>
      <c r="F106" s="32"/>
      <c r="G106" s="32">
        <f>IF($B106&gt;0,(GETPIVOTDATA(" New Social Security",'$ Pivot Table'!$A$3,"Category",3,"Category2","Four-Year"))/$B106)*100</f>
        <v>7.289315772240899</v>
      </c>
      <c r="H106" s="32"/>
      <c r="I106" s="32">
        <f>IF($B106&gt;0,(GETPIVOTDATA(" New Unemployment",'$ Pivot Table'!$A$3,"Category",3,"Category2","Four-Year"))/$B106)*100</f>
        <v>0.1560929389483641</v>
      </c>
      <c r="J106" s="32">
        <f>IF($B106&gt;0,(GETPIVOTDATA(" New Life Insurance",'$ Pivot Table'!$A$3,"Category",3,"Category2","Four-Year"))/$B106)*100</f>
        <v>0.33821639348521515</v>
      </c>
      <c r="K106" s="32"/>
      <c r="L106" s="32">
        <f>IF($B106&gt;0,(GETPIVOTDATA(" New Worker's Comp",'$ Pivot Table'!$A$3,"Category",3,"Category2","Four-Year"))/$B106)*100</f>
        <v>0.55757800520141199</v>
      </c>
      <c r="M106" s="32">
        <f>IF($B106&gt;0,(GETPIVOTDATA(" New Tuition Plans",'$ Pivot Table'!$A$3,"Category",3,"Category2","Four-Year"))/$B106)*100</f>
        <v>4.5433801149520798</v>
      </c>
      <c r="N106" s="32">
        <f>IF($B106&gt;0,(GETPIVOTDATA(" New Other",'$ Pivot Table'!$A$3,"Category",3,"Category2","Four-Year"))/$B106)*100</f>
        <v>1.1983776819606817</v>
      </c>
      <c r="O106" s="90">
        <f>IF($B106&gt;0,(GETPIVOTDATA(" New Total",'$ Pivot Table'!$A$3,"Category",3,"Category2","Four-Year"))/$B106)*100</f>
        <v>27.367196975908936</v>
      </c>
    </row>
    <row r="107" spans="1:15">
      <c r="A107" s="149"/>
      <c r="B107" s="31">
        <f>+'[3]OLD Tables 107-126'!F9</f>
        <v>0</v>
      </c>
      <c r="C107" s="32"/>
      <c r="D107" s="34"/>
      <c r="E107" s="32"/>
      <c r="F107" s="32"/>
      <c r="G107" s="32"/>
      <c r="H107" s="32"/>
      <c r="I107" s="32"/>
      <c r="J107" s="32"/>
      <c r="K107" s="32"/>
      <c r="L107" s="32"/>
      <c r="M107" s="32"/>
      <c r="N107" s="32"/>
      <c r="O107" s="90"/>
    </row>
    <row r="108" spans="1:15">
      <c r="A108" s="149" t="s">
        <v>479</v>
      </c>
      <c r="B108" s="617">
        <f>+'[2]OLD Tables'!F10</f>
        <v>61091.586803418802</v>
      </c>
      <c r="C108" s="32">
        <f>IF($B108&gt;0,(GETPIVOTDATA(" New Retirement",'$ Pivot Table'!$A$3,"State","AL","Category",3,"Category2","Four-Year"))/$B108)*100</f>
        <v>11.846350491434119</v>
      </c>
      <c r="D108" s="32">
        <f>IF($B108&gt;0,(GETPIVOTDATA(" New Health",'$ Pivot Table'!$A$3,"State","AL","Category",3,"Category2","Four-Year"))/$B108)*100</f>
        <v>13.54003620932839</v>
      </c>
      <c r="E108" s="32">
        <f>IF($B108&gt;0,(GETPIVOTDATA(" New Disability",'$ Pivot Table'!$A$3,"State","AL","Category",3,"Category2","Four-Year"))/$B108)*100</f>
        <v>0.53037186536927461</v>
      </c>
      <c r="F108" s="32"/>
      <c r="G108" s="32">
        <f>IF($B108&gt;0,(GETPIVOTDATA(" New Social Security",'$ Pivot Table'!$A$3,"State","AL","Category",3,"Category2","Four-Year"))/$B108)*100</f>
        <v>6.7063625398246618</v>
      </c>
      <c r="H108" s="32"/>
      <c r="I108" s="32">
        <f>IF($B108&gt;0,(GETPIVOTDATA(" New Unemployment",'$ Pivot Table'!$A$3,"State","AL","Category",3,"Category2","Four-Year"))/$B108)*100</f>
        <v>9.9509470237285999E-2</v>
      </c>
      <c r="J108" s="32">
        <f>IF($B108&gt;0,(GETPIVOTDATA(" New Life Insurance",'$ Pivot Table'!$A$3,"State","AL","Category",3,"Category2","Four-Year"))/$B108)*100</f>
        <v>0.31203808480552375</v>
      </c>
      <c r="K108" s="32"/>
      <c r="L108" s="32">
        <f>IF($B108&gt;0,(GETPIVOTDATA(" New Worker's Comp",'$ Pivot Table'!$A$3,"State","AL","Category",3,"Category2","Four-Year"))/$B108)*100</f>
        <v>0</v>
      </c>
      <c r="M108" s="32">
        <f>IF($B108&gt;0,(GETPIVOTDATA(" New Tuition Plans",'$ Pivot Table'!$A$3,"State","AL","Category",3,"Category2","Four-Year"))/$B108)*100</f>
        <v>8.7567806467594043</v>
      </c>
      <c r="N108" s="32">
        <f>IF($B108&gt;0,(GETPIVOTDATA(" New Other",'$ Pivot Table'!$A$3,"State","AL","Category",3,"Category2","Four-Year"))/$B108)*100</f>
        <v>7.693367034520994E-2</v>
      </c>
      <c r="O108" s="90">
        <f>IF($B108&gt;0,(GETPIVOTDATA(" New Total",'$ Pivot Table'!$A$3,"State","AL","Category",3,"Category2","Four-Year"))/$B108)*100</f>
        <v>30.301410489692593</v>
      </c>
    </row>
    <row r="109" spans="1:15">
      <c r="A109" s="149" t="s">
        <v>480</v>
      </c>
      <c r="B109" s="617">
        <f>+'[2]OLD Tables'!F11</f>
        <v>56676.902067578128</v>
      </c>
      <c r="C109" s="32">
        <f>IF($B109&gt;0,(GETPIVOTDATA(" New Retirement",'$ Pivot Table'!$A$3,"State","AR","Category",3,"Category2","Four-Year"))/$B109)*100</f>
        <v>10.484508419782443</v>
      </c>
      <c r="D109" s="32">
        <f>IF($B109&gt;0,(GETPIVOTDATA(" New Health",'$ Pivot Table'!$A$3,"State","AR","Category",3,"Category2","Four-Year"))/$B109)*100</f>
        <v>9.5702107351584207</v>
      </c>
      <c r="E109" s="32">
        <f>IF($B109&gt;0,(GETPIVOTDATA(" New Disability",'$ Pivot Table'!$A$3,"State","AR","Category",3,"Category2","Four-Year"))/$B109)*100</f>
        <v>0.2243479454733156</v>
      </c>
      <c r="F109" s="32"/>
      <c r="G109" s="32">
        <f>IF($B109&gt;0,(GETPIVOTDATA(" New Social Security",'$ Pivot Table'!$A$3,"State","AR","Category",3,"Category2","Four-Year"))/$B109)*100</f>
        <v>7.8843599217448919</v>
      </c>
      <c r="H109" s="32"/>
      <c r="I109" s="32">
        <f>IF($B109&gt;0,(GETPIVOTDATA(" New Unemployment",'$ Pivot Table'!$A$3,"State","AR","Category",3,"Category2","Four-Year"))/$B109)*100</f>
        <v>0.18649162280002018</v>
      </c>
      <c r="J109" s="32">
        <f>IF($B109&gt;0,(GETPIVOTDATA(" New Life Insurance",'$ Pivot Table'!$A$3,"State","AR","Category",3,"Category2","Four-Year"))/$B109)*100</f>
        <v>0.25274309037453735</v>
      </c>
      <c r="K109" s="32"/>
      <c r="L109" s="32">
        <f>IF($B109&gt;0,(GETPIVOTDATA(" New Worker's Comp",'$ Pivot Table'!$A$3,"State","AR","Category",3,"Category2","Four-Year"))/$B109)*100</f>
        <v>0.13903157813338846</v>
      </c>
      <c r="M109" s="32">
        <f>IF($B109&gt;0,(GETPIVOTDATA(" New Tuition Plans",'$ Pivot Table'!$A$3,"State","AR","Category",3,"Category2","Four-Year"))/$B109)*100</f>
        <v>2.20642499451059</v>
      </c>
      <c r="N109" s="32">
        <f>IF($B109&gt;0,(GETPIVOTDATA(" New Other",'$ Pivot Table'!$A$3,"State","AR","Category",3,"Category2","Four-Year"))/$B109)*100</f>
        <v>1.1027419940045198</v>
      </c>
      <c r="O109" s="90">
        <f>IF($B109&gt;0,(GETPIVOTDATA(" New Total",'$ Pivot Table'!$A$3,"State","AR","Category",3,"Category2","Four-Year"))/$B109)*100</f>
        <v>27.753293737800249</v>
      </c>
    </row>
    <row r="110" spans="1:15">
      <c r="A110" s="149" t="s">
        <v>494</v>
      </c>
      <c r="B110" s="617">
        <f>+'[2]OLD Tables'!F12</f>
        <v>0</v>
      </c>
      <c r="C110" s="32">
        <f>IF($B110&gt;0,(GETPIVOTDATA(" New Retirement",'$ Pivot Table'!$A$3,"State","DE","Category",3,"Category2","Four-Year"))/$B110)*100</f>
        <v>0</v>
      </c>
      <c r="D110" s="32">
        <f>IF($B110&gt;0,(GETPIVOTDATA(" New Health",'$ Pivot Table'!$A$3,"State","DE","Category",3,"Category2","Four-Year"))/$B110)*100</f>
        <v>0</v>
      </c>
      <c r="E110" s="32">
        <f>IF($B110&gt;0,(GETPIVOTDATA(" New Disability",'$ Pivot Table'!$A$3,"State","DE","Category",3,"Category2","Four-Year"))/$B110)*100</f>
        <v>0</v>
      </c>
      <c r="F110" s="32"/>
      <c r="G110" s="32">
        <f>IF($B110&gt;0,(GETPIVOTDATA(" New Social Security",'$ Pivot Table'!$A$3,"State","DE","Category",3,"Category2","Four-Year"))/$B110)*100</f>
        <v>0</v>
      </c>
      <c r="H110" s="32"/>
      <c r="I110" s="32">
        <f>IF($B110&gt;0,(GETPIVOTDATA(" New Unemployment",'$ Pivot Table'!$A$3,"State","DE","Category",3,"Category2","Four-Year"))/$B110)*100</f>
        <v>0</v>
      </c>
      <c r="J110" s="32">
        <f>IF($B110&gt;0,(GETPIVOTDATA(" New Life Insurance",'$ Pivot Table'!$A$3,"State","DE","Category",3,"Category2","Four-Year"))/$B110)*100</f>
        <v>0</v>
      </c>
      <c r="K110" s="32"/>
      <c r="L110" s="32">
        <f>IF($B110&gt;0,(GETPIVOTDATA(" New Worker's Comp",'$ Pivot Table'!$A$3,"State","DE","Category",3,"Category2","Four-Year"))/$B110)*100</f>
        <v>0</v>
      </c>
      <c r="M110" s="32">
        <f>IF($B110&gt;0,(GETPIVOTDATA(" New Tuition Plans",'$ Pivot Table'!$A$3,"State","DE","Category",3,"Category2","Four-Year"))/$B110)*100</f>
        <v>0</v>
      </c>
      <c r="N110" s="32">
        <f>IF($B110&gt;0,(GETPIVOTDATA(" New Other",'$ Pivot Table'!$A$3,"State","DE","Category",3,"Category2","Four-Year"))/$B110)*100</f>
        <v>0</v>
      </c>
      <c r="O110" s="90">
        <f>IF($B110&gt;0,(GETPIVOTDATA(" New Total",'$ Pivot Table'!$A$3,"State","DE","Category",3,"Category2","Four-Year"))/$B110)*100</f>
        <v>0</v>
      </c>
    </row>
    <row r="111" spans="1:15">
      <c r="A111" s="149" t="s">
        <v>481</v>
      </c>
      <c r="B111" s="617">
        <f>+'[2]OLD Tables'!F13</f>
        <v>65735.091774832137</v>
      </c>
      <c r="C111" s="32">
        <f>IF($B111&gt;0,(GETPIVOTDATA(" New Retirement",'$ Pivot Table'!$A$3,"State","FL","Category",3,"Category2","Four-Year"))/$B111)*100</f>
        <v>11.567009018482283</v>
      </c>
      <c r="D111" s="32">
        <f>IF($B111&gt;0,(GETPIVOTDATA(" New Health",'$ Pivot Table'!$A$3,"State","FL","Category",3,"Category2","Four-Year"))/$B111)*100</f>
        <v>12.320830004518193</v>
      </c>
      <c r="E111" s="32">
        <f>IF($B111&gt;0,(GETPIVOTDATA(" New Disability",'$ Pivot Table'!$A$3,"State","FL","Category",3,"Category2","Four-Year"))/$B111)*100</f>
        <v>0</v>
      </c>
      <c r="F111" s="32"/>
      <c r="G111" s="32">
        <f>IF($B111&gt;0,(GETPIVOTDATA(" New Social Security",'$ Pivot Table'!$A$3,"State","FL","Category",3,"Category2","Four-Year"))/$B111)*100</f>
        <v>7.3704270854453569</v>
      </c>
      <c r="H111" s="32"/>
      <c r="I111" s="32">
        <f>IF($B111&gt;0,(GETPIVOTDATA(" New Unemployment",'$ Pivot Table'!$A$3,"State","FL","Category",3,"Category2","Four-Year"))/$B111)*100</f>
        <v>0.55034768611894236</v>
      </c>
      <c r="J111" s="32">
        <f>IF($B111&gt;0,(GETPIVOTDATA(" New Life Insurance",'$ Pivot Table'!$A$3,"State","FL","Category",3,"Category2","Four-Year"))/$B111)*100</f>
        <v>0.20908548791938497</v>
      </c>
      <c r="K111" s="32"/>
      <c r="L111" s="32">
        <f>IF($B111&gt;0,(GETPIVOTDATA(" New Worker's Comp",'$ Pivot Table'!$A$3,"State","FL","Category",3,"Category2","Four-Year"))/$B111)*100</f>
        <v>0.72557386590491868</v>
      </c>
      <c r="M111" s="32">
        <f>IF($B111&gt;0,(GETPIVOTDATA(" New Tuition Plans",'$ Pivot Table'!$A$3,"State","FL","Category",3,"Category2","Four-Year"))/$B111)*100</f>
        <v>0</v>
      </c>
      <c r="N111" s="32">
        <f>IF($B111&gt;0,(GETPIVOTDATA(" New Other",'$ Pivot Table'!$A$3,"State","FL","Category",3,"Category2","Four-Year"))/$B111)*100</f>
        <v>0.30536672371736689</v>
      </c>
      <c r="O111" s="90">
        <f>IF($B111&gt;0,(GETPIVOTDATA(" New Total",'$ Pivot Table'!$A$3,"State","FL","Category",3,"Category2","Four-Year"))/$B111)*100</f>
        <v>30.35504446247068</v>
      </c>
    </row>
    <row r="112" spans="1:15">
      <c r="A112" s="149"/>
      <c r="B112" s="617">
        <f>+'[2]OLD Tables'!F14</f>
        <v>0</v>
      </c>
      <c r="C112" s="32"/>
      <c r="D112" s="34"/>
      <c r="E112" s="32"/>
      <c r="F112" s="32"/>
      <c r="G112" s="32"/>
      <c r="H112" s="32"/>
      <c r="I112" s="32"/>
      <c r="J112" s="32"/>
      <c r="K112" s="32"/>
      <c r="L112" s="32"/>
      <c r="M112" s="32"/>
      <c r="N112" s="32"/>
      <c r="O112" s="90"/>
    </row>
    <row r="113" spans="1:15">
      <c r="A113" s="149" t="s">
        <v>482</v>
      </c>
      <c r="B113" s="617">
        <f>+'[2]OLD Tables'!F15</f>
        <v>59610.573359830611</v>
      </c>
      <c r="C113" s="32">
        <f>IF($B113&gt;0,(GETPIVOTDATA(" New Retirement",'$ Pivot Table'!$A$3,"State","GA","Category",3,"Category2","Four-Year"))/$B113)*100</f>
        <v>9.4747843377763648</v>
      </c>
      <c r="D113" s="32">
        <f>IF($B113&gt;0,(GETPIVOTDATA(" New Health",'$ Pivot Table'!$A$3,"State","GA","Category",3,"Category2","Four-Year"))/$B113)*100</f>
        <v>10.894545513082482</v>
      </c>
      <c r="E113" s="32">
        <f>IF($B113&gt;0,(GETPIVOTDATA(" New Disability",'$ Pivot Table'!$A$3,"State","GA","Category",3,"Category2","Four-Year"))/$B113)*100</f>
        <v>0</v>
      </c>
      <c r="F113" s="32"/>
      <c r="G113" s="32">
        <f>IF($B113&gt;0,(GETPIVOTDATA(" New Social Security",'$ Pivot Table'!$A$3,"State","GA","Category",3,"Category2","Four-Year"))/$B113)*100</f>
        <v>7.5791116445679876</v>
      </c>
      <c r="H113" s="32"/>
      <c r="I113" s="32">
        <f>IF($B113&gt;0,(GETPIVOTDATA(" New Unemployment",'$ Pivot Table'!$A$3,"State","GA","Category",3,"Category2","Four-Year"))/$B113)*100</f>
        <v>0.23653521859096019</v>
      </c>
      <c r="J113" s="32">
        <f>IF($B113&gt;0,(GETPIVOTDATA(" New Life Insurance",'$ Pivot Table'!$A$3,"State","GA","Category",3,"Category2","Four-Year"))/$B113)*100</f>
        <v>0.29720303115341884</v>
      </c>
      <c r="K113" s="32"/>
      <c r="L113" s="32">
        <f>IF($B113&gt;0,(GETPIVOTDATA(" New Worker's Comp",'$ Pivot Table'!$A$3,"State","GA","Category",3,"Category2","Four-Year"))/$B113)*100</f>
        <v>0.21299550565995018</v>
      </c>
      <c r="M113" s="32">
        <f>IF($B113&gt;0,(GETPIVOTDATA(" New Tuition Plans",'$ Pivot Table'!$A$3,"State","GA","Category",3,"Category2","Four-Year"))/$B113)*100</f>
        <v>0</v>
      </c>
      <c r="N113" s="32">
        <f>IF($B113&gt;0,(GETPIVOTDATA(" New Other",'$ Pivot Table'!$A$3,"State","GA","Category",3,"Category2","Four-Year"))/$B113)*100</f>
        <v>0</v>
      </c>
      <c r="O113" s="90">
        <f>IF($B113&gt;0,(GETPIVOTDATA(" New Total",'$ Pivot Table'!$A$3,"State","GA","Category",3,"Category2","Four-Year"))/$B113)*100</f>
        <v>26.72447349808068</v>
      </c>
    </row>
    <row r="114" spans="1:15">
      <c r="A114" s="149" t="s">
        <v>483</v>
      </c>
      <c r="B114" s="617">
        <f>+'[2]OLD Tables'!F16</f>
        <v>59428.287017573217</v>
      </c>
      <c r="C114" s="32">
        <f>IF($B114&gt;0,(GETPIVOTDATA(" New Retirement",'$ Pivot Table'!$A$3,"State","KY","Category",3,"Category2","Four-Year"))/$B114)*100</f>
        <v>13.509262775506272</v>
      </c>
      <c r="D114" s="32">
        <f>IF($B114&gt;0,(GETPIVOTDATA(" New Health",'$ Pivot Table'!$A$3,"State","KY","Category",3,"Category2","Four-Year"))/$B114)*100</f>
        <v>9.0690328719685791</v>
      </c>
      <c r="E114" s="32">
        <f>IF($B114&gt;0,(GETPIVOTDATA(" New Disability",'$ Pivot Table'!$A$3,"State","KY","Category",3,"Category2","Four-Year"))/$B114)*100</f>
        <v>0.17844226385245385</v>
      </c>
      <c r="F114" s="32"/>
      <c r="G114" s="32">
        <f>IF($B114&gt;0,(GETPIVOTDATA(" New Social Security",'$ Pivot Table'!$A$3,"State","KY","Category",3,"Category2","Four-Year"))/$B114)*100</f>
        <v>7.6643447435470122</v>
      </c>
      <c r="H114" s="32"/>
      <c r="I114" s="32">
        <f>IF($B114&gt;0,(GETPIVOTDATA(" New Unemployment",'$ Pivot Table'!$A$3,"State","KY","Category",3,"Category2","Four-Year"))/$B114)*100</f>
        <v>0.25241108528844841</v>
      </c>
      <c r="J114" s="32">
        <f>IF($B114&gt;0,(GETPIVOTDATA(" New Life Insurance",'$ Pivot Table'!$A$3,"State","KY","Category",3,"Category2","Four-Year"))/$B114)*100</f>
        <v>6.1035511757471531E-2</v>
      </c>
      <c r="K114" s="32"/>
      <c r="L114" s="32">
        <f>IF($B114&gt;0,(GETPIVOTDATA(" New Worker's Comp",'$ Pivot Table'!$A$3,"State","KY","Category",3,"Category2","Four-Year"))/$B114)*100</f>
        <v>0.38500279722755526</v>
      </c>
      <c r="M114" s="32">
        <f>IF($B114&gt;0,(GETPIVOTDATA(" New Tuition Plans",'$ Pivot Table'!$A$3,"State","KY","Category",3,"Category2","Four-Year"))/$B114)*100</f>
        <v>4.4087550736114256</v>
      </c>
      <c r="N114" s="32">
        <f>IF($B114&gt;0,(GETPIVOTDATA(" New Other",'$ Pivot Table'!$A$3,"State","KY","Category",3,"Category2","Four-Year"))/$B114)*100</f>
        <v>0.35171586977718594</v>
      </c>
      <c r="O114" s="90">
        <f>IF($B114&gt;0,(GETPIVOTDATA(" New Total",'$ Pivot Table'!$A$3,"State","KY","Category",3,"Category2","Four-Year"))/$B114)*100</f>
        <v>30.91745110432716</v>
      </c>
    </row>
    <row r="115" spans="1:15">
      <c r="A115" s="149" t="s">
        <v>484</v>
      </c>
      <c r="B115" s="617">
        <f>+'[2]OLD Tables'!F17</f>
        <v>58899.918219830899</v>
      </c>
      <c r="C115" s="32">
        <f>IF($B115&gt;0,(GETPIVOTDATA(" New Retirement",'$ Pivot Table'!$A$3,"State","LA","Category",3,"Category2","Four-Year"))/$B115)*100</f>
        <v>14.655529588404756</v>
      </c>
      <c r="D115" s="32">
        <f>IF($B115&gt;0,(GETPIVOTDATA(" New Health",'$ Pivot Table'!$A$3,"State","LA","Category",3,"Category2","Four-Year"))/$B115)*100</f>
        <v>9.708091795199838</v>
      </c>
      <c r="E115" s="32">
        <f>IF($B115&gt;0,(GETPIVOTDATA(" New Disability",'$ Pivot Table'!$A$3,"State","LA","Category",3,"Category2","Four-Year"))/$B115)*100</f>
        <v>0</v>
      </c>
      <c r="F115" s="32"/>
      <c r="G115" s="32">
        <f>IF($B115&gt;0,(GETPIVOTDATA(" New Social Security",'$ Pivot Table'!$A$3,"State","LA","Category",3,"Category2","Four-Year"))/$B115)*100</f>
        <v>1.363245908636159</v>
      </c>
      <c r="H115" s="32"/>
      <c r="I115" s="32">
        <f>IF($B115&gt;0,(GETPIVOTDATA(" New Unemployment",'$ Pivot Table'!$A$3,"State","LA","Category",3,"Category2","Four-Year"))/$B115)*100</f>
        <v>0.23489940179402982</v>
      </c>
      <c r="J115" s="32">
        <f>IF($B115&gt;0,(GETPIVOTDATA(" New Life Insurance",'$ Pivot Table'!$A$3,"State","LA","Category",3,"Category2","Four-Year"))/$B115)*100</f>
        <v>0.33014302236843496</v>
      </c>
      <c r="K115" s="32"/>
      <c r="L115" s="32">
        <f>IF($B115&gt;0,(GETPIVOTDATA(" New Worker's Comp",'$ Pivot Table'!$A$3,"State","LA","Category",3,"Category2","Four-Year"))/$B115)*100</f>
        <v>0.77879745936934786</v>
      </c>
      <c r="M115" s="32">
        <f>IF($B115&gt;0,(GETPIVOTDATA(" New Tuition Plans",'$ Pivot Table'!$A$3,"State","LA","Category",3,"Category2","Four-Year"))/$B115)*100</f>
        <v>2.7483953806813877</v>
      </c>
      <c r="N115" s="32">
        <f>IF($B115&gt;0,(GETPIVOTDATA(" New Other",'$ Pivot Table'!$A$3,"State","LA","Category",3,"Category2","Four-Year"))/$B115)*100</f>
        <v>0</v>
      </c>
      <c r="O115" s="90">
        <f>IF($B115&gt;0,(GETPIVOTDATA(" New Total",'$ Pivot Table'!$A$3,"State","LA","Category",3,"Category2","Four-Year"))/$B115)*100</f>
        <v>23.331243397687558</v>
      </c>
    </row>
    <row r="116" spans="1:15">
      <c r="A116" s="149" t="s">
        <v>485</v>
      </c>
      <c r="B116" s="617">
        <f>+'[2]OLD Tables'!F18</f>
        <v>65322.681049986822</v>
      </c>
      <c r="C116" s="32">
        <f>IF($B116&gt;0,(GETPIVOTDATA(" New Retirement",'$ Pivot Table'!$A$3,"State","MD","Category",3,"Category2","Four-Year"))/$B116)*100</f>
        <v>9.1712579343435525</v>
      </c>
      <c r="D116" s="32">
        <f>IF($B116&gt;0,(GETPIVOTDATA(" New Health",'$ Pivot Table'!$A$3,"State","MD","Category",3,"Category2","Four-Year"))/$B116)*100</f>
        <v>14.994057591625209</v>
      </c>
      <c r="E116" s="32">
        <f>IF($B116&gt;0,(GETPIVOTDATA(" New Disability",'$ Pivot Table'!$A$3,"State","MD","Category",3,"Category2","Four-Year"))/$B116)*100</f>
        <v>0</v>
      </c>
      <c r="F116" s="32"/>
      <c r="G116" s="32">
        <f>IF($B116&gt;0,(GETPIVOTDATA(" New Social Security",'$ Pivot Table'!$A$3,"State","MD","Category",3,"Category2","Four-Year"))/$B116)*100</f>
        <v>7.6853947834741669</v>
      </c>
      <c r="H116" s="32"/>
      <c r="I116" s="32">
        <f>IF($B116&gt;0,(GETPIVOTDATA(" New Unemployment",'$ Pivot Table'!$A$3,"State","MD","Category",3,"Category2","Four-Year"))/$B116)*100</f>
        <v>0.14348604475114421</v>
      </c>
      <c r="J116" s="32">
        <f>IF($B116&gt;0,(GETPIVOTDATA(" New Life Insurance",'$ Pivot Table'!$A$3,"State","MD","Category",3,"Category2","Four-Year"))/$B116)*100</f>
        <v>0</v>
      </c>
      <c r="K116" s="32"/>
      <c r="L116" s="32">
        <f>IF($B116&gt;0,(GETPIVOTDATA(" New Worker's Comp",'$ Pivot Table'!$A$3,"State","MD","Category",3,"Category2","Four-Year"))/$B116)*100</f>
        <v>0.29583438119086619</v>
      </c>
      <c r="M116" s="32">
        <f>IF($B116&gt;0,(GETPIVOTDATA(" New Tuition Plans",'$ Pivot Table'!$A$3,"State","MD","Category",3,"Category2","Four-Year"))/$B116)*100</f>
        <v>5.9861682321383194</v>
      </c>
      <c r="N116" s="32">
        <f>IF($B116&gt;0,(GETPIVOTDATA(" New Other",'$ Pivot Table'!$A$3,"State","MD","Category",3,"Category2","Four-Year"))/$B116)*100</f>
        <v>0</v>
      </c>
      <c r="O116" s="90">
        <f>IF($B116&gt;0,(GETPIVOTDATA(" New Total",'$ Pivot Table'!$A$3,"State","MD","Category",3,"Category2","Four-Year"))/$B116)*100</f>
        <v>32.142050658848078</v>
      </c>
    </row>
    <row r="117" spans="1:15">
      <c r="A117" s="149"/>
      <c r="B117" s="617">
        <f>+'[2]OLD Tables'!F19</f>
        <v>0</v>
      </c>
      <c r="C117" s="32"/>
      <c r="D117" s="34"/>
      <c r="E117" s="32"/>
      <c r="F117" s="32"/>
      <c r="G117" s="32"/>
      <c r="H117" s="32"/>
      <c r="I117" s="32"/>
      <c r="J117" s="32"/>
      <c r="K117" s="32"/>
      <c r="L117" s="32"/>
      <c r="M117" s="32"/>
      <c r="N117" s="32"/>
      <c r="O117" s="90"/>
    </row>
    <row r="118" spans="1:15">
      <c r="A118" s="149" t="s">
        <v>486</v>
      </c>
      <c r="B118" s="617">
        <f>+'[2]OLD Tables'!F20</f>
        <v>0</v>
      </c>
      <c r="C118" s="32">
        <f>IF($B118&gt;0,(GETPIVOTDATA(" New Retirement",'$ Pivot Table'!$A$3,"State","MS","Category",3,"Category2","Four-Year"))/$B118)*100</f>
        <v>0</v>
      </c>
      <c r="D118" s="32">
        <f>IF($B118&gt;0,(GETPIVOTDATA(" New Health",'$ Pivot Table'!$A$3,"State","MS","Category",3,"Category2","Four-Year"))/$B118)*100</f>
        <v>0</v>
      </c>
      <c r="E118" s="32">
        <f>IF($B118&gt;0,(GETPIVOTDATA(" New Disability",'$ Pivot Table'!$A$3,"State","MS","Category",3,"Category2","Four-Year"))/$B118)*100</f>
        <v>0</v>
      </c>
      <c r="F118" s="32"/>
      <c r="G118" s="32">
        <f>IF($B118&gt;0,(GETPIVOTDATA(" New Social Security",'$ Pivot Table'!$A$3,"State","MS","Category",3,"Category2","Four-Year"))/$B118)*100</f>
        <v>0</v>
      </c>
      <c r="H118" s="32"/>
      <c r="I118" s="32">
        <f>IF($B118&gt;0,(GETPIVOTDATA(" New Unemployment",'$ Pivot Table'!$A$3,"State","MS","Category",3,"Category2","Four-Year"))/$B118)*100</f>
        <v>0</v>
      </c>
      <c r="J118" s="32">
        <f>IF($B118&gt;0,(GETPIVOTDATA(" New Life Insurance",'$ Pivot Table'!$A$3,"State","MS","Category",3,"Category2","Four-Year"))/$B118)*100</f>
        <v>0</v>
      </c>
      <c r="K118" s="87"/>
      <c r="L118" s="32">
        <f>IF($B118&gt;0,(GETPIVOTDATA(" New Worker's Comp",'$ Pivot Table'!$A$3,"State","MS","Category",3,"Category2","Four-Year"))/$B118)*100</f>
        <v>0</v>
      </c>
      <c r="M118" s="32">
        <f>IF($B118&gt;0,(GETPIVOTDATA(" New Tuition Plans",'$ Pivot Table'!$A$3,"State","MS","Category",3,"Category2","Four-Year"))/$B118)*100</f>
        <v>0</v>
      </c>
      <c r="N118" s="32">
        <f>IF($B118&gt;0,(GETPIVOTDATA(" New Other",'$ Pivot Table'!$A$3,"State","MS","Category",3,"Category2","Four-Year"))/$B118)*100</f>
        <v>0</v>
      </c>
      <c r="O118" s="90">
        <f>IF($B118&gt;0,(GETPIVOTDATA(" New Total",'$ Pivot Table'!$A$3,"State","MS","Category",3,"Category2","Four-Year"))/$B118)*100</f>
        <v>0</v>
      </c>
    </row>
    <row r="119" spans="1:15">
      <c r="A119" s="149" t="s">
        <v>487</v>
      </c>
      <c r="B119" s="617">
        <f>+'[2]OLD Tables'!F21</f>
        <v>70724.133567610537</v>
      </c>
      <c r="C119" s="32">
        <f>IF($B119&gt;0,(GETPIVOTDATA(" New Retirement",'$ Pivot Table'!$A$3,"State","NC","Category",3,"Category2","Four-Year"))/$B119)*100</f>
        <v>11.406743042440745</v>
      </c>
      <c r="D119" s="32">
        <f>IF($B119&gt;0,(GETPIVOTDATA(" New Health",'$ Pivot Table'!$A$3,"State","NC","Category",3,"Category2","Four-Year"))/$B119)*100</f>
        <v>6.9707464076418004</v>
      </c>
      <c r="E119" s="32">
        <f>IF($B119&gt;0,(GETPIVOTDATA(" New Disability",'$ Pivot Table'!$A$3,"State","NC","Category",3,"Category2","Four-Year"))/$B119)*100</f>
        <v>0.51724789107513891</v>
      </c>
      <c r="F119" s="32"/>
      <c r="G119" s="32">
        <f>IF($B119&gt;0,(GETPIVOTDATA(" New Social Security",'$ Pivot Table'!$A$3,"State","NC","Category",3,"Category2","Four-Year"))/$B119)*100</f>
        <v>7.5111675649950334</v>
      </c>
      <c r="H119" s="32"/>
      <c r="I119" s="32">
        <f>IF($B119&gt;0,(GETPIVOTDATA(" New Unemployment",'$ Pivot Table'!$A$3,"State","NC","Category",3,"Category2","Four-Year"))/$B119)*100</f>
        <v>8.9544654473344823E-2</v>
      </c>
      <c r="J119" s="32">
        <f>IF($B119&gt;0,(GETPIVOTDATA(" New Life Insurance",'$ Pivot Table'!$A$3,"State","NC","Category",3,"Category2","Four-Year"))/$B119)*100</f>
        <v>0.14797820804148537</v>
      </c>
      <c r="K119" s="85"/>
      <c r="L119" s="32">
        <f>IF($B119&gt;0,(GETPIVOTDATA(" New Worker's Comp",'$ Pivot Table'!$A$3,"State","NC","Category",3,"Category2","Four-Year"))/$B119)*100</f>
        <v>0.86541769605458652</v>
      </c>
      <c r="M119" s="32">
        <f>IF($B119&gt;0,(GETPIVOTDATA(" New Tuition Plans",'$ Pivot Table'!$A$3,"State","NC","Category",3,"Category2","Four-Year"))/$B119)*100</f>
        <v>0</v>
      </c>
      <c r="N119" s="32">
        <f>IF($B119&gt;0,(GETPIVOTDATA(" New Other",'$ Pivot Table'!$A$3,"State","NC","Category",3,"Category2","Four-Year"))/$B119)*100</f>
        <v>0</v>
      </c>
      <c r="O119" s="90">
        <f>IF($B119&gt;0,(GETPIVOTDATA(" New Total",'$ Pivot Table'!$A$3,"State","NC","Category",3,"Category2","Four-Year"))/$B119)*100</f>
        <v>27.401437858641863</v>
      </c>
    </row>
    <row r="120" spans="1:15">
      <c r="A120" s="149" t="s">
        <v>488</v>
      </c>
      <c r="B120" s="617">
        <f>+'[2]OLD Tables'!F22</f>
        <v>58934.905489178622</v>
      </c>
      <c r="C120" s="32">
        <f>IF($B120&gt;0,(GETPIVOTDATA(" New Retirement",'$ Pivot Table'!$A$3,"State","OK","Category",3,"Category2","Four-Year"))/$B120)*100</f>
        <v>9.759710335906334</v>
      </c>
      <c r="D120" s="32">
        <f>IF($B120&gt;0,(GETPIVOTDATA(" New Health",'$ Pivot Table'!$A$3,"State","OK","Category",3,"Category2","Four-Year"))/$B120)*100</f>
        <v>8.8409723418302395</v>
      </c>
      <c r="E120" s="32">
        <f>IF($B120&gt;0,(GETPIVOTDATA(" New Disability",'$ Pivot Table'!$A$3,"State","OK","Category",3,"Category2","Four-Year"))/$B120)*100</f>
        <v>0</v>
      </c>
      <c r="F120" s="32"/>
      <c r="G120" s="32">
        <f>IF($B120&gt;0,(GETPIVOTDATA(" New Social Security",'$ Pivot Table'!$A$3,"State","OK","Category",3,"Category2","Four-Year"))/$B120)*100</f>
        <v>7.4255839235257648</v>
      </c>
      <c r="H120" s="32"/>
      <c r="I120" s="32">
        <f>IF($B120&gt;0,(GETPIVOTDATA(" New Unemployment",'$ Pivot Table'!$A$3,"State","OK","Category",3,"Category2","Four-Year"))/$B120)*100</f>
        <v>0.107797050154507</v>
      </c>
      <c r="J120" s="32">
        <f>IF($B120&gt;0,(GETPIVOTDATA(" New Life Insurance",'$ Pivot Table'!$A$3,"State","OK","Category",3,"Category2","Four-Year"))/$B120)*100</f>
        <v>0.6285623521310868</v>
      </c>
      <c r="K120" s="32"/>
      <c r="L120" s="32">
        <f>IF($B120&gt;0,(GETPIVOTDATA(" New Worker's Comp",'$ Pivot Table'!$A$3,"State","OK","Category",3,"Category2","Four-Year"))/$B120)*100</f>
        <v>0.56708483082623329</v>
      </c>
      <c r="M120" s="32">
        <f>IF($B120&gt;0,(GETPIVOTDATA(" New Tuition Plans",'$ Pivot Table'!$A$3,"State","OK","Category",3,"Category2","Four-Year"))/$B120)*100</f>
        <v>0</v>
      </c>
      <c r="N120" s="32">
        <f>IF($B120&gt;0,(GETPIVOTDATA(" New Other",'$ Pivot Table'!$A$3,"State","OK","Category",3,"Category2","Four-Year"))/$B120)*100</f>
        <v>0.3639945539409094</v>
      </c>
      <c r="O120" s="90">
        <f>IF($B120&gt;0,(GETPIVOTDATA(" New Total",'$ Pivot Table'!$A$3,"State","OK","Category",3,"Category2","Four-Year"))/$B120)*100</f>
        <v>27.601214091634773</v>
      </c>
    </row>
    <row r="121" spans="1:15">
      <c r="A121" s="149" t="s">
        <v>489</v>
      </c>
      <c r="B121" s="617">
        <f>+'[2]OLD Tables'!F23</f>
        <v>64181.644217113666</v>
      </c>
      <c r="C121" s="32">
        <f>IF($B121&gt;0,(GETPIVOTDATA(" New Retirement",'$ Pivot Table'!$A$3,"State","SC","Category",3,"Category2","Four-Year"))/$B121)*100</f>
        <v>13.198395528238551</v>
      </c>
      <c r="D121" s="32">
        <f>IF($B121&gt;0,(GETPIVOTDATA(" New Health",'$ Pivot Table'!$A$3,"State","SC","Category",3,"Category2","Four-Year"))/$B121)*100</f>
        <v>10.999836034518772</v>
      </c>
      <c r="E121" s="32">
        <f>IF($B121&gt;0,(GETPIVOTDATA(" New Disability",'$ Pivot Table'!$A$3,"State","SC","Category",3,"Category2","Four-Year"))/$B121)*100</f>
        <v>6.0271776389163347E-2</v>
      </c>
      <c r="F121" s="32"/>
      <c r="G121" s="32">
        <f>IF($B121&gt;0,(GETPIVOTDATA(" New Social Security",'$ Pivot Table'!$A$3,"State","SC","Category",3,"Category2","Four-Year"))/$B121)*100</f>
        <v>7.6128473927271596</v>
      </c>
      <c r="H121" s="32"/>
      <c r="I121" s="32">
        <f>IF($B121&gt;0,(GETPIVOTDATA(" New Unemployment",'$ Pivot Table'!$A$3,"State","SC","Category",3,"Category2","Four-Year"))/$B121)*100</f>
        <v>0.15181668123278444</v>
      </c>
      <c r="J121" s="32">
        <f>IF($B121&gt;0,(GETPIVOTDATA(" New Life Insurance",'$ Pivot Table'!$A$3,"State","SC","Category",3,"Category2","Four-Year"))/$B121)*100</f>
        <v>9.9061972921725569E-2</v>
      </c>
      <c r="K121" s="87"/>
      <c r="L121" s="32">
        <f>IF($B121&gt;0,(GETPIVOTDATA(" New Worker's Comp",'$ Pivot Table'!$A$3,"State","SC","Category",3,"Category2","Four-Year"))/$B121)*100</f>
        <v>1.1869238005605565</v>
      </c>
      <c r="M121" s="32">
        <f>IF($B121&gt;0,(GETPIVOTDATA(" New Tuition Plans",'$ Pivot Table'!$A$3,"State","SC","Category",3,"Category2","Four-Year"))/$B121)*100</f>
        <v>0</v>
      </c>
      <c r="N121" s="32">
        <f>IF($B121&gt;0,(GETPIVOTDATA(" New Other",'$ Pivot Table'!$A$3,"State","SC","Category",3,"Category2","Four-Year"))/$B121)*100</f>
        <v>0</v>
      </c>
      <c r="O121" s="90">
        <f>IF($B121&gt;0,(GETPIVOTDATA(" New Total",'$ Pivot Table'!$A$3,"State","SC","Category",3,"Category2","Four-Year"))/$B121)*100</f>
        <v>33.300907023484164</v>
      </c>
    </row>
    <row r="122" spans="1:15">
      <c r="A122" s="149"/>
      <c r="B122" s="617">
        <f>+'[2]OLD Tables'!F24</f>
        <v>0</v>
      </c>
      <c r="C122" s="32"/>
      <c r="D122" s="34"/>
      <c r="E122" s="32"/>
      <c r="F122" s="32"/>
      <c r="G122" s="32"/>
      <c r="H122" s="32"/>
      <c r="I122" s="32"/>
      <c r="J122" s="32"/>
      <c r="K122" s="32"/>
      <c r="L122" s="32"/>
      <c r="M122" s="32"/>
      <c r="N122" s="32"/>
      <c r="O122" s="90"/>
    </row>
    <row r="123" spans="1:15">
      <c r="A123" s="149" t="s">
        <v>490</v>
      </c>
      <c r="B123" s="617">
        <f>+'[2]OLD Tables'!F25</f>
        <v>60051.000085348998</v>
      </c>
      <c r="C123" s="28">
        <f>IF($B123&gt;0,(GETPIVOTDATA(" New Retirement",'$ Pivot Table'!$A$3,"State","TN","Category",3,"Category2","Four-Year"))/$B123)*100</f>
        <v>11.815965446981719</v>
      </c>
      <c r="D123" s="28">
        <f>IF($B123&gt;0,(GETPIVOTDATA(" New Health",'$ Pivot Table'!$A$3,"State","TN","Category",3,"Category2","Four-Year"))/$B123)*100</f>
        <v>15.343850453612252</v>
      </c>
      <c r="E123" s="28">
        <f>IF($B123&gt;0,(GETPIVOTDATA(" New Disability",'$ Pivot Table'!$A$3,"State","TN","Category",3,"Category2","Four-Year"))/$B123)*100</f>
        <v>0</v>
      </c>
      <c r="F123" s="28"/>
      <c r="G123" s="28">
        <f>IF($B123&gt;0,(GETPIVOTDATA(" New Social Security",'$ Pivot Table'!$A$3,"State","TN","Category",3,"Category2","Four-Year"))/$B123)*100</f>
        <v>7.1850399529615876</v>
      </c>
      <c r="H123" s="28"/>
      <c r="I123" s="58">
        <f>IF($B123&gt;0,(GETPIVOTDATA(" New Unemployment",'$ Pivot Table'!$A$3,"State","TN","Category",3,"Category2","Four-Year"))/$B123)*100</f>
        <v>6.255179760093027E-2</v>
      </c>
      <c r="J123" s="28">
        <f>IF($B123&gt;0,(GETPIVOTDATA(" New Life Insurance",'$ Pivot Table'!$A$3,"State","TN","Category",3,"Category2","Four-Year"))/$B123)*100</f>
        <v>9.2648347576541931E-2</v>
      </c>
      <c r="K123" s="28"/>
      <c r="L123" s="28">
        <f>IF($B123&gt;0,(GETPIVOTDATA(" New Worker's Comp",'$ Pivot Table'!$A$3,"State","TN","Category",3,"Category2","Four-Year"))/$B123)*100</f>
        <v>0.21294537538726885</v>
      </c>
      <c r="M123" s="28">
        <f>IF($B123&gt;0,(GETPIVOTDATA(" New Tuition Plans",'$ Pivot Table'!$A$3,"State","TN","Category",3,"Category2","Four-Year"))/$B123)*100</f>
        <v>4.4144640735270064</v>
      </c>
      <c r="N123" s="28">
        <f>IF($B123&gt;0,(GETPIVOTDATA(" New Other",'$ Pivot Table'!$A$3,"State","TN","Category",3,"Category2","Four-Year"))/$B123)*100</f>
        <v>3.1812120491490861</v>
      </c>
      <c r="O123" s="86">
        <f>IF($B123&gt;0,(GETPIVOTDATA(" New Total",'$ Pivot Table'!$A$3,"State","TN","Category",3,"Category2","Four-Year"))/$B123)*100</f>
        <v>34.362449567323949</v>
      </c>
    </row>
    <row r="124" spans="1:15">
      <c r="A124" s="149" t="s">
        <v>491</v>
      </c>
      <c r="B124" s="617">
        <f>+'[2]OLD Tables'!F26</f>
        <v>63656.897633920511</v>
      </c>
      <c r="C124" s="28">
        <f>IF($B124&gt;0,(GETPIVOTDATA(" New Retirement",'$ Pivot Table'!$A$3,"State","TX","Category",3,"Category2","Four-Year"))/$B124)*100</f>
        <v>7.3333225667416642</v>
      </c>
      <c r="D124" s="28">
        <f>IF($B124&gt;0,(GETPIVOTDATA(" New Health",'$ Pivot Table'!$A$3,"State","TX","Category",3,"Category2","Four-Year"))/$B124)*100</f>
        <v>7.4629238370244684</v>
      </c>
      <c r="E124" s="28">
        <f>IF($B124&gt;0,(GETPIVOTDATA(" New Disability",'$ Pivot Table'!$A$3,"State","TX","Category",3,"Category2","Four-Year"))/$B124)*100</f>
        <v>1.5988193302765095E-2</v>
      </c>
      <c r="F124" s="87">
        <v>2</v>
      </c>
      <c r="G124" s="28">
        <f>IF($B124&gt;0,(GETPIVOTDATA(" New Social Security",'$ Pivot Table'!$A$3,"State","TX","Category",3,"Category2","Four-Year"))/$B124)*100</f>
        <v>7.1697013709025468</v>
      </c>
      <c r="H124" s="28"/>
      <c r="I124" s="28">
        <f>IF($B124&gt;0,(GETPIVOTDATA(" New Unemployment",'$ Pivot Table'!$A$3,"State","TX","Category",3,"Category2","Four-Year"))/$B124)*100</f>
        <v>0.13086529612515593</v>
      </c>
      <c r="J124" s="28">
        <f>IF($B124&gt;0,(GETPIVOTDATA(" New Life Insurance",'$ Pivot Table'!$A$3,"State","TX","Category",3,"Category2","Four-Year"))/$B124)*100</f>
        <v>0.74579609300136174</v>
      </c>
      <c r="K124" s="28"/>
      <c r="L124" s="28">
        <f>IF($B124&gt;0,(GETPIVOTDATA(" New Worker's Comp",'$ Pivot Table'!$A$3,"State","TX","Category",3,"Category2","Four-Year"))/$B124)*100</f>
        <v>0.44683471479854514</v>
      </c>
      <c r="M124" s="28">
        <f>IF($B124&gt;0,(GETPIVOTDATA(" New Tuition Plans",'$ Pivot Table'!$A$3,"State","TX","Category",3,"Category2","Four-Year"))/$B124)*100</f>
        <v>8.360576043054575</v>
      </c>
      <c r="N124" s="28">
        <f>IF($B124&gt;0,(GETPIVOTDATA(" New Other",'$ Pivot Table'!$A$3,"State","TX","Category",3,"Category2","Four-Year"))/$B124)*100</f>
        <v>0.12225031003633641</v>
      </c>
      <c r="O124" s="86">
        <f>IF($B124&gt;0,(GETPIVOTDATA(" New Total",'$ Pivot Table'!$A$3,"State","TX","Category",3,"Category2","Four-Year"))/$B124)*100</f>
        <v>21.006621746789776</v>
      </c>
    </row>
    <row r="125" spans="1:15">
      <c r="A125" s="149" t="s">
        <v>492</v>
      </c>
      <c r="B125" s="617">
        <f>+'[2]OLD Tables'!F27</f>
        <v>67412.517019897947</v>
      </c>
      <c r="C125" s="28">
        <f>IF($B125&gt;0,(GETPIVOTDATA(" New Retirement",'$ Pivot Table'!$A$3,"State","VA","Category",3,"Category2","Four-Year"))/$B125)*100</f>
        <v>11.635646035668657</v>
      </c>
      <c r="D125" s="28">
        <f>IF($B125&gt;0,(GETPIVOTDATA(" New Health",'$ Pivot Table'!$A$3,"State","VA","Category",3,"Category2","Four-Year"))/$B125)*100</f>
        <v>11.780934805485604</v>
      </c>
      <c r="E125" s="28">
        <f>IF($B125&gt;0,(GETPIVOTDATA(" New Disability",'$ Pivot Table'!$A$3,"State","VA","Category",3,"Category2","Four-Year"))/$B125)*100</f>
        <v>0.67762022730733718</v>
      </c>
      <c r="F125" s="28"/>
      <c r="G125" s="28">
        <f>IF($B125&gt;0,(GETPIVOTDATA(" New Social Security",'$ Pivot Table'!$A$3,"State","VA","Category",3,"Category2","Four-Year"))/$B125)*100</f>
        <v>7.2318253766019138</v>
      </c>
      <c r="H125" s="28"/>
      <c r="I125" s="58">
        <f>IF($B125&gt;0,(GETPIVOTDATA(" New Unemployment",'$ Pivot Table'!$A$3,"State","VA","Category",3,"Category2","Four-Year"))/$B125)*100</f>
        <v>9.4865816773628028E-2</v>
      </c>
      <c r="J125" s="86">
        <f>IF($B125&gt;0,(GETPIVOTDATA(" New Life Insurance",'$ Pivot Table'!$A$3,"State","VA","Category",3,"Category2","Four-Year"))/$B125)*100</f>
        <v>1.0256748776058759</v>
      </c>
      <c r="K125" s="87"/>
      <c r="L125" s="28">
        <f>IF($B125&gt;0,(GETPIVOTDATA(" New Worker's Comp",'$ Pivot Table'!$A$3,"State","VA","Category",3,"Category2","Four-Year"))/$B125)*100</f>
        <v>0.49443923548567575</v>
      </c>
      <c r="M125" s="28">
        <f>IF($B125&gt;0,(GETPIVOTDATA(" New Tuition Plans",'$ Pivot Table'!$A$3,"State","VA","Category",3,"Category2","Four-Year"))/$B125)*100</f>
        <v>0</v>
      </c>
      <c r="N125" s="28">
        <f>IF($B125&gt;0,(GETPIVOTDATA(" New Other",'$ Pivot Table'!$A$3,"State","VA","Category",3,"Category2","Four-Year"))/$B125)*100</f>
        <v>0</v>
      </c>
      <c r="O125" s="86">
        <f>IF($B125&gt;0,(GETPIVOTDATA(" New Total",'$ Pivot Table'!$A$3,"State","VA","Category",3,"Category2","Four-Year"))/$B125)*100</f>
        <v>32.30110508367077</v>
      </c>
    </row>
    <row r="126" spans="1:15">
      <c r="A126" s="630" t="s">
        <v>493</v>
      </c>
      <c r="B126" s="618">
        <f>+'[2]OLD Tables'!F28</f>
        <v>61068.888895095952</v>
      </c>
      <c r="C126" s="30">
        <f>IF($B126&gt;0,(GETPIVOTDATA(" New Retirement",'$ Pivot Table'!$A$3,"State","WV","Category",3,"Category2","Four-Year"))/$B126)*100</f>
        <v>6.3372282754459119</v>
      </c>
      <c r="D126" s="30">
        <f>IF($B126&gt;0,(GETPIVOTDATA(" New Health",'$ Pivot Table'!$A$3,"State","WV","Category",3,"Category2","Four-Year"))/$B126)*100</f>
        <v>10.107571468282993</v>
      </c>
      <c r="E126" s="30">
        <f>IF($B126&gt;0,(GETPIVOTDATA(" New Disability",'$ Pivot Table'!$A$3,"State","WV","Category",3,"Category2","Four-Year"))/$B126)*100</f>
        <v>0</v>
      </c>
      <c r="F126" s="30"/>
      <c r="G126" s="30">
        <f>IF($B126&gt;0,(GETPIVOTDATA(" New Social Security",'$ Pivot Table'!$A$3,"State","WV","Category",3,"Category2","Four-Year"))/$B126)*100</f>
        <v>7.7057989191226808</v>
      </c>
      <c r="H126" s="30"/>
      <c r="I126" s="30">
        <f>IF($B126&gt;0,(GETPIVOTDATA(" New Unemployment",'$ Pivot Table'!$A$3,"State","WV","Category",3,"Category2","Four-Year"))/$B126)*100</f>
        <v>0</v>
      </c>
      <c r="J126" s="30">
        <f>IF($B126&gt;0,(GETPIVOTDATA(" New Life Insurance",'$ Pivot Table'!$A$3,"State","WV","Category",3,"Category2","Four-Year"))/$B126)*100</f>
        <v>0.10443658688951639</v>
      </c>
      <c r="K126" s="30"/>
      <c r="L126" s="30">
        <f>IF($B126&gt;0,(GETPIVOTDATA(" New Worker's Comp",'$ Pivot Table'!$A$3,"State","WV","Category",3,"Category2","Four-Year"))/$B126)*100</f>
        <v>0.57415756652286642</v>
      </c>
      <c r="M126" s="30">
        <f>IF($B126&gt;0,(GETPIVOTDATA(" New Tuition Plans",'$ Pivot Table'!$A$3,"State","WV","Category",3,"Category2","Four-Year"))/$B126)*100</f>
        <v>0</v>
      </c>
      <c r="N126" s="30">
        <f>IF($B126&gt;0,(GETPIVOTDATA(" New Other",'$ Pivot Table'!$A$3,"State","WV","Category",3,"Category2","Four-Year"))/$B126)*100</f>
        <v>0</v>
      </c>
      <c r="O126" s="115">
        <f>IF($B126&gt;0,(GETPIVOTDATA(" New Total",'$ Pivot Table'!$A$3,"State","WV","Category",3,"Category2","Four-Year"))/$B126)*100</f>
        <v>24.723610974475648</v>
      </c>
    </row>
    <row r="127" spans="1:15" ht="18" customHeight="1">
      <c r="A127" s="628" t="s">
        <v>14</v>
      </c>
      <c r="B127" s="45"/>
      <c r="C127" s="47"/>
      <c r="D127" s="47"/>
      <c r="E127" s="47"/>
      <c r="F127" s="47"/>
      <c r="G127" s="47"/>
      <c r="H127" s="47"/>
      <c r="I127" s="47"/>
      <c r="J127" s="47"/>
      <c r="K127" s="47"/>
      <c r="L127" s="47"/>
      <c r="M127" s="47"/>
      <c r="N127" s="47"/>
      <c r="O127" s="77"/>
    </row>
    <row r="128" spans="1:15">
      <c r="A128" s="629"/>
      <c r="B128" s="45"/>
      <c r="C128" s="54"/>
      <c r="D128" s="54"/>
      <c r="E128" s="54"/>
      <c r="F128" s="54"/>
      <c r="G128" s="54"/>
      <c r="H128" s="54"/>
      <c r="I128" s="54"/>
      <c r="J128" s="54"/>
      <c r="K128" s="54"/>
      <c r="L128" s="54"/>
      <c r="M128" s="54"/>
      <c r="N128" s="54"/>
    </row>
    <row r="129" spans="1:29">
      <c r="O129" s="637" t="s">
        <v>1321</v>
      </c>
    </row>
    <row r="130" spans="1:29" ht="18">
      <c r="A130" s="595" t="s">
        <v>1104</v>
      </c>
      <c r="B130" s="48"/>
      <c r="C130" s="48"/>
      <c r="D130" s="48"/>
      <c r="E130" s="48"/>
      <c r="F130" s="48"/>
      <c r="G130" s="48"/>
      <c r="H130" s="48"/>
      <c r="I130" s="48"/>
      <c r="J130" s="48"/>
      <c r="K130" s="48"/>
      <c r="L130" s="48"/>
      <c r="M130" s="48"/>
      <c r="N130" s="48"/>
      <c r="O130" s="48"/>
    </row>
    <row r="131" spans="1:29">
      <c r="A131" s="622"/>
      <c r="B131" s="45"/>
      <c r="C131" s="54"/>
      <c r="D131" s="54"/>
      <c r="E131" s="54"/>
      <c r="F131" s="54"/>
      <c r="G131" s="54"/>
      <c r="H131" s="54"/>
      <c r="I131" s="54"/>
      <c r="J131" s="54"/>
      <c r="K131" s="54"/>
      <c r="L131" s="54"/>
      <c r="M131" s="54"/>
      <c r="N131" s="54"/>
      <c r="O131" s="145"/>
    </row>
    <row r="132" spans="1:29" ht="15.75">
      <c r="A132" s="640" t="s">
        <v>466</v>
      </c>
      <c r="B132" s="640"/>
      <c r="C132" s="640"/>
      <c r="D132" s="640"/>
      <c r="E132" s="640"/>
      <c r="F132" s="640"/>
      <c r="G132" s="640"/>
      <c r="H132" s="640"/>
      <c r="I132" s="640"/>
      <c r="J132" s="640"/>
      <c r="K132" s="640"/>
      <c r="L132" s="640"/>
      <c r="M132" s="640"/>
      <c r="N132" s="640"/>
      <c r="O132" s="640"/>
    </row>
    <row r="133" spans="1:29" ht="15.75">
      <c r="A133" s="640" t="s">
        <v>1072</v>
      </c>
      <c r="B133" s="640"/>
      <c r="C133" s="640"/>
      <c r="D133" s="640"/>
      <c r="E133" s="640"/>
      <c r="F133" s="640"/>
      <c r="G133" s="640"/>
      <c r="H133" s="640"/>
      <c r="I133" s="640"/>
      <c r="J133" s="640"/>
      <c r="K133" s="640"/>
      <c r="L133" s="640"/>
      <c r="M133" s="640"/>
      <c r="N133" s="640"/>
      <c r="O133" s="640"/>
    </row>
    <row r="134" spans="1:29">
      <c r="A134" s="148"/>
      <c r="B134" s="45"/>
      <c r="C134" s="54"/>
      <c r="D134" s="54"/>
      <c r="E134" s="54"/>
      <c r="F134" s="54"/>
      <c r="G134" s="54"/>
      <c r="H134" s="54"/>
      <c r="I134" s="54"/>
      <c r="J134" s="54"/>
      <c r="K134" s="54"/>
      <c r="L134" s="54"/>
      <c r="M134" s="54"/>
      <c r="N134" s="54"/>
      <c r="O134" s="145"/>
    </row>
    <row r="135" spans="1:29">
      <c r="A135" s="623"/>
      <c r="B135" s="2" t="s">
        <v>473</v>
      </c>
      <c r="C135" s="643" t="s">
        <v>593</v>
      </c>
      <c r="D135" s="643"/>
      <c r="E135" s="643"/>
      <c r="F135" s="643"/>
      <c r="G135" s="643"/>
      <c r="H135" s="643"/>
      <c r="I135" s="643"/>
      <c r="J135" s="643"/>
      <c r="K135" s="643"/>
      <c r="L135" s="643"/>
      <c r="M135" s="643"/>
      <c r="N135" s="643"/>
      <c r="O135" s="643"/>
    </row>
    <row r="136" spans="1:29">
      <c r="A136" s="624"/>
      <c r="B136" s="4" t="s">
        <v>474</v>
      </c>
      <c r="C136" s="3" t="s">
        <v>660</v>
      </c>
      <c r="D136" s="3"/>
      <c r="E136" s="53"/>
      <c r="F136" s="53"/>
      <c r="G136" s="3" t="s">
        <v>661</v>
      </c>
      <c r="H136" s="3"/>
      <c r="I136" s="3" t="s">
        <v>662</v>
      </c>
      <c r="J136" s="3" t="s">
        <v>663</v>
      </c>
      <c r="K136" s="3"/>
      <c r="L136" s="3" t="s">
        <v>664</v>
      </c>
      <c r="M136" s="3" t="s">
        <v>665</v>
      </c>
      <c r="N136" s="3"/>
      <c r="O136" s="124" t="s">
        <v>475</v>
      </c>
    </row>
    <row r="137" spans="1:29">
      <c r="A137" s="625"/>
      <c r="B137" s="15" t="s">
        <v>476</v>
      </c>
      <c r="C137" s="16" t="s">
        <v>667</v>
      </c>
      <c r="D137" s="16" t="s">
        <v>708</v>
      </c>
      <c r="E137" s="17" t="s">
        <v>709</v>
      </c>
      <c r="F137" s="17"/>
      <c r="G137" s="16" t="s">
        <v>668</v>
      </c>
      <c r="H137" s="16"/>
      <c r="I137" s="16" t="s">
        <v>667</v>
      </c>
      <c r="J137" s="16" t="s">
        <v>669</v>
      </c>
      <c r="K137" s="16"/>
      <c r="L137" s="16" t="s">
        <v>670</v>
      </c>
      <c r="M137" s="16" t="s">
        <v>671</v>
      </c>
      <c r="N137" s="16" t="s">
        <v>701</v>
      </c>
      <c r="O137" s="146" t="s">
        <v>15</v>
      </c>
    </row>
    <row r="138" spans="1:29">
      <c r="A138" s="149" t="s">
        <v>600</v>
      </c>
      <c r="B138" s="33">
        <f>+'[2]OLD Tables'!H8</f>
        <v>61660.461744727807</v>
      </c>
      <c r="C138" s="32">
        <f>IF($B138&gt;0,(GETPIVOTDATA(" New Retirement",'$ Pivot Table'!$A$3,"Category",4,"Category2","Four-Year"))/$B138)*100</f>
        <v>11.301036799791524</v>
      </c>
      <c r="D138" s="32">
        <f>IF($B138&gt;0,(GETPIVOTDATA(" New Health",'$ Pivot Table'!$A$3,"Category",4,"Category2","Four-Year"))/$B138)*100</f>
        <v>10.261934604199167</v>
      </c>
      <c r="E138" s="32">
        <f>IF($B138&gt;0,(GETPIVOTDATA(" New Disability",'$ Pivot Table'!$A$3,"Category",4,"Category2","Four-Year"))/$B138)*100</f>
        <v>0.34248579349371838</v>
      </c>
      <c r="F138" s="32"/>
      <c r="G138" s="32">
        <f>IF($B138&gt;0,(GETPIVOTDATA(" New Social Security",'$ Pivot Table'!$A$3,"Category",4,"Category2","Four-Year"))/$B138)*100</f>
        <v>7.000202955173938</v>
      </c>
      <c r="H138" s="32"/>
      <c r="I138" s="32">
        <f>IF($B138&gt;0,(GETPIVOTDATA(" New Unemployment",'$ Pivot Table'!$A$3,"Category",4,"Category2","Four-Year"))/$B138)*100</f>
        <v>0.32024511464025862</v>
      </c>
      <c r="J138" s="32">
        <f>IF($B138&gt;0,(GETPIVOTDATA(" New Life Insurance",'$ Pivot Table'!$A$3,"Category",4,"Category2","Four-Year"))/$B138)*100</f>
        <v>0.37056234001986665</v>
      </c>
      <c r="K138" s="32"/>
      <c r="L138" s="32">
        <f>IF($B138&gt;0,(GETPIVOTDATA(" New Worker's Comp",'$ Pivot Table'!$A$3,"Category",4,"Category2","Four-Year"))/$B138)*100</f>
        <v>0.54117142572550758</v>
      </c>
      <c r="M138" s="32">
        <f>IF($B138&gt;0,(GETPIVOTDATA(" New Tuition Plans",'$ Pivot Table'!$A$3,"Category",4,"Category2","Four-Year"))/$B138)*100</f>
        <v>1.9856922691969821</v>
      </c>
      <c r="N138" s="32">
        <f>IF($B138&gt;0,(GETPIVOTDATA(" New Other",'$ Pivot Table'!$A$3,"Category",4,"Category2","Four-Year"))/$B138)*100</f>
        <v>0</v>
      </c>
      <c r="O138" s="90">
        <f>IF($B138&gt;0,(GETPIVOTDATA(" New Total",'$ Pivot Table'!$A$3,"Category",4,"Category2","Four-Year"))/$B138)*100</f>
        <v>27.93233896175305</v>
      </c>
      <c r="T138" s="104"/>
    </row>
    <row r="139" spans="1:29">
      <c r="A139" s="149"/>
      <c r="B139" s="31">
        <f>+'[3]OLD Tables 107-126'!H9</f>
        <v>0</v>
      </c>
      <c r="C139" s="32"/>
      <c r="D139" s="34"/>
      <c r="E139" s="32"/>
      <c r="F139" s="32"/>
      <c r="G139" s="32"/>
      <c r="H139" s="32"/>
      <c r="I139" s="32"/>
      <c r="J139" s="32"/>
      <c r="K139" s="32"/>
      <c r="L139" s="32"/>
      <c r="M139" s="32"/>
      <c r="N139" s="32"/>
      <c r="O139" s="90"/>
      <c r="T139" s="104"/>
    </row>
    <row r="140" spans="1:29">
      <c r="A140" s="149" t="s">
        <v>479</v>
      </c>
      <c r="B140" s="617">
        <f>+'[2]OLD Tables'!H10</f>
        <v>63263.786931221715</v>
      </c>
      <c r="C140" s="32">
        <f>IF($B140&gt;0,(GETPIVOTDATA(" New Retirement",'$ Pivot Table'!$A$3,"State","AL","Category",4,"Category2","Four-Year"))/$B140)*100</f>
        <v>13.134496920964983</v>
      </c>
      <c r="D140" s="32">
        <f>IF($B140&gt;0,(GETPIVOTDATA(" New Health",'$ Pivot Table'!$A$3,"State","AL","Category",4,"Category2","Four-Year"))/$B140)*100</f>
        <v>8.0283647090291765</v>
      </c>
      <c r="E140" s="32">
        <f>IF($B140&gt;0,(GETPIVOTDATA(" New Disability",'$ Pivot Table'!$A$3,"State","AL","Category",4,"Category2","Four-Year"))/$B140)*100</f>
        <v>0.22309693649162904</v>
      </c>
      <c r="F140" s="32"/>
      <c r="G140" s="32">
        <f>IF($B140&gt;0,(GETPIVOTDATA(" New Social Security",'$ Pivot Table'!$A$3,"State","AL","Category",4,"Category2","Four-Year"))/$B140)*100</f>
        <v>7.3567513426428368</v>
      </c>
      <c r="H140" s="32"/>
      <c r="I140" s="32">
        <f>IF($B140&gt;0,(GETPIVOTDATA(" New Unemployment",'$ Pivot Table'!$A$3,"State","AL","Category",4,"Category2","Four-Year"))/$B140)*100</f>
        <v>0.21977676786312222</v>
      </c>
      <c r="J140" s="32">
        <f>IF($B140&gt;0,(GETPIVOTDATA(" New Life Insurance",'$ Pivot Table'!$A$3,"State","AL","Category",4,"Category2","Four-Year"))/$B140)*100</f>
        <v>0.17768109528256321</v>
      </c>
      <c r="K140" s="32"/>
      <c r="L140" s="32">
        <f>IF($B140&gt;0,(GETPIVOTDATA(" New Worker's Comp",'$ Pivot Table'!$A$3,"State","AL","Category",4,"Category2","Four-Year"))/$B140)*100</f>
        <v>0.15770375684836846</v>
      </c>
      <c r="M140" s="32">
        <f>IF($B140&gt;0,(GETPIVOTDATA(" New Tuition Plans",'$ Pivot Table'!$A$3,"State","AL","Category",4,"Category2","Four-Year"))/$B140)*100</f>
        <v>1.780044337235783</v>
      </c>
      <c r="N140" s="32">
        <f>IF($B140&gt;0,(GETPIVOTDATA(" New Other",'$ Pivot Table'!$A$3,"State","AL","Category",4,"Category2","Four-Year"))/$B140)*100</f>
        <v>0</v>
      </c>
      <c r="O140" s="90">
        <f>IF($B140&gt;0,(GETPIVOTDATA(" New Total",'$ Pivot Table'!$A$3,"State","AL","Category",4,"Category2","Four-Year"))/$B140)*100</f>
        <v>29.059676118824761</v>
      </c>
      <c r="T140" s="104"/>
    </row>
    <row r="141" spans="1:29" ht="15.75">
      <c r="A141" s="149" t="s">
        <v>480</v>
      </c>
      <c r="B141" s="617">
        <f>+'[2]OLD Tables'!H11</f>
        <v>50929.420572222218</v>
      </c>
      <c r="C141" s="90">
        <f>IF($B141&gt;0,(GETPIVOTDATA(" New Retirement",'$ Pivot Table'!$A$3,"State","Ar","Category",4,"Category2","Four-Year"))/$B141)*100</f>
        <v>11.056435155277514</v>
      </c>
      <c r="D141" s="90">
        <f>IF($B141&gt;0,(GETPIVOTDATA(" New Health",'$ Pivot Table'!$A$3,"State","AR","Category",4,"Category2","Four-Year"))/$B141)*100</f>
        <v>8.9430524541727685</v>
      </c>
      <c r="E141" s="90">
        <f>IF($B141&gt;0,(GETPIVOTDATA(" New Disability",'$ Pivot Table'!$A$3,"State","AR","Category",4,"Category2","Four-Year"))/$B141)*100</f>
        <v>0.36165097681949759</v>
      </c>
      <c r="F141" s="90"/>
      <c r="G141" s="90">
        <f>IF($B141&gt;0,(GETPIVOTDATA(" New Social Security",'$ Pivot Table'!$A$3,"State","AR","Category",4,"Category2","Four-Year"))/$B141)*100</f>
        <v>7.4600048835315622</v>
      </c>
      <c r="H141" s="90"/>
      <c r="I141" s="90">
        <f>IF($B141&gt;0,(GETPIVOTDATA(" New Unemployment",'$ Pivot Table'!$A$3,"State","AR","Category",4,"Category2","Four-Year"))/$B141)*100</f>
        <v>0.60165752174745835</v>
      </c>
      <c r="J141" s="90">
        <f>IF($B141&gt;0,(GETPIVOTDATA(" New Life Insurance",'$ Pivot Table'!$A$3,"State","AR","Category",4,"Category2","Four-Year"))/$B141)*100</f>
        <v>0.3697957904417139</v>
      </c>
      <c r="K141" s="90"/>
      <c r="L141" s="90">
        <f>IF($B141&gt;0,(GETPIVOTDATA(" New Worker's Comp",'$ Pivot Table'!$A$3,"State","AR","Category",4,"Category2","Four-Year"))/$B141)*100</f>
        <v>0.58277974591546955</v>
      </c>
      <c r="M141" s="90">
        <f>IF($B141&gt;0,(GETPIVOTDATA(" New Tuition Plans",'$ Pivot Table'!$A$3,"State","AR","Category",4,"Category2","Four-Year"))/$B141)*100</f>
        <v>0</v>
      </c>
      <c r="N141" s="90">
        <f>IF($B141&gt;0,(GETPIVOTDATA(" New Other",'$ Pivot Table'!$A$3,"State","AR","Category",4,"Category2","Four-Year"))/$B141)*100</f>
        <v>0</v>
      </c>
      <c r="O141" s="90">
        <f>IF($B141&gt;0,(GETPIVOTDATA(" New Total",'$ Pivot Table'!$A$3,"State","AR","Category",4,"Category2","Four-Year"))/$B141)*100</f>
        <v>28.099855146708681</v>
      </c>
      <c r="Q141" s="112"/>
      <c r="T141" s="104"/>
    </row>
    <row r="142" spans="1:29">
      <c r="A142" s="149" t="s">
        <v>494</v>
      </c>
      <c r="B142" s="617">
        <f>+'[2]OLD Tables'!H12</f>
        <v>66510.541366315796</v>
      </c>
      <c r="C142" s="86">
        <f>IF($B142&gt;0,(GETPIVOTDATA(" New Retirement",'$ Pivot Table'!$A$3,"State","DE","Category",4,"Category2","Four-Year"))/$B142)*100</f>
        <v>16.818387972953911</v>
      </c>
      <c r="D142" s="86">
        <f>IF($B142&gt;0,(GETPIVOTDATA(" New Health",'$ Pivot Table'!$A$3,"State","DE","Category",4,"Category2","Four-Year"))/$B142)*100</f>
        <v>14.206375680656661</v>
      </c>
      <c r="E142" s="86">
        <f>IF($B142&gt;0,(GETPIVOTDATA(" New Disability",'$ Pivot Table'!$A$3,"State","DE","Category",4,"Category2","Four-Year"))/$B142)*100</f>
        <v>0</v>
      </c>
      <c r="F142" s="86"/>
      <c r="G142" s="86">
        <f>IF($B142&gt;0,(GETPIVOTDATA(" New Social Security",'$ Pivot Table'!$A$3,"State","DE","Category",4,"Category2","Four-Year"))/$B142)*100</f>
        <v>7.4706606264056941</v>
      </c>
      <c r="H142" s="86"/>
      <c r="I142" s="86">
        <f>IF($B142&gt;0,(GETPIVOTDATA(" New Unemployment",'$ Pivot Table'!$A$3,"State","DE","Category",4,"Category2","Four-Year"))/$B142)*100</f>
        <v>0.17516020409210101</v>
      </c>
      <c r="J142" s="86">
        <f>IF($B142&gt;0,(GETPIVOTDATA(" New Life Insurance",'$ Pivot Table'!$A$3,"State","DE","Category",4,"Category2","Four-Year"))/$B142)*100</f>
        <v>0.21435613563480996</v>
      </c>
      <c r="K142" s="86"/>
      <c r="L142" s="86">
        <f>IF($B142&gt;0,(GETPIVOTDATA(" New Worker's Comp",'$ Pivot Table'!$A$3,"State","DE","Category",4,"Category2","Four-Year"))/$B142)*100</f>
        <v>1.9067386612836621</v>
      </c>
      <c r="M142" s="86">
        <f>IF($B142&gt;0,(GETPIVOTDATA(" New Tuition Plans",'$ Pivot Table'!$A$3,"State","DE","Category",4,"Category2","Four-Year"))/$B142)*100</f>
        <v>4.436138902778918</v>
      </c>
      <c r="N142" s="86">
        <f>IF($B142&gt;0,(GETPIVOTDATA(" New Other",'$ Pivot Table'!$A$3,"State","DE","Category",4,"Category2","Four-Year"))/$B142)*100</f>
        <v>0</v>
      </c>
      <c r="O142" s="86">
        <f>IF($B142&gt;0,(GETPIVOTDATA(" New Total",'$ Pivot Table'!$A$3,"State","DE","Category",4,"Category2","Four-Year"))/$B142)*100</f>
        <v>40.179127967386769</v>
      </c>
      <c r="Q142" s="122"/>
      <c r="R142" s="121"/>
      <c r="S142" s="121"/>
      <c r="T142" s="89"/>
      <c r="U142" s="121"/>
      <c r="V142" s="90"/>
      <c r="W142" s="120"/>
      <c r="X142" s="121"/>
      <c r="Y142" s="90"/>
      <c r="Z142" s="120"/>
      <c r="AA142" s="121"/>
      <c r="AB142" s="121"/>
      <c r="AC142" s="121"/>
    </row>
    <row r="143" spans="1:29">
      <c r="A143" s="149" t="s">
        <v>481</v>
      </c>
      <c r="B143" s="617">
        <f>+'[2]OLD Tables'!H13</f>
        <v>63330.62202643678</v>
      </c>
      <c r="C143" s="90">
        <f>IF($B143&gt;0,(GETPIVOTDATA(" New Retirement",'$ Pivot Table'!$A$3,"State","FL","Category",4,"Category2","Four-Year"))/$B143)*100</f>
        <v>10.427204340649279</v>
      </c>
      <c r="D143" s="90">
        <f>IF($B143&gt;0,(GETPIVOTDATA(" New Health",'$ Pivot Table'!$A$3,"State","FL","Category",4,"Category2","Four-Year"))/$B143)*100</f>
        <v>14.419506189519046</v>
      </c>
      <c r="E143" s="90">
        <f>IF($B143&gt;0,(GETPIVOTDATA(" New Disability",'$ Pivot Table'!$A$3,"State","FL","Category",4,"Category2","Four-Year"))/$B143)*100</f>
        <v>0</v>
      </c>
      <c r="F143" s="90"/>
      <c r="G143" s="90">
        <f>IF($B143&gt;0,(GETPIVOTDATA(" New Social Security",'$ Pivot Table'!$A$3,"State","FL","Category",4,"Category2","Four-Year"))/$B143)*100</f>
        <v>7.4419048695536603</v>
      </c>
      <c r="H143" s="90"/>
      <c r="I143" s="90">
        <f>IF($B143&gt;0,(GETPIVOTDATA(" New Unemployment",'$ Pivot Table'!$A$3,"State","FL","Category",4,"Category2","Four-Year"))/$B143)*100</f>
        <v>0.11842612246677751</v>
      </c>
      <c r="J143" s="90">
        <f>IF($B143&gt;0,(GETPIVOTDATA(" New Life Insurance",'$ Pivot Table'!$A$3,"State","FL","Category",4,"Category2","Four-Year"))/$B143)*100</f>
        <v>5.2625900634712709E-2</v>
      </c>
      <c r="K143" s="90"/>
      <c r="L143" s="90">
        <f>IF($B143&gt;0,(GETPIVOTDATA(" New Worker's Comp",'$ Pivot Table'!$A$3,"State","FL","Category",4,"Category2","Four-Year"))/$B143)*100</f>
        <v>9.6083958150939605E-2</v>
      </c>
      <c r="M143" s="90">
        <f>IF($B143&gt;0,(GETPIVOTDATA(" New Tuition Plans",'$ Pivot Table'!$A$3,"State","FL","Category",4,"Category2","Four-Year"))/$B143)*100</f>
        <v>7.1055673480066514E-2</v>
      </c>
      <c r="N143" s="90">
        <f>IF($B143&gt;0,(GETPIVOTDATA(" New Other",'$ Pivot Table'!$A$3,"State","FL","Category",4,"Category2","Four-Year"))/$B143)*100</f>
        <v>0</v>
      </c>
      <c r="O143" s="90">
        <f>IF($B143&gt;0,(GETPIVOTDATA(" New Total",'$ Pivot Table'!$A$3,"State","FL","Category",4,"Category2","Four-Year"))/$B143)*100</f>
        <v>31.300452802715416</v>
      </c>
      <c r="T143" s="104"/>
    </row>
    <row r="144" spans="1:29">
      <c r="A144" s="149"/>
      <c r="B144" s="617">
        <f>+'[2]OLD Tables'!H14</f>
        <v>0</v>
      </c>
      <c r="C144" s="90"/>
      <c r="D144" s="113"/>
      <c r="E144" s="90"/>
      <c r="F144" s="90"/>
      <c r="G144" s="90"/>
      <c r="H144" s="90"/>
      <c r="I144" s="90"/>
      <c r="J144" s="90"/>
      <c r="K144" s="90"/>
      <c r="L144" s="90"/>
      <c r="M144" s="90">
        <f>IF($B144&gt;0,(GETPIVOTDATA(" New Tuition Plans",'$ Pivot Table'!$A$3,"State","FL","Category",4,"Category2","Four-Year"))/$B144)*100</f>
        <v>0</v>
      </c>
      <c r="N144" s="90"/>
      <c r="O144" s="90"/>
      <c r="T144" s="104"/>
    </row>
    <row r="145" spans="1:22">
      <c r="A145" s="149" t="s">
        <v>482</v>
      </c>
      <c r="B145" s="617">
        <f>+'[2]OLD Tables'!H15</f>
        <v>59928.075391244522</v>
      </c>
      <c r="C145" s="90">
        <f>IF($B145&gt;0,(GETPIVOTDATA(" New Retirement",'$ Pivot Table'!$A$3,"State","GA","Category",4,"Category2","Four-Year"))/$B145)*100</f>
        <v>9.4927765036605916</v>
      </c>
      <c r="D145" s="90">
        <f>IF($B145&gt;0,(GETPIVOTDATA(" New Health",'$ Pivot Table'!$A$3,"State","GA","Category",4,"Category2","Four-Year"))/$B145)*100</f>
        <v>11.416128897371131</v>
      </c>
      <c r="E145" s="90">
        <f>IF($B145&gt;0,(GETPIVOTDATA(" New Disability",'$ Pivot Table'!$A$3,"State","GA","Category",4,"Category2","Four-Year"))/$B145)*100</f>
        <v>0</v>
      </c>
      <c r="F145" s="90"/>
      <c r="G145" s="90">
        <f>IF($B145&gt;0,(GETPIVOTDATA(" New Social Security",'$ Pivot Table'!$A$3,"State","GA","Category",4,"Category2","Four-Year"))/$B145)*100</f>
        <v>7.4905963159505582</v>
      </c>
      <c r="H145" s="90"/>
      <c r="I145" s="90">
        <f>IF($B145&gt;0,(GETPIVOTDATA(" New Unemployment",'$ Pivot Table'!$A$3,"State","GA","Category",4,"Category2","Four-Year"))/$B145)*100</f>
        <v>0.23528204281461051</v>
      </c>
      <c r="J145" s="90">
        <f>IF($B145&gt;0,(GETPIVOTDATA(" New Life Insurance",'$ Pivot Table'!$A$3,"State","GA","Category",4,"Category2","Four-Year"))/$B145)*100</f>
        <v>0.29565853387691854</v>
      </c>
      <c r="K145" s="90"/>
      <c r="L145" s="90">
        <f>IF($B145&gt;0,(GETPIVOTDATA(" New Worker's Comp",'$ Pivot Table'!$A$3,"State","GA","Category",4,"Category2","Four-Year"))/$B145)*100</f>
        <v>0.21192263281815593</v>
      </c>
      <c r="M145" s="90">
        <f>IF($B145&gt;0,(GETPIVOTDATA(" New Tuition Plans",'$ Pivot Table'!$A$3,"State","FL","Category",4,"Category2","Four-Year"))/$B145)*100</f>
        <v>7.5090013664237398E-2</v>
      </c>
      <c r="N145" s="90">
        <f>IF($B145&gt;0,(GETPIVOTDATA(" New Other",'$ Pivot Table'!$A$3,"State","GA","Category",4,"Category2","Four-Year"))/$B145)*100</f>
        <v>0</v>
      </c>
      <c r="O145" s="90">
        <f>IF($B145&gt;0,(GETPIVOTDATA(" New Total",'$ Pivot Table'!$A$3,"State","GA","Category",4,"Category2","Four-Year"))/$B145)*100</f>
        <v>26.822322561359613</v>
      </c>
      <c r="T145" s="104"/>
    </row>
    <row r="146" spans="1:22">
      <c r="A146" s="149" t="s">
        <v>483</v>
      </c>
      <c r="B146" s="617">
        <f>+'[2]OLD Tables'!H16</f>
        <v>62441.87957303031</v>
      </c>
      <c r="C146" s="90">
        <f>IF($B146&gt;0,(GETPIVOTDATA(" New Retirement",'$ Pivot Table'!$A$3,"State","KY","Category",4,"Category2","Four-Year"))/$B146)*100</f>
        <v>10.754546974012442</v>
      </c>
      <c r="D146" s="90">
        <f>IF($B146&gt;0,(GETPIVOTDATA(" New Health",'$ Pivot Table'!$A$3,"State","KY","Category",4,"Category2","Four-Year"))/$B146)*100</f>
        <v>8.0760850917678351</v>
      </c>
      <c r="E146" s="90">
        <f>IF($B146&gt;0,(GETPIVOTDATA(" New Disability",'$ Pivot Table'!$A$3,"State","KY","Category",4,"Category2","Four-Year"))/$B146)*100</f>
        <v>0.39684904057088788</v>
      </c>
      <c r="F146" s="90"/>
      <c r="G146" s="90">
        <f>IF($B146&gt;0,(GETPIVOTDATA(" New Social Security",'$ Pivot Table'!$A$3,"State","KY","Category",4,"Category2","Four-Year"))/$B146)*100</f>
        <v>7.5993243471102341</v>
      </c>
      <c r="H146" s="90"/>
      <c r="I146" s="90">
        <f>IF($B146&gt;0,(GETPIVOTDATA(" New Unemployment",'$ Pivot Table'!$A$3,"State","KY","Category",4,"Category2","Four-Year"))/$B146)*100</f>
        <v>0.1625801400154242</v>
      </c>
      <c r="J146" s="114">
        <f>IF($B146&gt;0,(GETPIVOTDATA(" New Life Insurance",'$ Pivot Table'!$A$3,"State","KY","Category",4,"Category2","Four-Year"))/$B146)*100</f>
        <v>0.22940770155134069</v>
      </c>
      <c r="K146" s="114"/>
      <c r="L146" s="90">
        <f>IF($B146&gt;0,(GETPIVOTDATA(" New Worker's Comp",'$ Pivot Table'!$A$3,"State","KY","Category",4,"Category2","Four-Year"))/$B146)*100</f>
        <v>0.27666028486973399</v>
      </c>
      <c r="M146" s="90">
        <f>IF($B146&gt;0,(GETPIVOTDATA(" New Tuition Plans",'$ Pivot Table'!$A$3,"State","KY","Category",4,"Category2","Four-Year"))/$B146)*100</f>
        <v>5.411497602942104</v>
      </c>
      <c r="N146" s="90">
        <f>IF($B146&gt;0,(GETPIVOTDATA(" New Other",'$ Pivot Table'!$A$3,"State","KY","Category",4,"Category2","Four-Year"))/$B146)*100</f>
        <v>0</v>
      </c>
      <c r="O146" s="90">
        <f>IF($B146&gt;0,(GETPIVOTDATA(" New Total",'$ Pivot Table'!$A$3,"State","KY","Category",4,"Category2","Four-Year"))/$B146)*100</f>
        <v>27.619975904299999</v>
      </c>
      <c r="T146" s="104"/>
    </row>
    <row r="147" spans="1:22">
      <c r="A147" s="149" t="s">
        <v>484</v>
      </c>
      <c r="B147" s="617">
        <f>+'[2]OLD Tables'!H17</f>
        <v>55789.054397960674</v>
      </c>
      <c r="C147" s="90">
        <f>IF($B147&gt;0,(GETPIVOTDATA(" New Retirement",'$ Pivot Table'!$A$3,"State","LA","Category",4,"Category2","Four-Year"))/$B147)*100</f>
        <v>14.618738579438089</v>
      </c>
      <c r="D147" s="90">
        <f>IF($B147&gt;0,(GETPIVOTDATA(" New Health",'$ Pivot Table'!$A$3,"State","LA","Category",4,"Category2","Four-Year"))/$B147)*100</f>
        <v>9.9124858146424888</v>
      </c>
      <c r="E147" s="90">
        <f>IF($B147&gt;0,(GETPIVOTDATA(" New Disability",'$ Pivot Table'!$A$3,"State","LA","Category",4,"Category2","Four-Year"))/$B147)*100</f>
        <v>0.44897267867916141</v>
      </c>
      <c r="F147" s="90"/>
      <c r="G147" s="90">
        <f>IF($B147&gt;0,(GETPIVOTDATA(" New Social Security",'$ Pivot Table'!$A$3,"State","LA","Category",4,"Category2","Four-Year"))/$B147)*100</f>
        <v>1.3444796698084789</v>
      </c>
      <c r="H147" s="91">
        <v>2</v>
      </c>
      <c r="I147" s="90">
        <f>IF($B147&gt;0,(GETPIVOTDATA(" New Unemployment",'$ Pivot Table'!$A$3,"State","LA","Category",4,"Category2","Four-Year"))/$B147)*100</f>
        <v>0.28150946862791099</v>
      </c>
      <c r="J147" s="90">
        <f>IF($B147&gt;0,(GETPIVOTDATA(" New Life Insurance",'$ Pivot Table'!$A$3,"State","LA","Category",4,"Category2","Four-Year"))/$B147)*100</f>
        <v>0.3532515031131423</v>
      </c>
      <c r="K147" s="90"/>
      <c r="L147" s="90">
        <f>IF($B147&gt;0,(GETPIVOTDATA(" New Worker's Comp",'$ Pivot Table'!$A$3,"State","LA","Category",4,"Category2","Four-Year"))/$B147)*100</f>
        <v>0.50356439669672837</v>
      </c>
      <c r="M147" s="90">
        <f>IF($B147&gt;0,(GETPIVOTDATA(" New Tuition Plans",'$ Pivot Table'!$A$3,"State","LA","Category",4,"Category2","Four-Year"))/$B147)*100</f>
        <v>3.9278672557678309</v>
      </c>
      <c r="N147" s="90">
        <f>IF($B147&gt;0,(GETPIVOTDATA(" New Other",'$ Pivot Table'!$A$3,"State","LA","Category",4,"Category2","Four-Year"))/$B147)*100</f>
        <v>0</v>
      </c>
      <c r="O147" s="90">
        <f>IF($B147&gt;0,(GETPIVOTDATA(" New Total",'$ Pivot Table'!$A$3,"State","LA","Category",4,"Category2","Four-Year"))/$B147)*100</f>
        <v>23.848467253393661</v>
      </c>
      <c r="T147" s="104"/>
    </row>
    <row r="148" spans="1:22">
      <c r="A148" s="149" t="s">
        <v>485</v>
      </c>
      <c r="B148" s="617">
        <f>+'[2]OLD Tables'!H18</f>
        <v>69855.31716569628</v>
      </c>
      <c r="C148" s="90">
        <f>IF($B148&gt;0,(GETPIVOTDATA(" New Retirement",'$ Pivot Table'!$A$3,"State","MD","Category",4,"Category2","Four-Year"))/$B148)*100</f>
        <v>10.477983010340308</v>
      </c>
      <c r="D148" s="90">
        <f>IF($B148&gt;0,(GETPIVOTDATA(" New Health",'$ Pivot Table'!$A$3,"State","MD","Category",4,"Category2","Four-Year"))/$B148)*100</f>
        <v>10.731173099084144</v>
      </c>
      <c r="E148" s="90">
        <f>IF($B148&gt;0,(GETPIVOTDATA(" New Disability",'$ Pivot Table'!$A$3,"State","MD","Category",4,"Category2","Four-Year"))/$B148)*100</f>
        <v>0</v>
      </c>
      <c r="F148" s="90"/>
      <c r="G148" s="90">
        <f>IF($B148&gt;0,(GETPIVOTDATA(" New Social Security",'$ Pivot Table'!$A$3,"State","MD","Category",4,"Category2","Four-Year"))/$B148)*100</f>
        <v>7.2759071229303309</v>
      </c>
      <c r="H148" s="90"/>
      <c r="I148" s="90">
        <f>IF($B148&gt;0,(GETPIVOTDATA(" New Unemployment",'$ Pivot Table'!$A$3,"State","MD","Category",4,"Category2","Four-Year"))/$B148)*100</f>
        <v>0.52346943327068851</v>
      </c>
      <c r="J148" s="90">
        <f>IF($B148&gt;0,(GETPIVOTDATA(" New Life Insurance",'$ Pivot Table'!$A$3,"State","MD","Category",4,"Category2","Four-Year"))/$B148)*100</f>
        <v>0</v>
      </c>
      <c r="K148" s="90"/>
      <c r="L148" s="90">
        <f>IF($B148&gt;0,(GETPIVOTDATA(" New Worker's Comp",'$ Pivot Table'!$A$3,"State","MD","Category",4,"Category2","Four-Year"))/$B148)*100</f>
        <v>0.87201729847117671</v>
      </c>
      <c r="M148" s="90">
        <f>IF($B148&gt;0,(GETPIVOTDATA(" New Tuition Plans",'$ Pivot Table'!$A$3,"State","MD","Category",4,"Category2","Four-Year"))/$B148)*100</f>
        <v>5.8581206946668116</v>
      </c>
      <c r="N148" s="90">
        <f>IF($B148&gt;0,(GETPIVOTDATA(" New Other",'$ Pivot Table'!$A$3,"State","MD","Category",4,"Category2","Four-Year"))/$B148)*100</f>
        <v>0</v>
      </c>
      <c r="O148" s="90">
        <f>IF($B148&gt;0,(GETPIVOTDATA(" New Total",'$ Pivot Table'!$A$3,"State","MD","Category",4,"Category2","Four-Year"))/$B148)*100</f>
        <v>28.02320970582813</v>
      </c>
      <c r="T148" s="104"/>
    </row>
    <row r="149" spans="1:22">
      <c r="A149" s="149"/>
      <c r="B149" s="617">
        <f>+'[2]OLD Tables'!H19</f>
        <v>0</v>
      </c>
      <c r="C149" s="90"/>
      <c r="D149" s="113"/>
      <c r="E149" s="90"/>
      <c r="F149" s="90"/>
      <c r="G149" s="90"/>
      <c r="H149" s="90"/>
      <c r="I149" s="90"/>
      <c r="J149" s="90"/>
      <c r="K149" s="90"/>
      <c r="L149" s="90"/>
      <c r="M149" s="90"/>
      <c r="N149" s="90"/>
      <c r="O149" s="90"/>
      <c r="T149" s="104"/>
    </row>
    <row r="150" spans="1:22">
      <c r="A150" s="149" t="s">
        <v>486</v>
      </c>
      <c r="B150" s="617">
        <f>+'[2]OLD Tables'!H20</f>
        <v>52593.69050393701</v>
      </c>
      <c r="C150" s="90">
        <f>IF($B150&gt;0,(GETPIVOTDATA(" New Retirement",'$ Pivot Table'!$A$3,"State","MS","Category",4,"Category2","Four-Year"))/$B150)*100</f>
        <v>12.144754915490177</v>
      </c>
      <c r="D150" s="90">
        <f>IF($B150&gt;0,(GETPIVOTDATA(" New Health",'$ Pivot Table'!$A$3,"State","MS","Category",4,"Category2","Four-Year"))/$B150)*100</f>
        <v>9.0787693103197462</v>
      </c>
      <c r="E150" s="90">
        <f>IF($B150&gt;0,(GETPIVOTDATA(" New Disability",'$ Pivot Table'!$A$3,"State","MS","Category",4,"Category2","Four-Year"))/$B150)*100</f>
        <v>0</v>
      </c>
      <c r="F150" s="90"/>
      <c r="G150" s="90">
        <f>IF($B150&gt;0,(GETPIVOTDATA(" New Social Security",'$ Pivot Table'!$A$3,"State","MS","Category",4,"Category2","Four-Year"))/$B150)*100</f>
        <v>7.1952042377924448</v>
      </c>
      <c r="H150" s="90"/>
      <c r="I150" s="90">
        <f>IF($B150&gt;0,(GETPIVOTDATA(" New Unemployment",'$ Pivot Table'!$A$3,"State","MS","Category",4,"Category2","Four-Year"))/$B150)*100</f>
        <v>0.55155701403001833</v>
      </c>
      <c r="J150" s="90">
        <f>IF($B150&gt;0,(GETPIVOTDATA(" New Life Insurance",'$ Pivot Table'!$A$3,"State","MS","Category",4,"Category2","Four-Year"))/$B150)*100</f>
        <v>0.63875867823670318</v>
      </c>
      <c r="K150" s="90"/>
      <c r="L150" s="90">
        <f>IF($B150&gt;0,(GETPIVOTDATA(" New Worker's Comp",'$ Pivot Table'!$A$3,"State","MS","Category",4,"Category2","Four-Year"))/$B150)*100</f>
        <v>0.92926742463205103</v>
      </c>
      <c r="M150" s="90">
        <f>IF($B150&gt;0,(GETPIVOTDATA(" New Tuition Plans",'$ Pivot Table'!$A$3,"State","MS","Category",4,"Category2","Four-Year"))/$B150)*100</f>
        <v>3.8343432875441126</v>
      </c>
      <c r="N150" s="90">
        <f>IF($B150&gt;0,(GETPIVOTDATA(" New Other",'$ Pivot Table'!$A$3,"State","MS","Category",4,"Category2","Four-Year"))/$B150)*100</f>
        <v>0</v>
      </c>
      <c r="O150" s="90">
        <f>IF($B150&gt;0,(GETPIVOTDATA(" New Total",'$ Pivot Table'!$A$3,"State","MS","Category",4,"Category2","Four-Year"))/$B150)*100</f>
        <v>30.302937775329269</v>
      </c>
      <c r="T150" s="104"/>
    </row>
    <row r="151" spans="1:22">
      <c r="A151" s="149" t="s">
        <v>487</v>
      </c>
      <c r="B151" s="617">
        <f>+'[2]OLD Tables'!H21</f>
        <v>67671.400087804868</v>
      </c>
      <c r="C151" s="90">
        <f>IF($B151&gt;0,(GETPIVOTDATA(" New Retirement",'$ Pivot Table'!$A$3,"State","NC","Category",4,"Category2","Four-Year"))/$B151)*100</f>
        <v>11.057543089277972</v>
      </c>
      <c r="D151" s="90">
        <f>IF($B151&gt;0,(GETPIVOTDATA(" New Health",'$ Pivot Table'!$A$3,"State","NC","Category",4,"Category2","Four-Year"))/$B151)*100</f>
        <v>7.2852046708110603</v>
      </c>
      <c r="E151" s="90">
        <f>IF($B151&gt;0,(GETPIVOTDATA(" New Disability",'$ Pivot Table'!$A$3,"State","NC","Category",4,"Category2","Four-Year"))/$B151)*100</f>
        <v>0.52795474567908596</v>
      </c>
      <c r="F151" s="90"/>
      <c r="G151" s="90">
        <f>IF($B151&gt;0,(GETPIVOTDATA(" New Social Security",'$ Pivot Table'!$A$3,"State","NC","Category",4,"Category2","Four-Year"))/$B151)*100</f>
        <v>7.7547064265603147</v>
      </c>
      <c r="H151" s="90"/>
      <c r="I151" s="90">
        <f>IF($B151&gt;0,(GETPIVOTDATA(" New Unemployment",'$ Pivot Table'!$A$3,"State","NC","Category",4,"Category2","Four-Year"))/$B151)*100</f>
        <v>9.1395146799111801E-2</v>
      </c>
      <c r="J151" s="90">
        <f>IF($B151&gt;0,(GETPIVOTDATA(" New Life Insurance",'$ Pivot Table'!$A$3,"State","NC","Category",4,"Category2","Four-Year"))/$B151)*100</f>
        <v>0.15984500793297907</v>
      </c>
      <c r="K151" s="90"/>
      <c r="L151" s="90">
        <f>IF($B151&gt;0,(GETPIVOTDATA(" New Worker's Comp",'$ Pivot Table'!$A$3,"State","NC","Category",4,"Category2","Four-Year"))/$B151)*100</f>
        <v>0.88334593698560193</v>
      </c>
      <c r="M151" s="90">
        <f>IF($B151&gt;0,(GETPIVOTDATA(" New Tuition Plans",'$ Pivot Table'!$A$3,"State","NC","Category",4,"Category2","Four-Year"))/$B151)*100</f>
        <v>0</v>
      </c>
      <c r="N151" s="90">
        <f>IF($B151&gt;0,(GETPIVOTDATA(" New Other",'$ Pivot Table'!$A$3,"State","NC","Category",4,"Category2","Four-Year"))/$B151)*100</f>
        <v>0</v>
      </c>
      <c r="O151" s="90">
        <f>IF($B151&gt;0,(GETPIVOTDATA(" New Total",'$ Pivot Table'!$A$3,"State","NC","Category",4,"Category2","Four-Year"))/$B151)*100</f>
        <v>27.671705182119243</v>
      </c>
      <c r="T151" s="104"/>
    </row>
    <row r="152" spans="1:22">
      <c r="A152" s="149" t="s">
        <v>488</v>
      </c>
      <c r="B152" s="617">
        <f>+'[2]OLD Tables'!H22</f>
        <v>0</v>
      </c>
      <c r="C152" s="90">
        <f>IF($B152&gt;0,(GETPIVOTDATA(" New Retirement",'$ Pivot Table'!$A$3,"State","OK","Category",4,"Category2","Four-Year"))/$B152)*100</f>
        <v>0</v>
      </c>
      <c r="D152" s="90">
        <f>IF($B152&gt;0,(GETPIVOTDATA(" New Health",'$ Pivot Table'!$A$3,"State","OK","Category",4,"Category2","Four-Year"))/$B152)*100</f>
        <v>0</v>
      </c>
      <c r="E152" s="90">
        <f>IF($B152&gt;0,(GETPIVOTDATA(" New Disability",'$ Pivot Table'!$A$3,"State","OK","Category",4,"Category2","Four-Year"))/$B152)*100</f>
        <v>0</v>
      </c>
      <c r="F152" s="90"/>
      <c r="G152" s="90">
        <f>IF($B152&gt;0,(GETPIVOTDATA(" New Social Security",'$ Pivot Table'!$A$3,"State","OK","Category",4,"Category2","Four-Year"))/$B152)*100</f>
        <v>0</v>
      </c>
      <c r="H152" s="90"/>
      <c r="I152" s="90">
        <f>IF($B152&gt;0,(GETPIVOTDATA(" New Unemployment",'$ Pivot Table'!$A$3,"State","OK","Category",4,"Category2","Four-Year"))/$B152)*100</f>
        <v>0</v>
      </c>
      <c r="J152" s="90">
        <f>IF($B152&gt;0,(GETPIVOTDATA(" New Life Insurance",'$ Pivot Table'!$A$3,"State","OK","Category",4,"Category2","Four-Year"))/$B152)*100</f>
        <v>0</v>
      </c>
      <c r="K152" s="90"/>
      <c r="L152" s="90">
        <f>IF($B152&gt;0,(GETPIVOTDATA(" New Worker's Comp",'$ Pivot Table'!$A$3,"State","OK","Category",4,"Category2","Four-Year"))/$B152)*100</f>
        <v>0</v>
      </c>
      <c r="M152" s="90">
        <f>IF($B152&gt;0,(GETPIVOTDATA(" New Tuition Plans",'$ Pivot Table'!$A$3,"State","OK","Category",4,"Category2","Four-Year"))/$B152)*100</f>
        <v>0</v>
      </c>
      <c r="N152" s="90">
        <f>IF($B152&gt;0,(GETPIVOTDATA(" New Other",'$ Pivot Table'!$A$3,"State","OK","Category",4,"Category2","Four-Year"))/$B152)*100</f>
        <v>0</v>
      </c>
      <c r="O152" s="90">
        <f>IF($B152&gt;0,(GETPIVOTDATA(" New Total",'$ Pivot Table'!$A$3,"State","OK","Category",4,"Category2","Four-Year"))/$B152)*100</f>
        <v>0</v>
      </c>
      <c r="T152" s="104"/>
    </row>
    <row r="153" spans="1:22">
      <c r="A153" s="149" t="s">
        <v>489</v>
      </c>
      <c r="B153" s="617">
        <f>+'[2]OLD Tables'!H23</f>
        <v>68583.118604651172</v>
      </c>
      <c r="C153" s="90">
        <f>IF($B153&gt;0,(GETPIVOTDATA(" New Retirement",'$ Pivot Table'!$A$3,"State","SC","Category",4,"Category2","Four-Year"))/$B153)*100</f>
        <v>13.092172499038615</v>
      </c>
      <c r="D153" s="90">
        <f>IF($B153&gt;0,(GETPIVOTDATA(" New Health",'$ Pivot Table'!$A$3,"State","SC","Category",4,"Category2","Four-Year"))/$B153)*100</f>
        <v>8.3067088751686491</v>
      </c>
      <c r="E153" s="90">
        <f>IF($B153&gt;0,(GETPIVOTDATA(" New Disability",'$ Pivot Table'!$A$3,"State","SC","Category",4,"Category2","Four-Year"))/$B153)*100</f>
        <v>5.6427880194668559E-2</v>
      </c>
      <c r="F153" s="90"/>
      <c r="G153" s="90">
        <f>IF($B153&gt;0,(GETPIVOTDATA(" New Social Security",'$ Pivot Table'!$A$3,"State","SC","Category",4,"Category2","Four-Year"))/$B153)*100</f>
        <v>7.6221560338707857</v>
      </c>
      <c r="H153" s="90"/>
      <c r="I153" s="90">
        <f>IF($B153&gt;0,(GETPIVOTDATA(" New Unemployment",'$ Pivot Table'!$A$3,"State","SC","Category",4,"Category2","Four-Year"))/$B153)*100</f>
        <v>0.12965804300088227</v>
      </c>
      <c r="J153" s="90">
        <f>IF($B153&gt;0,(GETPIVOTDATA(" New Life Insurance",'$ Pivot Table'!$A$3,"State","SC","Category",4,"Category2","Four-Year"))/$B153)*100</f>
        <v>0.14945916167582304</v>
      </c>
      <c r="K153" s="90"/>
      <c r="L153" s="90">
        <f>IF($B153&gt;0,(GETPIVOTDATA(" New Worker's Comp",'$ Pivot Table'!$A$3,"State","SC","Category",4,"Category2","Four-Year"))/$B153)*100</f>
        <v>1.3550528898305443</v>
      </c>
      <c r="M153" s="90">
        <f>IF($B153&gt;0,(GETPIVOTDATA(" New Tuition Plans",'$ Pivot Table'!$A$3,"State","SC","Category",4,"Category2","Four-Year"))/$B153)*100</f>
        <v>0</v>
      </c>
      <c r="N153" s="90">
        <f>IF($B153&gt;0,(GETPIVOTDATA(" New Other",'$ Pivot Table'!$A$3,"State","SC","Category",4,"Category2","Four-Year"))/$B153)*100</f>
        <v>0</v>
      </c>
      <c r="O153" s="90">
        <f>IF($B153&gt;0,(GETPIVOTDATA(" New Total",'$ Pivot Table'!$A$3,"State","SC","Category",4,"Category2","Four-Year"))/$B153)*100</f>
        <v>30.702552057650106</v>
      </c>
      <c r="T153" s="104"/>
    </row>
    <row r="154" spans="1:22">
      <c r="A154" s="149"/>
      <c r="B154" s="617">
        <f>+'[2]OLD Tables'!H24</f>
        <v>0</v>
      </c>
      <c r="C154" s="90"/>
      <c r="D154" s="113"/>
      <c r="E154" s="90"/>
      <c r="F154" s="90"/>
      <c r="G154" s="90"/>
      <c r="H154" s="90"/>
      <c r="I154" s="90"/>
      <c r="J154" s="90"/>
      <c r="K154" s="90"/>
      <c r="L154" s="90"/>
      <c r="M154" s="90"/>
      <c r="N154" s="90"/>
      <c r="O154" s="90"/>
      <c r="T154" s="104"/>
    </row>
    <row r="155" spans="1:22">
      <c r="A155" s="149" t="s">
        <v>490</v>
      </c>
      <c r="B155" s="617">
        <f>+'[2]OLD Tables'!H25</f>
        <v>0</v>
      </c>
      <c r="C155" s="86">
        <f>IF($B155&gt;0,(GETPIVOTDATA(" New Retirement",'$ Pivot Table'!$A$3,"State","TN","Category",4,"Category2","Four-Year"))/$B155)*100</f>
        <v>0</v>
      </c>
      <c r="D155" s="86">
        <f>IF($B155&gt;0,(GETPIVOTDATA(" New Health",'$ Pivot Table'!$A$3,"State","TN","Category",4,"Category2","Four-Year"))/$B155)*100</f>
        <v>0</v>
      </c>
      <c r="E155" s="86">
        <f>IF($B155&gt;0,(GETPIVOTDATA(" New Disability",'$ Pivot Table'!$A$3,"State","TN","Category",4,"Category2","Four-Year"))/$B155)*100</f>
        <v>0</v>
      </c>
      <c r="F155" s="86"/>
      <c r="G155" s="86">
        <f>IF($B155&gt;0,(GETPIVOTDATA(" New Social Security",'$ Pivot Table'!$A$3,"State","TN","Category",4,"Category2","Four-Year"))/$B155)*100</f>
        <v>0</v>
      </c>
      <c r="H155" s="86"/>
      <c r="I155" s="86">
        <f>IF($B155&gt;0,(GETPIVOTDATA(" New Unemployment",'$ Pivot Table'!$A$3,"State","TN","Category",4,"Category2","Four-Year"))/$B155)*100</f>
        <v>0</v>
      </c>
      <c r="J155" s="86">
        <f>IF($B155&gt;0,(GETPIVOTDATA(" New Life Insurance",'$ Pivot Table'!$A$3,"State","TN","Category",4,"Category2","Four-Year"))/$B155)*100</f>
        <v>0</v>
      </c>
      <c r="K155" s="86"/>
      <c r="L155" s="86">
        <f>IF($B155&gt;0,(GETPIVOTDATA(" New Worker's Comp",'$ Pivot Table'!$A$3,"State","TN","Category",4,"Category2","Four-Year"))/$B155)*100</f>
        <v>0</v>
      </c>
      <c r="M155" s="86">
        <f>IF($B155&gt;0,(GETPIVOTDATA(" New Tuition Plans",'$ Pivot Table'!$A$3,"State","TN","Category",4,"Category2","Four-Year"))/$B155)*100</f>
        <v>0</v>
      </c>
      <c r="N155" s="86">
        <f>IF($B155&gt;0,(GETPIVOTDATA(" New Other",'$ Pivot Table'!$A$3,"State","TN","Category",4,"Category2","Four-Year"))/$B155)*100</f>
        <v>0</v>
      </c>
      <c r="O155" s="86">
        <f>IF($B155&gt;0,(GETPIVOTDATA(" New Total",'$ Pivot Table'!$A$3,"State","TN","Category",4,"Category2","Four-Year"))/$B155)*100</f>
        <v>0</v>
      </c>
      <c r="T155" s="104"/>
    </row>
    <row r="156" spans="1:22">
      <c r="A156" s="149" t="s">
        <v>491</v>
      </c>
      <c r="B156" s="617">
        <f>+'[2]OLD Tables'!H26</f>
        <v>67800.679385416661</v>
      </c>
      <c r="C156" s="86">
        <f>IF($B156&gt;0,(GETPIVOTDATA(" New Retirement",'$ Pivot Table'!$A$3,"State","TX","Category",4,"Category2","Four-Year"))/$B156)*100</f>
        <v>7.2042478560712793</v>
      </c>
      <c r="D156" s="86">
        <f>IF($B156&gt;0,(GETPIVOTDATA(" New Health",'$ Pivot Table'!$A$3,"State","TX","Category",4,"Category2","Four-Year"))/$B156)*100</f>
        <v>5.3930724120233924</v>
      </c>
      <c r="E156" s="86">
        <f>IF($B156&gt;0,(GETPIVOTDATA(" New Disability",'$ Pivot Table'!$A$3,"State","TX","Category",4,"Category2","Four-Year"))/$B156)*100</f>
        <v>0</v>
      </c>
      <c r="F156" s="86"/>
      <c r="G156" s="86">
        <f>IF($B156&gt;0,(GETPIVOTDATA(" New Social Security",'$ Pivot Table'!$A$3,"State","TX","Category",4,"Category2","Four-Year"))/$B156)*100</f>
        <v>8.0512658833699859</v>
      </c>
      <c r="H156" s="86"/>
      <c r="I156" s="86">
        <f>IF($B156&gt;0,(GETPIVOTDATA(" New Unemployment",'$ Pivot Table'!$A$3,"State","TX","Category",4,"Category2","Four-Year"))/$B156)*100</f>
        <v>0.15351802212651386</v>
      </c>
      <c r="J156" s="86">
        <f>IF($B156&gt;0,(GETPIVOTDATA(" New Life Insurance",'$ Pivot Table'!$A$3,"State","TX","Category",4,"Category2","Four-Year"))/$B156)*100</f>
        <v>3.9029632785903934E-2</v>
      </c>
      <c r="K156" s="86"/>
      <c r="L156" s="86">
        <f>IF($B156&gt;0,(GETPIVOTDATA(" New Worker's Comp",'$ Pivot Table'!$A$3,"State","TX","Category",4,"Category2","Four-Year"))/$B156)*100</f>
        <v>0.27045869299850411</v>
      </c>
      <c r="M156" s="86">
        <f>IF($B156&gt;0,(GETPIVOTDATA(" New Tuition Plans",'$ Pivot Table'!$A$3,"State","TX","Category",4,"Category2","Four-Year"))/$B156)*100</f>
        <v>0</v>
      </c>
      <c r="N156" s="86">
        <f>IF($B156&gt;0,(GETPIVOTDATA(" New Other",'$ Pivot Table'!$A$3,"State","TX","Category",4,"Category2","Four-Year"))/$B156)*100</f>
        <v>0</v>
      </c>
      <c r="O156" s="86">
        <f>IF($B156&gt;0,(GETPIVOTDATA(" New Total",'$ Pivot Table'!$A$3,"State","TX","Category",4,"Category2","Four-Year"))/$B156)*100</f>
        <v>20.747753633839146</v>
      </c>
      <c r="T156" s="104"/>
    </row>
    <row r="157" spans="1:22">
      <c r="A157" s="149" t="s">
        <v>492</v>
      </c>
      <c r="B157" s="617">
        <f>+'[2]OLD Tables'!H27</f>
        <v>64426.633514511035</v>
      </c>
      <c r="C157" s="86">
        <f>IF($B157&gt;0,(GETPIVOTDATA(" New Retirement",'$ Pivot Table'!$A$3,"State","VA","Category",4,"Category2","Four-Year"))/$B157)*100</f>
        <v>10.489938801070284</v>
      </c>
      <c r="D157" s="86">
        <f>IF($B157&gt;0,(GETPIVOTDATA(" New Health",'$ Pivot Table'!$A$3,"State","VA","Category",4,"Category2","Four-Year"))/$B157)*100</f>
        <v>12.818965383688877</v>
      </c>
      <c r="E157" s="86">
        <f>IF($B157&gt;0,(GETPIVOTDATA(" New Disability",'$ Pivot Table'!$A$3,"State","VA","Category",4,"Category2","Four-Year"))/$B157)*100</f>
        <v>0.61644358006754119</v>
      </c>
      <c r="F157" s="86"/>
      <c r="G157" s="86">
        <f>IF($B157&gt;0,(GETPIVOTDATA(" New Social Security",'$ Pivot Table'!$A$3,"State","VA","Category",4,"Category2","Four-Year"))/$B157)*100</f>
        <v>7.3617353290408234</v>
      </c>
      <c r="H157" s="86"/>
      <c r="I157" s="86">
        <f>IF($B157&gt;0,(GETPIVOTDATA(" New Unemployment",'$ Pivot Table'!$A$3,"State","VA","Category",4,"Category2","Four-Year"))/$B157)*100</f>
        <v>0</v>
      </c>
      <c r="J157" s="86">
        <f>IF($B157&gt;0,(GETPIVOTDATA(" New Life Insurance",'$ Pivot Table'!$A$3,"State","VA","Category",4,"Category2","Four-Year"))/$B157)*100</f>
        <v>0.95810297093623953</v>
      </c>
      <c r="K157" s="86"/>
      <c r="L157" s="86">
        <f>IF($B157&gt;0,(GETPIVOTDATA(" New Worker's Comp",'$ Pivot Table'!$A$3,"State","VA","Category",4,"Category2","Four-Year"))/$B157)*100</f>
        <v>0</v>
      </c>
      <c r="M157" s="86">
        <f>IF($B157&gt;0,(GETPIVOTDATA(" New Tuition Plans",'$ Pivot Table'!$A$3,"State","VA","Category",4,"Category2","Four-Year"))/$B157)*100</f>
        <v>0</v>
      </c>
      <c r="N157" s="86">
        <f>IF($B157&gt;0,(GETPIVOTDATA(" New Other",'$ Pivot Table'!$A$3,"State","VA","Category",4,"Category2","Four-Year"))/$B157)*100</f>
        <v>0</v>
      </c>
      <c r="O157" s="86">
        <f>IF($B157&gt;0,(GETPIVOTDATA(" New Total",'$ Pivot Table'!$A$3,"State","VA","Category",4,"Category2","Four-Year"))/$B157)*100</f>
        <v>30.520390060678377</v>
      </c>
      <c r="T157" s="104"/>
    </row>
    <row r="158" spans="1:22">
      <c r="A158" s="630" t="s">
        <v>493</v>
      </c>
      <c r="B158" s="618">
        <f>+'[2]OLD Tables'!H28</f>
        <v>0</v>
      </c>
      <c r="C158" s="115">
        <f>IF($B158&gt;0,(GETPIVOTDATA(" New Retirement",'$ Pivot Table'!$A$3,"State","WV","Category",4,"Category2","Four-Year"))/$B158)*100</f>
        <v>0</v>
      </c>
      <c r="D158" s="115">
        <f>IF($B158&gt;0,(GETPIVOTDATA(" New Health",'$ Pivot Table'!$A$3,"State","WV","Category",4,"Category2","Four-Year"))/$B158)*100</f>
        <v>0</v>
      </c>
      <c r="E158" s="115">
        <f>IF($B158&gt;0,(GETPIVOTDATA(" New Disability",'$ Pivot Table'!$A$3,"State","WV","Category",4,"Category2","Four-Year"))/$B158)*100</f>
        <v>0</v>
      </c>
      <c r="F158" s="115"/>
      <c r="G158" s="115">
        <f>IF($B158&gt;0,(GETPIVOTDATA(" New Social Security",'$ Pivot Table'!$A$3,"State","WV","Category",4,"Category2","Four-Year"))/$B158)*100</f>
        <v>0</v>
      </c>
      <c r="H158" s="115"/>
      <c r="I158" s="115">
        <f>IF($B158&gt;0,(GETPIVOTDATA(" New Unemployment",'$ Pivot Table'!$A$3,"State","WV","Category",4,"Category2","Four-Year"))/$B158)*100</f>
        <v>0</v>
      </c>
      <c r="J158" s="115">
        <f>IF($B158&gt;0,(GETPIVOTDATA(" New Life Insurance",'$ Pivot Table'!$A$3,"State","WV","Category",4,"Category2","Four-Year"))/$B158)*100</f>
        <v>0</v>
      </c>
      <c r="K158" s="115"/>
      <c r="L158" s="115">
        <f>IF($B158&gt;0,(GETPIVOTDATA(" New Worker's Comp",'$ Pivot Table'!$A$3,"State","WV","Category",4,"Category2","Four-Year"))/$B158)*100</f>
        <v>0</v>
      </c>
      <c r="M158" s="115">
        <f>IF($B158&gt;0,(GETPIVOTDATA(" New Tuition Plans",'$ Pivot Table'!$A$3,"State","WV","Category",4,"Category2","Four-Year"))/$B158)*100</f>
        <v>0</v>
      </c>
      <c r="N158" s="115">
        <f>IF($B158&gt;0,(GETPIVOTDATA(" New Other",'$ Pivot Table'!$A$3,"State","WV","Category",4,"Category2","Four-Year"))/$B158)*100</f>
        <v>0</v>
      </c>
      <c r="O158" s="115">
        <f>IF($B158&gt;0,(GETPIVOTDATA(" New Total",'$ Pivot Table'!$A$3,"State","WV","Category",4,"Category2","Four-Year"))/$B158)*100</f>
        <v>0</v>
      </c>
      <c r="T158" s="104"/>
    </row>
    <row r="159" spans="1:22">
      <c r="A159" s="627" t="s">
        <v>692</v>
      </c>
      <c r="B159" s="31"/>
      <c r="C159" s="28"/>
      <c r="D159" s="28"/>
      <c r="E159" s="28"/>
      <c r="F159" s="28"/>
      <c r="G159" s="28"/>
      <c r="H159" s="28"/>
      <c r="I159" s="28"/>
      <c r="J159" s="28"/>
      <c r="K159" s="28"/>
      <c r="L159" s="28"/>
      <c r="M159" s="28"/>
      <c r="N159" s="28"/>
      <c r="O159" s="86"/>
      <c r="Q159" s="116"/>
      <c r="R159" s="101"/>
      <c r="S159" s="103"/>
      <c r="T159" s="102"/>
      <c r="V159" s="117"/>
    </row>
    <row r="160" spans="1:22" ht="18" customHeight="1">
      <c r="A160" s="628" t="s">
        <v>14</v>
      </c>
      <c r="B160" s="45"/>
      <c r="C160" s="54"/>
      <c r="D160" s="54"/>
      <c r="E160" s="54"/>
      <c r="F160" s="54"/>
      <c r="G160" s="54"/>
      <c r="H160" s="54"/>
      <c r="I160" s="54"/>
      <c r="J160" s="54"/>
      <c r="K160" s="54"/>
      <c r="L160" s="54"/>
      <c r="M160" s="54"/>
      <c r="N160" s="54"/>
      <c r="O160" s="145"/>
    </row>
    <row r="161" spans="1:15" ht="18" customHeight="1">
      <c r="A161" s="628" t="s">
        <v>678</v>
      </c>
      <c r="B161" s="45"/>
      <c r="C161" s="54"/>
      <c r="D161" s="54"/>
      <c r="E161" s="54"/>
      <c r="F161" s="54"/>
      <c r="G161" s="54"/>
      <c r="H161" s="54"/>
      <c r="I161" s="54"/>
      <c r="J161" s="54"/>
      <c r="K161" s="54"/>
      <c r="L161" s="54"/>
      <c r="M161" s="54"/>
      <c r="N161" s="54"/>
      <c r="O161" s="145"/>
    </row>
    <row r="162" spans="1:15">
      <c r="A162" s="629"/>
      <c r="B162" s="45"/>
      <c r="C162" s="54"/>
      <c r="D162" s="54"/>
      <c r="E162" s="54"/>
      <c r="F162" s="54"/>
      <c r="G162" s="54"/>
      <c r="H162" s="54"/>
      <c r="I162" s="54"/>
      <c r="J162" s="54"/>
      <c r="K162" s="54"/>
      <c r="L162" s="54"/>
      <c r="M162" s="54"/>
      <c r="N162" s="54"/>
      <c r="O162" s="637" t="s">
        <v>1321</v>
      </c>
    </row>
    <row r="163" spans="1:15" ht="18">
      <c r="A163" s="595" t="s">
        <v>1105</v>
      </c>
      <c r="B163" s="48"/>
      <c r="C163" s="48"/>
      <c r="D163" s="48"/>
      <c r="E163" s="48"/>
      <c r="F163" s="48"/>
      <c r="G163" s="48"/>
      <c r="H163" s="48"/>
      <c r="I163" s="48"/>
      <c r="J163" s="48"/>
      <c r="K163" s="48"/>
      <c r="L163" s="48"/>
      <c r="M163" s="48"/>
      <c r="N163" s="48"/>
      <c r="O163" s="48"/>
    </row>
    <row r="164" spans="1:15" ht="18">
      <c r="A164" s="632"/>
      <c r="B164" s="45"/>
      <c r="C164" s="54"/>
      <c r="D164" s="54"/>
      <c r="E164" s="54"/>
      <c r="F164" s="54"/>
      <c r="G164" s="54"/>
      <c r="H164" s="54"/>
      <c r="I164" s="54"/>
      <c r="J164" s="54"/>
      <c r="K164" s="54"/>
      <c r="L164" s="54"/>
      <c r="M164" s="54"/>
      <c r="N164" s="54"/>
      <c r="O164" s="145"/>
    </row>
    <row r="165" spans="1:15" ht="15.75">
      <c r="A165" s="640" t="s">
        <v>466</v>
      </c>
      <c r="B165" s="641"/>
      <c r="C165" s="641"/>
      <c r="D165" s="641"/>
      <c r="E165" s="641"/>
      <c r="F165" s="641"/>
      <c r="G165" s="641"/>
      <c r="H165" s="641"/>
      <c r="I165" s="641"/>
      <c r="J165" s="641"/>
      <c r="K165" s="641"/>
      <c r="L165" s="641"/>
      <c r="M165" s="641"/>
      <c r="N165" s="641"/>
      <c r="O165" s="641"/>
    </row>
    <row r="166" spans="1:15" ht="15.75">
      <c r="A166" s="640" t="s">
        <v>1073</v>
      </c>
      <c r="B166" s="641"/>
      <c r="C166" s="641"/>
      <c r="D166" s="641"/>
      <c r="E166" s="641"/>
      <c r="F166" s="641"/>
      <c r="G166" s="641"/>
      <c r="H166" s="641"/>
      <c r="I166" s="641"/>
      <c r="J166" s="641"/>
      <c r="K166" s="641"/>
      <c r="L166" s="641"/>
      <c r="M166" s="641"/>
      <c r="N166" s="641"/>
      <c r="O166" s="641"/>
    </row>
    <row r="167" spans="1:15">
      <c r="A167" s="148"/>
      <c r="B167" s="45"/>
      <c r="C167" s="54"/>
      <c r="D167" s="54"/>
      <c r="E167" s="54"/>
      <c r="F167" s="54"/>
      <c r="G167" s="54"/>
      <c r="H167" s="54"/>
      <c r="I167" s="54"/>
      <c r="J167" s="54"/>
      <c r="K167" s="54"/>
      <c r="L167" s="54"/>
      <c r="M167" s="54"/>
      <c r="N167" s="54"/>
      <c r="O167" s="145"/>
    </row>
    <row r="168" spans="1:15">
      <c r="A168" s="623"/>
      <c r="B168" s="2" t="s">
        <v>473</v>
      </c>
      <c r="C168" s="643" t="s">
        <v>593</v>
      </c>
      <c r="D168" s="643"/>
      <c r="E168" s="643"/>
      <c r="F168" s="643"/>
      <c r="G168" s="643"/>
      <c r="H168" s="643"/>
      <c r="I168" s="643"/>
      <c r="J168" s="643"/>
      <c r="K168" s="643"/>
      <c r="L168" s="643"/>
      <c r="M168" s="643"/>
      <c r="N168" s="643"/>
      <c r="O168" s="643"/>
    </row>
    <row r="169" spans="1:15">
      <c r="A169" s="624"/>
      <c r="B169" s="4" t="s">
        <v>474</v>
      </c>
      <c r="C169" s="3" t="s">
        <v>660</v>
      </c>
      <c r="D169" s="3"/>
      <c r="E169" s="53"/>
      <c r="F169" s="53"/>
      <c r="G169" s="3" t="s">
        <v>661</v>
      </c>
      <c r="H169" s="3"/>
      <c r="I169" s="3" t="s">
        <v>662</v>
      </c>
      <c r="J169" s="3" t="s">
        <v>663</v>
      </c>
      <c r="K169" s="3"/>
      <c r="L169" s="3" t="s">
        <v>664</v>
      </c>
      <c r="M169" s="3" t="s">
        <v>665</v>
      </c>
      <c r="N169" s="3"/>
      <c r="O169" s="124" t="s">
        <v>475</v>
      </c>
    </row>
    <row r="170" spans="1:15">
      <c r="A170" s="625"/>
      <c r="B170" s="15" t="s">
        <v>476</v>
      </c>
      <c r="C170" s="16" t="s">
        <v>667</v>
      </c>
      <c r="D170" s="16" t="s">
        <v>708</v>
      </c>
      <c r="E170" s="17" t="s">
        <v>709</v>
      </c>
      <c r="F170" s="17"/>
      <c r="G170" s="16" t="s">
        <v>668</v>
      </c>
      <c r="H170" s="16"/>
      <c r="I170" s="16" t="s">
        <v>667</v>
      </c>
      <c r="J170" s="16" t="s">
        <v>669</v>
      </c>
      <c r="K170" s="16"/>
      <c r="L170" s="16" t="s">
        <v>670</v>
      </c>
      <c r="M170" s="16" t="s">
        <v>671</v>
      </c>
      <c r="N170" s="16" t="s">
        <v>701</v>
      </c>
      <c r="O170" s="146" t="s">
        <v>15</v>
      </c>
    </row>
    <row r="171" spans="1:15">
      <c r="A171" s="149" t="s">
        <v>600</v>
      </c>
      <c r="B171" s="33">
        <f>+'[2]OLD Tables'!J8</f>
        <v>58640.492704222183</v>
      </c>
      <c r="C171" s="32">
        <f>IF($B171&gt;0,(GETPIVOTDATA(" New Retirement",'$ Pivot Table'!$A$3,"Category",5,"Category2","Four-Year"))/$B171)*100</f>
        <v>11.391419513374334</v>
      </c>
      <c r="D171" s="32">
        <f>IF($B171&gt;0,(GETPIVOTDATA(" New Health",'$ Pivot Table'!$A$3,"Category",5,"Category2","Four-Year"))/$B171)*100</f>
        <v>9.9932155778339276</v>
      </c>
      <c r="E171" s="32">
        <f>IF($B171&gt;0,(GETPIVOTDATA(" New Disability",'$ Pivot Table'!$A$3,"Category",5,"Category2","Four-Year"))/$B171)*100</f>
        <v>0.65231637870258974</v>
      </c>
      <c r="F171" s="32"/>
      <c r="G171" s="32">
        <f>IF($B171&gt;0,(GETPIVOTDATA(" New Social Security",'$ Pivot Table'!$A$3,"Category",5,"Category2","Four-Year"))/$B171)*100</f>
        <v>7.4940721505954144</v>
      </c>
      <c r="H171" s="32"/>
      <c r="I171" s="32">
        <f>IF($B171&gt;0,(GETPIVOTDATA(" New Unemployment",'$ Pivot Table'!$A$3,"Category",5,"Category2","Four-Year"))/$B171)*100</f>
        <v>0.25261544936254254</v>
      </c>
      <c r="J171" s="32">
        <f>IF($B171&gt;0,(GETPIVOTDATA(" New Life Insurance",'$ Pivot Table'!$A$3,"Category",5,"Category2","Four-Year"))/$B171)*100</f>
        <v>0.46593502985271806</v>
      </c>
      <c r="K171" s="32"/>
      <c r="L171" s="32">
        <f>IF($B171&gt;0,(GETPIVOTDATA(" New Worker's Comp",'$ Pivot Table'!$A$3,"Category",5,"Category2","Four-Year"))/$B171)*100</f>
        <v>0.69583129949753886</v>
      </c>
      <c r="M171" s="32">
        <f>IF($B171&gt;0,(GETPIVOTDATA(" New Tuition Plans",'$ Pivot Table'!$A$3,"Category",5,"Category2","Four-Year"))/$B171)*100</f>
        <v>3.9343499957600234</v>
      </c>
      <c r="N171" s="32">
        <f>IF($B171&gt;0,(GETPIVOTDATA(" New Other",'$ Pivot Table'!$A$3,"Category",5,"Category2","Four-Year"))/$B171)*100</f>
        <v>0.71233000799204338</v>
      </c>
      <c r="O171" s="90">
        <f>IF($B171&gt;0,(GETPIVOTDATA(" New Total",'$ Pivot Table'!$A$3,"Category",5,"Category2","Four-Year"))/$B171)*100</f>
        <v>29.684012550248845</v>
      </c>
    </row>
    <row r="172" spans="1:15">
      <c r="A172" s="149"/>
      <c r="B172" s="31">
        <f>+'[3]OLD Tables 107-126'!J9</f>
        <v>0</v>
      </c>
      <c r="C172" s="32"/>
      <c r="D172" s="34"/>
      <c r="E172" s="32"/>
      <c r="F172" s="32"/>
      <c r="G172" s="32"/>
      <c r="H172" s="32"/>
      <c r="I172" s="32"/>
      <c r="J172" s="32"/>
      <c r="K172" s="32"/>
      <c r="L172" s="32"/>
      <c r="M172" s="32"/>
      <c r="N172" s="32"/>
      <c r="O172" s="90"/>
    </row>
    <row r="173" spans="1:15">
      <c r="A173" s="149" t="s">
        <v>479</v>
      </c>
      <c r="B173" s="617">
        <f>+'[2]OLD Tables'!J10</f>
        <v>56072.135406349211</v>
      </c>
      <c r="C173" s="32">
        <f>IF($B173&gt;0,(GETPIVOTDATA(" New Retirement",'$ Pivot Table'!$A$3,"State","AL","Category",5,"Category2","Four-Year"))/$B173)*100</f>
        <v>12.633214006563973</v>
      </c>
      <c r="D173" s="32">
        <f>IF($B173&gt;0,(GETPIVOTDATA(" New Health",'$ Pivot Table'!$A$3,"State","AL","Category",5,"Category2","Four-Year"))/$B173)*100</f>
        <v>5.2704604860208475</v>
      </c>
      <c r="E173" s="32">
        <f>IF($B173&gt;0,(GETPIVOTDATA(" New Disability",'$ Pivot Table'!$A$3,"State","AL","Category",5,"Category2","Four-Year"))/$B173)*100</f>
        <v>0.42690179192384958</v>
      </c>
      <c r="F173" s="32"/>
      <c r="G173" s="32">
        <f>IF($B173&gt;0,(GETPIVOTDATA(" New Social Security",'$ Pivot Table'!$A$3,"State","AL","Category",5,"Category2","Four-Year"))/$B173)*100</f>
        <v>7.7253494673290568</v>
      </c>
      <c r="H173" s="32"/>
      <c r="I173" s="32">
        <f>IF($B173&gt;0,(GETPIVOTDATA(" New Unemployment",'$ Pivot Table'!$A$3,"State","AL","Category",5,"Category2","Four-Year"))/$B173)*100</f>
        <v>0.21483015251985305</v>
      </c>
      <c r="J173" s="32">
        <f>IF($B173&gt;0,(GETPIVOTDATA(" New Life Insurance",'$ Pivot Table'!$A$3,"State","AL","Category",5,"Category2","Four-Year"))/$B173)*100</f>
        <v>0.16646842672015452</v>
      </c>
      <c r="K173" s="32"/>
      <c r="L173" s="32">
        <f>IF($B173&gt;0,(GETPIVOTDATA(" New Worker's Comp",'$ Pivot Table'!$A$3,"State","AL","Category",5,"Category2","Four-Year"))/$B173)*100</f>
        <v>0</v>
      </c>
      <c r="M173" s="32">
        <f>IF($B173&gt;0,(GETPIVOTDATA(" New Tuition Plans",'$ Pivot Table'!$A$3,"State","AL","Category",5,"Category2","Four-Year"))/$B173)*100</f>
        <v>4.8696965745193816</v>
      </c>
      <c r="N173" s="32">
        <f>IF($B173&gt;0,(GETPIVOTDATA(" New Other",'$ Pivot Table'!$A$3,"State","AL","Category",5,"Category2","Four-Year"))/$B173)*100</f>
        <v>8.7173423387162767</v>
      </c>
      <c r="O173" s="90">
        <f>IF($B173&gt;0,(GETPIVOTDATA(" New Total",'$ Pivot Table'!$A$3,"State","AL","Category",5,"Category2","Four-Year"))/$B173)*100</f>
        <v>27.023425747326957</v>
      </c>
    </row>
    <row r="174" spans="1:15">
      <c r="A174" s="149" t="s">
        <v>480</v>
      </c>
      <c r="B174" s="617">
        <f>+'[2]OLD Tables'!J11</f>
        <v>49369.912337419351</v>
      </c>
      <c r="C174" s="32">
        <f>IF($B174&gt;0,(GETPIVOTDATA(" New Retirement",'$ Pivot Table'!$A$3,"State","AR","Category",5,"Category2","Four-Year"))/$B174)*100</f>
        <v>9.4441281742226586</v>
      </c>
      <c r="D174" s="32">
        <f>IF($B174&gt;0,(GETPIVOTDATA(" New Health",'$ Pivot Table'!$A$3,"State","AR","Category",5,"Category2","Four-Year"))/$B174)*100</f>
        <v>12.523530819812182</v>
      </c>
      <c r="E174" s="32">
        <f>IF($B174&gt;0,(GETPIVOTDATA(" New Disability",'$ Pivot Table'!$A$3,"State","AR","Category",5,"Category2","Four-Year"))/$B174)*100</f>
        <v>0.17584945191695833</v>
      </c>
      <c r="F174" s="32"/>
      <c r="G174" s="32">
        <f>IF($B174&gt;0,(GETPIVOTDATA(" New Social Security",'$ Pivot Table'!$A$3,"State","AR","Category",5,"Category2","Four-Year"))/$B174)*100</f>
        <v>7.4685039858676934</v>
      </c>
      <c r="H174" s="32"/>
      <c r="I174" s="32">
        <f>IF($B174&gt;0,(GETPIVOTDATA(" New Unemployment",'$ Pivot Table'!$A$3,"State","AR","Category",5,"Category2","Four-Year"))/$B174)*100</f>
        <v>0.18836734859119658</v>
      </c>
      <c r="J174" s="32">
        <f>IF($B174&gt;0,(GETPIVOTDATA(" New Life Insurance",'$ Pivot Table'!$A$3,"State","AR","Category",5,"Category2","Four-Year"))/$B174)*100</f>
        <v>0.31496129214009172</v>
      </c>
      <c r="K174" s="32"/>
      <c r="L174" s="32">
        <f>IF($B174&gt;0,(GETPIVOTDATA(" New Worker's Comp",'$ Pivot Table'!$A$3,"State","AR","Category",5,"Category2","Four-Year"))/$B174)*100</f>
        <v>0.20758577808733403</v>
      </c>
      <c r="M174" s="32">
        <f>IF($B174&gt;0,(GETPIVOTDATA(" New Tuition Plans",'$ Pivot Table'!$A$3,"State","AR","Category",5,"Category2","Four-Year"))/$B174)*100</f>
        <v>4.8496136343861931</v>
      </c>
      <c r="N174" s="32">
        <f>IF($B174&gt;0,(GETPIVOTDATA(" New Other",'$ Pivot Table'!$A$3,"State","AR","Category",5,"Category2","Four-Year"))/$B174)*100</f>
        <v>0</v>
      </c>
      <c r="O174" s="90">
        <f>IF($B174&gt;0,(GETPIVOTDATA(" New Total",'$ Pivot Table'!$A$3,"State","AR","Category",5,"Category2","Four-Year"))/$B174)*100</f>
        <v>29.475543273676731</v>
      </c>
    </row>
    <row r="175" spans="1:15">
      <c r="A175" s="149" t="s">
        <v>494</v>
      </c>
      <c r="B175" s="617">
        <f>+'[2]OLD Tables'!J12</f>
        <v>0</v>
      </c>
      <c r="C175" s="32">
        <f>IF($B175&gt;0,(GETPIVOTDATA(" New Retirement",'$ Pivot Table'!$A$3,"State","DE","Category",5,"Category2","Four-Year"))/$B175)*100</f>
        <v>0</v>
      </c>
      <c r="D175" s="32">
        <f>IF($B175&gt;0,(GETPIVOTDATA(" New Health",'$ Pivot Table'!$A$3,"State","DE","Category",5,"Category2","Four-Year"))/$B175)*100</f>
        <v>0</v>
      </c>
      <c r="E175" s="32">
        <f>IF($B175&gt;0,(GETPIVOTDATA(" New Disability",'$ Pivot Table'!$A$3,"State","DE","Category",5,"Category2","Four-Year"))/$B175)*100</f>
        <v>0</v>
      </c>
      <c r="F175" s="32"/>
      <c r="G175" s="32">
        <f>IF($B175&gt;0,(GETPIVOTDATA(" New Social Security",'$ Pivot Table'!$A$3,"State","DE","Category",5,"Category2","Four-Year"))/$B175)*100</f>
        <v>0</v>
      </c>
      <c r="H175" s="32"/>
      <c r="I175" s="32">
        <f>IF($B175&gt;0,(GETPIVOTDATA(" New Unemployment",'$ Pivot Table'!$A$3,"State","DE","Category",5,"Category2","Four-Year"))/$B175)*100</f>
        <v>0</v>
      </c>
      <c r="J175" s="32">
        <f>IF($B175&gt;0,(GETPIVOTDATA(" New Life Insurance",'$ Pivot Table'!$A$3,"State","DE","Category",5,"Category2","Four-Year"))/$B175)*100</f>
        <v>0</v>
      </c>
      <c r="K175" s="32"/>
      <c r="L175" s="32">
        <f>IF($B175&gt;0,(GETPIVOTDATA(" New Worker's Comp",'$ Pivot Table'!$A$3,"State","DE","Category",5,"Category2","Four-Year"))/$B175)*100</f>
        <v>0</v>
      </c>
      <c r="M175" s="32">
        <f>IF($B175&gt;0,(GETPIVOTDATA(" New Tuition Plans",'$ Pivot Table'!$A$3,"State","DE","Category",5,"Category2","Four-Year"))/$B175)*100</f>
        <v>0</v>
      </c>
      <c r="N175" s="32">
        <f>IF($B175&gt;0,(GETPIVOTDATA(" New Other",'$ Pivot Table'!$A$3,"State","DE","Category",5,"Category2","Four-Year"))/$B175)*100</f>
        <v>0</v>
      </c>
      <c r="O175" s="90">
        <f>IF($B175&gt;0,(GETPIVOTDATA(" New Total",'$ Pivot Table'!$A$3,"State","DE","Category",5,"Category2","Four-Year"))/$B175)*100</f>
        <v>0</v>
      </c>
    </row>
    <row r="176" spans="1:15">
      <c r="A176" s="149" t="s">
        <v>481</v>
      </c>
      <c r="B176" s="617">
        <f>+'[2]OLD Tables'!J13</f>
        <v>0</v>
      </c>
      <c r="C176" s="32">
        <f>IF($B176&gt;0,(GETPIVOTDATA(" New Retirement",'$ Pivot Table'!$A$3,"State","FL","Category",5,"Category2","Four-Year"))/$B176)*100</f>
        <v>0</v>
      </c>
      <c r="D176" s="32">
        <f>IF($B176&gt;0,(GETPIVOTDATA(" New Health",'$ Pivot Table'!$A$3,"State","FL","Category",5,"Category2","Four-Year"))/$B176)*100</f>
        <v>0</v>
      </c>
      <c r="E176" s="32">
        <f>IF($B176&gt;0,(GETPIVOTDATA(" New Disability",'$ Pivot Table'!$A$3,"State","FL","Category",5,"Category2","Four-Year"))/$B176)*100</f>
        <v>0</v>
      </c>
      <c r="F176" s="32"/>
      <c r="G176" s="32">
        <f>IF($B176&gt;0,(GETPIVOTDATA(" New Social Security",'$ Pivot Table'!$A$3,"State","FL","Category",5,"Category2","Four-Year"))/$B176)*100</f>
        <v>0</v>
      </c>
      <c r="H176" s="32"/>
      <c r="I176" s="56">
        <f>IF($B176&gt;0,(GETPIVOTDATA(" New Unemployment",'$ Pivot Table'!$A$3,"State","FL","Category",5,"Category2","Four-Year"))/$B176)*100</f>
        <v>0</v>
      </c>
      <c r="J176" s="56">
        <f>IF($B176&gt;0,(GETPIVOTDATA(" New Life Insurance",'$ Pivot Table'!$A$3,"State","FL","Category",5,"Category2","Four-Year"))/$B176)*100</f>
        <v>0</v>
      </c>
      <c r="K176" s="56"/>
      <c r="L176" s="35">
        <f>IF($B176&gt;0,(GETPIVOTDATA(" New Worker's Comp",'$ Pivot Table'!$A$3,"State","FL","Category",5,"Category2","Four-Year"))/$B176)*100</f>
        <v>0</v>
      </c>
      <c r="M176" s="32">
        <f>IF($B176&gt;0,(GETPIVOTDATA(" New Tuition Plans",'$ Pivot Table'!$A$3,"State","FL","Category",5,"Category2","Four-Year"))/$B176)*100</f>
        <v>0</v>
      </c>
      <c r="N176" s="32">
        <f>IF($B176&gt;0,(GETPIVOTDATA(" New Other",'$ Pivot Table'!$A$3,"State","FL","Category",5,"Category2","Four-Year"))/$B176)*100</f>
        <v>0</v>
      </c>
      <c r="O176" s="90">
        <f>IF($B176&gt;0,(GETPIVOTDATA(" New Total",'$ Pivot Table'!$A$3,"State","FL","Category",5,"Category2","Four-Year"))/$B176)*100</f>
        <v>0</v>
      </c>
    </row>
    <row r="177" spans="1:15">
      <c r="A177" s="149"/>
      <c r="B177" s="617">
        <f>+'[2]OLD Tables'!J14</f>
        <v>0</v>
      </c>
      <c r="C177" s="32"/>
      <c r="D177" s="34"/>
      <c r="E177" s="32"/>
      <c r="F177" s="32"/>
      <c r="G177" s="32"/>
      <c r="H177" s="32"/>
      <c r="I177" s="32"/>
      <c r="J177" s="32"/>
      <c r="K177" s="32"/>
      <c r="L177" s="32"/>
      <c r="M177" s="32"/>
      <c r="N177" s="32"/>
      <c r="O177" s="90"/>
    </row>
    <row r="178" spans="1:15">
      <c r="A178" s="149" t="s">
        <v>482</v>
      </c>
      <c r="B178" s="617">
        <f>+'[2]OLD Tables'!J15</f>
        <v>56293.851802214027</v>
      </c>
      <c r="C178" s="32">
        <f>IF($B178&gt;0,(GETPIVOTDATA(" New Retirement",'$ Pivot Table'!$A$3,"State","GA","Category",5,"Category2","Four-Year"))/$B178)*100</f>
        <v>9.3162277863889731</v>
      </c>
      <c r="D178" s="32">
        <f>IF($B178&gt;0,(GETPIVOTDATA(" New Health",'$ Pivot Table'!$A$3,"State","GA","Category",5,"Category2","Four-Year"))/$B178)*100</f>
        <v>12.894644318553919</v>
      </c>
      <c r="E178" s="32">
        <f>IF($B178&gt;0,(GETPIVOTDATA(" New Disability",'$ Pivot Table'!$A$3,"State","GA","Category",5,"Category2","Four-Year"))/$B178)*100</f>
        <v>0</v>
      </c>
      <c r="F178" s="32"/>
      <c r="G178" s="32">
        <f>IF($B178&gt;0,(GETPIVOTDATA(" New Social Security",'$ Pivot Table'!$A$3,"State","GA","Category",5,"Category2","Four-Year"))/$B178)*100</f>
        <v>7.6713228277279999</v>
      </c>
      <c r="H178" s="32"/>
      <c r="I178" s="32">
        <f>IF($B178&gt;0,(GETPIVOTDATA(" New Unemployment",'$ Pivot Table'!$A$3,"State","GA","Category",5,"Category2","Four-Year"))/$B178)*100</f>
        <v>0.25047140226857684</v>
      </c>
      <c r="J178" s="32">
        <f>IF($B178&gt;0,(GETPIVOTDATA(" New Life Insurance",'$ Pivot Table'!$A$3,"State","GA","Category",5,"Category2","Four-Year"))/$B178)*100</f>
        <v>0.23038433540673678</v>
      </c>
      <c r="K178" s="32"/>
      <c r="L178" s="32">
        <f>IF($B178&gt;0,(GETPIVOTDATA(" New Worker's Comp",'$ Pivot Table'!$A$3,"State","GA","Category",5,"Category2","Four-Year"))/$B178)*100</f>
        <v>0.22583621157629702</v>
      </c>
      <c r="M178" s="32">
        <f>IF($B178&gt;0,(GETPIVOTDATA(" New Tuition Plans",'$ Pivot Table'!$A$3,"State","GA","Category",5,"Category2","Four-Year"))/$B178)*100</f>
        <v>0</v>
      </c>
      <c r="N178" s="32">
        <f>IF($B178&gt;0,(GETPIVOTDATA(" New Other",'$ Pivot Table'!$A$3,"State","GA","Category",5,"Category2","Four-Year"))/$B178)*100</f>
        <v>0</v>
      </c>
      <c r="O178" s="90">
        <f>IF($B178&gt;0,(GETPIVOTDATA(" New Total",'$ Pivot Table'!$A$3,"State","GA","Category",5,"Category2","Four-Year"))/$B178)*100</f>
        <v>27.633424390744523</v>
      </c>
    </row>
    <row r="179" spans="1:15">
      <c r="A179" s="149" t="s">
        <v>483</v>
      </c>
      <c r="B179" s="617">
        <f>+'[2]OLD Tables'!J16</f>
        <v>0</v>
      </c>
      <c r="C179" s="32">
        <f>IF($B179&gt;0,(GETPIVOTDATA(" New Retirement",'$ Pivot Table'!$A$3,"State","KY","Category",5,"Category2","Four-Year"))/$B179)*100</f>
        <v>0</v>
      </c>
      <c r="D179" s="32">
        <f>IF($B179&gt;0,(GETPIVOTDATA(" New Health",'$ Pivot Table'!$A$3,"State","KY","Category",5,"Category2","Four-Year"))/$B179)*100</f>
        <v>0</v>
      </c>
      <c r="E179" s="32">
        <f>IF($B179&gt;0,(GETPIVOTDATA(" New Disability",'$ Pivot Table'!$A$3,"State","KY","Category",5,"Category2","Four-Year"))/$B179)*100</f>
        <v>0</v>
      </c>
      <c r="F179" s="32"/>
      <c r="G179" s="32">
        <f>IF($B179&gt;0,(GETPIVOTDATA(" New Social Security",'$ Pivot Table'!$A$3,"State","KY","Category",5,"Category2","Four-Year"))/$B179)*100</f>
        <v>0</v>
      </c>
      <c r="H179" s="32"/>
      <c r="I179" s="32">
        <f>IF($B179&gt;0,(GETPIVOTDATA(" New Unemployment",'$ Pivot Table'!$A$3,"State","KY","Category",5,"Category2","Four-Year"))/$B179)*100</f>
        <v>0</v>
      </c>
      <c r="J179" s="32">
        <f>IF($B179&gt;0,(GETPIVOTDATA(" New Life Insurance",'$ Pivot Table'!$A$3,"State","KY","Category",5,"Category2","Four-Year"))/$B179)*100</f>
        <v>0</v>
      </c>
      <c r="K179" s="32"/>
      <c r="L179" s="32">
        <f>IF($B179&gt;0,(GETPIVOTDATA(" New Worker's Comp",'$ Pivot Table'!$A$3,"State","KY","Category",5,"Category2","Four-Year"))/$B179)*100</f>
        <v>0</v>
      </c>
      <c r="M179" s="32">
        <f>IF($B179&gt;0,(GETPIVOTDATA(" New Tuition Plans",'$ Pivot Table'!$A$3,"State","KY","Category",5,"Category2","Four-Year"))/$B179)*100</f>
        <v>0</v>
      </c>
      <c r="N179" s="32">
        <f>IF($B179&gt;0,(GETPIVOTDATA(" New Other",'$ Pivot Table'!$A$3,"State","KY","Category",5,"Category2","Four-Year"))/$B179)*100</f>
        <v>0</v>
      </c>
      <c r="O179" s="90">
        <f>IF($B179&gt;0,(GETPIVOTDATA(" New Total",'$ Pivot Table'!$A$3,"State","KY","Category",5,"Category2","Four-Year"))/$B179)*100</f>
        <v>0</v>
      </c>
    </row>
    <row r="180" spans="1:15">
      <c r="A180" s="149" t="s">
        <v>484</v>
      </c>
      <c r="B180" s="617">
        <f>+'[2]OLD Tables'!J17</f>
        <v>0</v>
      </c>
      <c r="C180" s="32">
        <f>IF($B180&gt;0,(GETPIVOTDATA(" New Retirement",'$ Pivot Table'!$A$3,"State","LA","Category",5,"Category2","Four-Year"))/$B180)*100</f>
        <v>0</v>
      </c>
      <c r="D180" s="32">
        <f>IF($B180&gt;0,(GETPIVOTDATA(" New Health",'$ Pivot Table'!$A$3,"State","LA","Category",5,"Category2","Four-Year"))/$B180)*100</f>
        <v>0</v>
      </c>
      <c r="E180" s="32">
        <f>IF($B180&gt;0,(GETPIVOTDATA(" New Disability",'$ Pivot Table'!$A$3,"State","LA","Category",5,"Category2","Four-Year"))/$B180)*100</f>
        <v>0</v>
      </c>
      <c r="F180" s="32"/>
      <c r="G180" s="90">
        <f>IF($B180&gt;0,(GETPIVOTDATA(" New Social Security",'$ Pivot Table'!$A$3,"State","LA","Category",5,"Category2","Four-Year"))/$B180)*100</f>
        <v>0</v>
      </c>
      <c r="H180" s="91">
        <v>2</v>
      </c>
      <c r="I180" s="32">
        <f>IF($B180&gt;0,(GETPIVOTDATA(" New Unemployment",'$ Pivot Table'!$A$3,"State","LA","Category",5,"Category2","Four-Year"))/$B180)*100</f>
        <v>0</v>
      </c>
      <c r="J180" s="56">
        <f>IF($B180&gt;0,(GETPIVOTDATA(" New Life Insurance",'$ Pivot Table'!$A$3,"State","LA","Category",5,"Category2","Four-Year"))/$B180)*100</f>
        <v>0</v>
      </c>
      <c r="K180" s="32"/>
      <c r="L180" s="32">
        <f>IF($B180&gt;0,(GETPIVOTDATA(" New Worker's Comp",'$ Pivot Table'!$A$3,"State","LA","Category",5,"Category2","Four-Year"))/$B180)*100</f>
        <v>0</v>
      </c>
      <c r="M180" s="32">
        <f>IF($B180&gt;0,(GETPIVOTDATA(" New Tuition Plans",'$ Pivot Table'!$A$3,"State","LA","Category",5,"Category2","Four-Year"))/$B180)*100</f>
        <v>0</v>
      </c>
      <c r="N180" s="32">
        <f>IF($B180&gt;0,(GETPIVOTDATA(" New Other",'$ Pivot Table'!$A$3,"State","LA","Category",5,"Category2","Four-Year"))/$B180)*100</f>
        <v>0</v>
      </c>
      <c r="O180" s="90">
        <f>IF($B180&gt;0,(GETPIVOTDATA(" New Total",'$ Pivot Table'!$A$3,"State","LA","Category",5,"Category2","Four-Year"))/$B180)*100</f>
        <v>0</v>
      </c>
    </row>
    <row r="181" spans="1:15">
      <c r="A181" s="149" t="s">
        <v>485</v>
      </c>
      <c r="B181" s="617">
        <f>+'[2]OLD Tables'!J18</f>
        <v>0</v>
      </c>
      <c r="C181" s="32">
        <f>IF($B181&gt;0,(GETPIVOTDATA(" New Retirement",'$ Pivot Table'!$A$3,"State","MD","Category",5,"Category2","Four-Year"))/$B181)*100</f>
        <v>0</v>
      </c>
      <c r="D181" s="32">
        <f>IF($B181&gt;0,(GETPIVOTDATA(" New Health",'$ Pivot Table'!$A$3,"State","MD","Category",5,"Category2","Four-Year"))/$B181)*100</f>
        <v>0</v>
      </c>
      <c r="E181" s="32">
        <f>IF($B181&gt;0,(GETPIVOTDATA(" New Disability",'$ Pivot Table'!$A$3,"State","MD","Category",5,"Category2","Four-Year"))/$B181)*100</f>
        <v>0</v>
      </c>
      <c r="F181" s="32"/>
      <c r="G181" s="32">
        <f>IF($B181&gt;0,(GETPIVOTDATA(" New Social Security",'$ Pivot Table'!$A$3,"State","MD","Category",5,"Category2","Four-Year"))/$B181)*100</f>
        <v>0</v>
      </c>
      <c r="H181" s="32"/>
      <c r="I181" s="32">
        <f>IF($B181&gt;0,(GETPIVOTDATA(" New Unemployment",'$ Pivot Table'!$A$3,"State","MD","Category",5,"Category2","Four-Year"))/$B181)*100</f>
        <v>0</v>
      </c>
      <c r="J181" s="32">
        <f>IF($B181&gt;0,(GETPIVOTDATA(" New Life Insurance",'$ Pivot Table'!$A$3,"State","MD","Category",5,"Category2","Four-Year"))/$B181)*100</f>
        <v>0</v>
      </c>
      <c r="K181" s="32"/>
      <c r="L181" s="32">
        <f>IF($B181&gt;0,(GETPIVOTDATA(" New Worker's Comp",'$ Pivot Table'!$A$3,"State","MD","Category",5,"Category2","Four-Year"))/$B181)*100</f>
        <v>0</v>
      </c>
      <c r="M181" s="32">
        <f>IF($B181&gt;0,(GETPIVOTDATA(" New Tuition Plans",'$ Pivot Table'!$A$3,"State","MD","Category",5,"Category2","Four-Year"))/$B181)*100</f>
        <v>0</v>
      </c>
      <c r="N181" s="32">
        <f>IF($B181&gt;0,(GETPIVOTDATA(" New Other",'$ Pivot Table'!$A$3,"State","MD","Category",5,"Category2","Four-Year"))/$B181)*100</f>
        <v>0</v>
      </c>
      <c r="O181" s="90">
        <f>IF($B181&gt;0,(GETPIVOTDATA(" New Total",'$ Pivot Table'!$A$3,"State","MD","Category",5,"Category2","Four-Year"))/$B181)*100</f>
        <v>0</v>
      </c>
    </row>
    <row r="182" spans="1:15">
      <c r="A182" s="149"/>
      <c r="B182" s="617">
        <f>+'[2]OLD Tables'!J19</f>
        <v>0</v>
      </c>
      <c r="C182" s="32"/>
      <c r="D182" s="34"/>
      <c r="E182" s="32"/>
      <c r="F182" s="32"/>
      <c r="G182" s="32"/>
      <c r="H182" s="32"/>
      <c r="I182" s="32"/>
      <c r="J182" s="32"/>
      <c r="K182" s="32"/>
      <c r="L182" s="32"/>
      <c r="M182" s="32"/>
      <c r="N182" s="32"/>
      <c r="O182" s="90"/>
    </row>
    <row r="183" spans="1:15">
      <c r="A183" s="149" t="s">
        <v>486</v>
      </c>
      <c r="B183" s="617">
        <f>+'[2]OLD Tables'!J20</f>
        <v>48859.633211940294</v>
      </c>
      <c r="C183" s="32">
        <f>IF($B183&gt;0,(GETPIVOTDATA(" New Retirement",'$ Pivot Table'!$A$3,"State","MS","Category",5,"Category2","Four-Year"))/$B183)*100</f>
        <v>12.123035179947681</v>
      </c>
      <c r="D183" s="32">
        <f>IF($B183&gt;0,(GETPIVOTDATA(" New Health",'$ Pivot Table'!$A$3,"State","MS","Category",5,"Category2","Four-Year"))/$B183)*100</f>
        <v>2.1781784471929253</v>
      </c>
      <c r="E183" s="32">
        <f>IF($B183&gt;0,(GETPIVOTDATA(" New Disability",'$ Pivot Table'!$A$3,"State","MS","Category",5,"Category2","Four-Year"))/$B183)*100</f>
        <v>0</v>
      </c>
      <c r="F183" s="32"/>
      <c r="G183" s="32">
        <f>IF($B183&gt;0,(GETPIVOTDATA(" New Social Security",'$ Pivot Table'!$A$3,"State","MS","Category",5,"Category2","Four-Year"))/$B183)*100</f>
        <v>7.8784216383431804</v>
      </c>
      <c r="H183" s="32"/>
      <c r="I183" s="32">
        <f>IF($B183&gt;0,(GETPIVOTDATA(" New Unemployment",'$ Pivot Table'!$A$3,"State","MS","Category",5,"Category2","Four-Year"))/$B183)*100</f>
        <v>0.15617737443236532</v>
      </c>
      <c r="J183" s="32">
        <f>IF($B183&gt;0,(GETPIVOTDATA(" New Life Insurance",'$ Pivot Table'!$A$3,"State","MS","Category",5,"Category2","Four-Year"))/$B183)*100</f>
        <v>0.26227833150805152</v>
      </c>
      <c r="K183" s="32"/>
      <c r="L183" s="32">
        <f>IF($B183&gt;0,(GETPIVOTDATA(" New Worker's Comp",'$ Pivot Table'!$A$3,"State","MS","Category",5,"Category2","Four-Year"))/$B183)*100</f>
        <v>0.62950703051671941</v>
      </c>
      <c r="M183" s="32">
        <f>IF($B183&gt;0,(GETPIVOTDATA(" New Tuition Plans",'$ Pivot Table'!$A$3,"State","MS","Category",5,"Category2","Four-Year"))/$B183)*100</f>
        <v>1.9804180596335961</v>
      </c>
      <c r="N183" s="32">
        <f>IF($B183&gt;0,(GETPIVOTDATA(" New Other",'$ Pivot Table'!$A$3,"State","MS","Category",5,"Category2","Four-Year"))/$B183)*100</f>
        <v>0</v>
      </c>
      <c r="O183" s="90">
        <f>IF($B183&gt;0,(GETPIVOTDATA(" New Total",'$ Pivot Table'!$A$3,"State","MS","Category",5,"Category2","Four-Year"))/$B183)*100</f>
        <v>22.611144910534971</v>
      </c>
    </row>
    <row r="184" spans="1:15">
      <c r="A184" s="149" t="s">
        <v>487</v>
      </c>
      <c r="B184" s="617">
        <f>+'[2]OLD Tables'!J21</f>
        <v>66820.645414886734</v>
      </c>
      <c r="C184" s="32">
        <f>IF($B184&gt;0,(GETPIVOTDATA(" New Retirement",'$ Pivot Table'!$A$3,"State","NC","Category",5,"Category2","Four-Year"))/$B184)*100</f>
        <v>10.09496732566094</v>
      </c>
      <c r="D184" s="32">
        <f>IF($B184&gt;0,(GETPIVOTDATA(" New Health",'$ Pivot Table'!$A$3,"State","NC","Category",5,"Category2","Four-Year"))/$B184)*100</f>
        <v>7.377959266017001</v>
      </c>
      <c r="E184" s="32">
        <f>IF($B184&gt;0,(GETPIVOTDATA(" New Disability",'$ Pivot Table'!$A$3,"State","NC","Category",5,"Category2","Four-Year"))/$B184)*100</f>
        <v>0.51285787251591364</v>
      </c>
      <c r="F184" s="32"/>
      <c r="G184" s="32">
        <f>IF($B184&gt;0,(GETPIVOTDATA(" New Social Security",'$ Pivot Table'!$A$3,"State","NC","Category",5,"Category2","Four-Year"))/$B184)*100</f>
        <v>7.511503499978768</v>
      </c>
      <c r="H184" s="32"/>
      <c r="I184" s="32">
        <f>IF($B184&gt;0,(GETPIVOTDATA(" New Unemployment",'$ Pivot Table'!$A$3,"State","NC","Category",5,"Category2","Four-Year"))/$B184)*100</f>
        <v>8.8788231061296186E-2</v>
      </c>
      <c r="J184" s="32">
        <f>IF($B184&gt;0,(GETPIVOTDATA(" New Life Insurance",'$ Pivot Table'!$A$3,"State","NC","Category",5,"Category2","Four-Year"))/$B184)*100</f>
        <v>0.16204122937286336</v>
      </c>
      <c r="K184" s="32"/>
      <c r="L184" s="32">
        <f>IF($B184&gt;0,(GETPIVOTDATA(" New Worker's Comp",'$ Pivot Table'!$A$3,"State","NC","Category",5,"Category2","Four-Year"))/$B184)*100</f>
        <v>0.858078380333965</v>
      </c>
      <c r="M184" s="32">
        <f>IF($B184&gt;0,(GETPIVOTDATA(" New Tuition Plans",'$ Pivot Table'!$A$3,"State","NC","Category",5,"Category2","Four-Year"))/$B184)*100</f>
        <v>0</v>
      </c>
      <c r="N184" s="32">
        <f>IF($B184&gt;0,(GETPIVOTDATA(" New Other",'$ Pivot Table'!$A$3,"State","NC","Category",5,"Category2","Four-Year"))/$B184)*100</f>
        <v>0</v>
      </c>
      <c r="O184" s="90">
        <f>IF($B184&gt;0,(GETPIVOTDATA(" New Total",'$ Pivot Table'!$A$3,"State","NC","Category",5,"Category2","Four-Year"))/$B184)*100</f>
        <v>26.546877140616747</v>
      </c>
    </row>
    <row r="185" spans="1:15">
      <c r="A185" s="149" t="s">
        <v>488</v>
      </c>
      <c r="B185" s="617">
        <f>+'[2]OLD Tables'!J22</f>
        <v>53402.211972984755</v>
      </c>
      <c r="C185" s="32">
        <f>IF($B185&gt;0,(GETPIVOTDATA(" New Retirement",'$ Pivot Table'!$A$3,"State","OK","Category",5,"Category2","Four-Year"))/$B185)*100</f>
        <v>17.633448016654665</v>
      </c>
      <c r="D185" s="32">
        <f>IF($B185&gt;0,(GETPIVOTDATA(" New Health",'$ Pivot Table'!$A$3,"State","OK","Category",5,"Category2","Four-Year"))/$B185)*100</f>
        <v>10.358465549195031</v>
      </c>
      <c r="E185" s="32">
        <f>IF($B185&gt;0,(GETPIVOTDATA(" New Disability",'$ Pivot Table'!$A$3,"State","OK","Category",5,"Category2","Four-Year"))/$B185)*100</f>
        <v>0</v>
      </c>
      <c r="F185" s="32"/>
      <c r="G185" s="32">
        <f>IF($B185&gt;0,(GETPIVOTDATA(" New Social Security",'$ Pivot Table'!$A$3,"State","OK","Category",5,"Category2","Four-Year"))/$B185)*100</f>
        <v>7.4411425327302609</v>
      </c>
      <c r="H185" s="32"/>
      <c r="I185" s="32">
        <f>IF($B185&gt;0,(GETPIVOTDATA(" New Unemployment",'$ Pivot Table'!$A$3,"State","OK","Category",5,"Category2","Four-Year"))/$B185)*100</f>
        <v>0.44907138710915534</v>
      </c>
      <c r="J185" s="32">
        <f>IF($B185&gt;0,(GETPIVOTDATA(" New Life Insurance",'$ Pivot Table'!$A$3,"State","OK","Category",5,"Category2","Four-Year"))/$B185)*100</f>
        <v>0.72792646073203615</v>
      </c>
      <c r="K185" s="32"/>
      <c r="L185" s="32">
        <f>IF($B185&gt;0,(GETPIVOTDATA(" New Worker's Comp",'$ Pivot Table'!$A$3,"State","OK","Category",5,"Category2","Four-Year"))/$B185)*100</f>
        <v>1.1003995963130679</v>
      </c>
      <c r="M185" s="32">
        <f>IF($B185&gt;0,(GETPIVOTDATA(" New Tuition Plans",'$ Pivot Table'!$A$3,"State","OK","Category",5,"Category2","Four-Year"))/$B185)*100</f>
        <v>0</v>
      </c>
      <c r="N185" s="32">
        <f>IF($B185&gt;0,(GETPIVOTDATA(" New Other",'$ Pivot Table'!$A$3,"State","OK","Category",5,"Category2","Four-Year"))/$B185)*100</f>
        <v>0.70980560146768379</v>
      </c>
      <c r="O185" s="90">
        <f>IF($B185&gt;0,(GETPIVOTDATA(" New Total",'$ Pivot Table'!$A$3,"State","OK","Category",5,"Category2","Four-Year"))/$B185)*100</f>
        <v>38.182297845460468</v>
      </c>
    </row>
    <row r="186" spans="1:15">
      <c r="A186" s="149" t="s">
        <v>489</v>
      </c>
      <c r="B186" s="617">
        <f>+'[2]OLD Tables'!J23</f>
        <v>60555.275367429334</v>
      </c>
      <c r="C186" s="32">
        <f>IF($B186&gt;0,(GETPIVOTDATA(" New Retirement",'$ Pivot Table'!$A$3,"State","SC","Category",5,"Category2","Four-Year"))/$B186)*100</f>
        <v>11.785482969784125</v>
      </c>
      <c r="D186" s="32">
        <f>IF($B186&gt;0,(GETPIVOTDATA(" New Health",'$ Pivot Table'!$A$3,"State","SC","Category",5,"Category2","Four-Year"))/$B186)*100</f>
        <v>7.6556579650172969</v>
      </c>
      <c r="E186" s="32">
        <f>IF($B186&gt;0,(GETPIVOTDATA(" New Disability",'$ Pivot Table'!$A$3,"State","SC","Category",5,"Category2","Four-Year"))/$B186)*100</f>
        <v>5.9246221094824733E-2</v>
      </c>
      <c r="F186" s="32"/>
      <c r="G186" s="32">
        <f>IF($B186&gt;0,(GETPIVOTDATA(" New Social Security",'$ Pivot Table'!$A$3,"State","SC","Category",5,"Category2","Four-Year"))/$B186)*100</f>
        <v>6.769447774956161</v>
      </c>
      <c r="H186" s="32"/>
      <c r="I186" s="32">
        <f>IF($B186&gt;0,(GETPIVOTDATA(" New Unemployment",'$ Pivot Table'!$A$3,"State","SC","Category",5,"Category2","Four-Year"))/$B186)*100</f>
        <v>0.36545700628178179</v>
      </c>
      <c r="J186" s="32">
        <f>IF($B186&gt;0,(GETPIVOTDATA(" New Life Insurance",'$ Pivot Table'!$A$3,"State","SC","Category",5,"Category2","Four-Year"))/$B186)*100</f>
        <v>1.2220884041624327</v>
      </c>
      <c r="K186" s="32"/>
      <c r="L186" s="32">
        <f>IF($B186&gt;0,(GETPIVOTDATA(" New Worker's Comp",'$ Pivot Table'!$A$3,"State","SC","Category",5,"Category2","Four-Year"))/$B186)*100</f>
        <v>1.305159431208774</v>
      </c>
      <c r="M186" s="32">
        <f>IF($B186&gt;0,(GETPIVOTDATA(" New Tuition Plans",'$ Pivot Table'!$A$3,"State","SC","Category",5,"Category2","Four-Year"))/$B186)*100</f>
        <v>0.16513837876755269</v>
      </c>
      <c r="N186" s="32">
        <f>IF($B186&gt;0,(GETPIVOTDATA(" New Other",'$ Pivot Table'!$A$3,"State","SC","Category",5,"Category2","Four-Year"))/$B186)*100</f>
        <v>0</v>
      </c>
      <c r="O186" s="90">
        <f>IF($B186&gt;0,(GETPIVOTDATA(" New Total",'$ Pivot Table'!$A$3,"State","SC","Category",5,"Category2","Four-Year"))/$B186)*100</f>
        <v>28.367287256183733</v>
      </c>
    </row>
    <row r="187" spans="1:15">
      <c r="A187" s="149"/>
      <c r="B187" s="617">
        <f>+'[2]OLD Tables'!J24</f>
        <v>0</v>
      </c>
      <c r="C187" s="32"/>
      <c r="D187" s="34"/>
      <c r="E187" s="32"/>
      <c r="F187" s="32"/>
      <c r="G187" s="32"/>
      <c r="H187" s="32"/>
      <c r="I187" s="32"/>
      <c r="J187" s="32"/>
      <c r="K187" s="32"/>
      <c r="L187" s="32"/>
      <c r="M187" s="32"/>
      <c r="N187" s="32"/>
      <c r="O187" s="90"/>
    </row>
    <row r="188" spans="1:15">
      <c r="A188" s="149" t="s">
        <v>490</v>
      </c>
      <c r="B188" s="617">
        <f>+'[2]OLD Tables'!J25</f>
        <v>57167.812954014604</v>
      </c>
      <c r="C188" s="28">
        <f>IF($B188&gt;0,(GETPIVOTDATA(" New Retirement",'$ Pivot Table'!$A$3,"State","TN","Category",5,"Category2","Four-Year"))/$B188)*100</f>
        <v>12.076558391999299</v>
      </c>
      <c r="D188" s="28">
        <f>IF($B188&gt;0,(GETPIVOTDATA(" New Health",'$ Pivot Table'!$A$3,"State","TN","Category",5,"Category2","Four-Year"))/$B188)*100</f>
        <v>15.926117007971907</v>
      </c>
      <c r="E188" s="28">
        <f>IF($B188&gt;0,(GETPIVOTDATA(" New Disability",'$ Pivot Table'!$A$3,"State","TN","Category",5,"Category2","Four-Year"))/$B188)*100</f>
        <v>0</v>
      </c>
      <c r="F188" s="28"/>
      <c r="G188" s="28">
        <f>IF($B188&gt;0,(GETPIVOTDATA(" New Social Security",'$ Pivot Table'!$A$3,"State","TN","Category",5,"Category2","Four-Year"))/$B188)*100</f>
        <v>7.6869618567039399</v>
      </c>
      <c r="H188" s="28"/>
      <c r="I188" s="28">
        <f>IF($B188&gt;0,(GETPIVOTDATA(" New Unemployment",'$ Pivot Table'!$A$3,"State","TN","Category",5,"Category2","Four-Year"))/$B188)*100</f>
        <v>2.9325055284358054E-2</v>
      </c>
      <c r="J188" s="28">
        <f>IF($B188&gt;0,(GETPIVOTDATA(" New Life Insurance",'$ Pivot Table'!$A$3,"State","TN","Category",5,"Category2","Four-Year"))/$B188)*100</f>
        <v>0.10128968251274537</v>
      </c>
      <c r="K188" s="28"/>
      <c r="L188" s="28">
        <f>IF($B188&gt;0,(GETPIVOTDATA(" New Worker's Comp",'$ Pivot Table'!$A$3,"State","TN","Category",5,"Category2","Four-Year"))/$B188)*100</f>
        <v>0.20246303496608875</v>
      </c>
      <c r="M188" s="28">
        <f>IF($B188&gt;0,(GETPIVOTDATA(" New Tuition Plans",'$ Pivot Table'!$A$3,"State","TN","Category",5,"Category2","Four-Year"))/$B188)*100</f>
        <v>3.7186373354420024</v>
      </c>
      <c r="N188" s="28">
        <f>IF($B188&gt;0,(GETPIVOTDATA(" New Other",'$ Pivot Table'!$A$3,"State","TN","Category",5,"Category2","Four-Year"))/$B188)*100</f>
        <v>0</v>
      </c>
      <c r="O188" s="86">
        <f>IF($B188&gt;0,(GETPIVOTDATA(" New Total",'$ Pivot Table'!$A$3,"State","TN","Category",5,"Category2","Four-Year"))/$B188)*100</f>
        <v>35.291603079744256</v>
      </c>
    </row>
    <row r="189" spans="1:15">
      <c r="A189" s="149" t="s">
        <v>491</v>
      </c>
      <c r="B189" s="617">
        <f>+'[2]OLD Tables'!J26</f>
        <v>62441.159568965515</v>
      </c>
      <c r="C189" s="28">
        <f>IF($B189&gt;0,(GETPIVOTDATA(" New Retirement",'$ Pivot Table'!$A$3,"State","TX","Category",5,"Category2","Four-Year"))/$B189)*100</f>
        <v>7.3438811890681812</v>
      </c>
      <c r="D189" s="28">
        <f>IF($B189&gt;0,(GETPIVOTDATA(" New Health",'$ Pivot Table'!$A$3,"State","TX","Category",5,"Category2","Four-Year"))/$B189)*100</f>
        <v>9.3000626016882695</v>
      </c>
      <c r="E189" s="28">
        <f>IF($B189&gt;0,(GETPIVOTDATA(" New Disability",'$ Pivot Table'!$A$3,"State","TX","Category",5,"Category2","Four-Year"))/$B189)*100</f>
        <v>0</v>
      </c>
      <c r="F189" s="28"/>
      <c r="G189" s="28">
        <f>IF($B189&gt;0,(GETPIVOTDATA(" New Social Security",'$ Pivot Table'!$A$3,"State","TX","Category",5,"Category2","Four-Year"))/$B189)*100</f>
        <v>8.0607800062517061</v>
      </c>
      <c r="H189" s="28"/>
      <c r="I189" s="28">
        <f>IF($B189&gt;0,(GETPIVOTDATA(" New Unemployment",'$ Pivot Table'!$A$3,"State","TX","Category",5,"Category2","Four-Year"))/$B189)*100</f>
        <v>0.21400215895362565</v>
      </c>
      <c r="J189" s="58">
        <f>IF($B189&gt;0,(GETPIVOTDATA(" New Life Insurance",'$ Pivot Table'!$A$3,"State","TX","Category",5,"Category2","Four-Year"))/$B189)*100</f>
        <v>4.2208429908731721E-2</v>
      </c>
      <c r="K189" s="58"/>
      <c r="L189" s="28">
        <f>IF($B189&gt;0,(GETPIVOTDATA(" New Worker's Comp",'$ Pivot Table'!$A$3,"State","TX","Category",5,"Category2","Four-Year"))/$B189)*100</f>
        <v>0.21102358241084931</v>
      </c>
      <c r="M189" s="28">
        <f>IF($B189&gt;0,(GETPIVOTDATA(" New Tuition Plans",'$ Pivot Table'!$A$3,"State","TX","Category",5,"Category2","Four-Year"))/$B189)*100</f>
        <v>0</v>
      </c>
      <c r="N189" s="28">
        <f>IF($B189&gt;0,(GETPIVOTDATA(" New Other",'$ Pivot Table'!$A$3,"State","TX","Category",5,"Category2","Four-Year"))/$B189)*100</f>
        <v>0</v>
      </c>
      <c r="O189" s="86">
        <f>IF($B189&gt;0,(GETPIVOTDATA(" New Total",'$ Pivot Table'!$A$3,"State","TX","Category",5,"Category2","Four-Year"))/$B189)*100</f>
        <v>23.864079643004192</v>
      </c>
    </row>
    <row r="190" spans="1:15">
      <c r="A190" s="149" t="s">
        <v>492</v>
      </c>
      <c r="B190" s="617">
        <f>+'[2]OLD Tables'!J27</f>
        <v>64979.238374014603</v>
      </c>
      <c r="C190" s="28">
        <f>IF($B190&gt;0,(GETPIVOTDATA(" New Retirement",'$ Pivot Table'!$A$3,"State","VA","Category",5,"Category2","Four-Year"))/$B190)*100</f>
        <v>11.621449112247067</v>
      </c>
      <c r="D190" s="28">
        <f>IF($B190&gt;0,(GETPIVOTDATA(" New Health",'$ Pivot Table'!$A$3,"State","VA","Category",5,"Category2","Four-Year"))/$B190)*100</f>
        <v>12.66933648680093</v>
      </c>
      <c r="E190" s="28">
        <f>IF($B190&gt;0,(GETPIVOTDATA(" New Disability",'$ Pivot Table'!$A$3,"State","VA","Category",5,"Category2","Four-Year"))/$B190)*100</f>
        <v>1.793112488149406</v>
      </c>
      <c r="F190" s="28"/>
      <c r="G190" s="28">
        <f>IF($B190&gt;0,(GETPIVOTDATA(" New Social Security",'$ Pivot Table'!$A$3,"State","VA","Category",5,"Category2","Four-Year"))/$B190)*100</f>
        <v>7.8124616008166807</v>
      </c>
      <c r="H190" s="28"/>
      <c r="I190" s="28">
        <f>IF($B190&gt;0,(GETPIVOTDATA(" New Unemployment",'$ Pivot Table'!$A$3,"State","VA","Category",5,"Category2","Four-Year"))/$B190)*100</f>
        <v>0</v>
      </c>
      <c r="J190" s="28">
        <f>IF($B190&gt;0,(GETPIVOTDATA(" New Life Insurance",'$ Pivot Table'!$A$3,"State","VA","Category",5,"Category2","Four-Year"))/$B190)*100</f>
        <v>1.0440552738404056</v>
      </c>
      <c r="K190" s="28"/>
      <c r="L190" s="28">
        <f>IF($B190&gt;0,(GETPIVOTDATA(" New Worker's Comp",'$ Pivot Table'!$A$3,"State","VA","Category",5,"Category2","Four-Year"))/$B190)*100</f>
        <v>0</v>
      </c>
      <c r="M190" s="28">
        <f>IF($B190&gt;0,(GETPIVOTDATA(" New Tuition Plans",'$ Pivot Table'!$A$3,"State","VA","Category",5,"Category2","Four-Year"))/$B190)*100</f>
        <v>0</v>
      </c>
      <c r="N190" s="28">
        <f>IF($B190&gt;0,(GETPIVOTDATA(" New Other",'$ Pivot Table'!$A$3,"State","VA","Category",5,"Category2","Four-Year"))/$B190)*100</f>
        <v>0</v>
      </c>
      <c r="O190" s="86">
        <f>IF($B190&gt;0,(GETPIVOTDATA(" New Total",'$ Pivot Table'!$A$3,"State","VA","Category",5,"Category2","Four-Year"))/$B190)*100</f>
        <v>33.237079410570587</v>
      </c>
    </row>
    <row r="191" spans="1:15">
      <c r="A191" s="630" t="s">
        <v>493</v>
      </c>
      <c r="B191" s="618">
        <f>+'[2]OLD Tables'!J28</f>
        <v>58741.739527397265</v>
      </c>
      <c r="C191" s="30">
        <f>IF($B191&gt;0,(GETPIVOTDATA(" New Retirement",'$ Pivot Table'!$A$3,"State","WV","Category",5,"Category2","Four-Year"))/$B191)*100</f>
        <v>6.4750004308708418</v>
      </c>
      <c r="D191" s="30">
        <f>IF($B191&gt;0,(GETPIVOTDATA(" New Health",'$ Pivot Table'!$A$3,"State","WV","Category",5,"Category2","Four-Year"))/$B191)*100</f>
        <v>9.6503639699378176</v>
      </c>
      <c r="E191" s="30">
        <f>IF($B191&gt;0,(GETPIVOTDATA(" New Disability",'$ Pivot Table'!$A$3,"State","WV","Category",5,"Category2","Four-Year"))/$B191)*100</f>
        <v>0</v>
      </c>
      <c r="F191" s="30"/>
      <c r="G191" s="30">
        <f>IF($B191&gt;0,(GETPIVOTDATA(" New Social Security",'$ Pivot Table'!$A$3,"State","WV","Category",5,"Category2","Four-Year"))/$B191)*100</f>
        <v>7.7236549045486296</v>
      </c>
      <c r="H191" s="30"/>
      <c r="I191" s="30">
        <f>IF($B191&gt;0,(GETPIVOTDATA(" New Unemployment",'$ Pivot Table'!$A$3,"State","WV","Category",5,"Category2","Four-Year"))/$B191)*100</f>
        <v>0</v>
      </c>
      <c r="J191" s="30">
        <f>IF($B191&gt;0,(GETPIVOTDATA(" New Life Insurance",'$ Pivot Table'!$A$3,"State","WV","Category",5,"Category2","Four-Year"))/$B191)*100</f>
        <v>0.10824631303324526</v>
      </c>
      <c r="K191" s="30"/>
      <c r="L191" s="30">
        <f>IF($B191&gt;0,(GETPIVOTDATA(" New Worker's Comp",'$ Pivot Table'!$A$3,"State","WV","Category",5,"Category2","Four-Year"))/$B191)*100</f>
        <v>0.57548801249578019</v>
      </c>
      <c r="M191" s="30">
        <f>IF($B191&gt;0,(GETPIVOTDATA(" New Tuition Plans",'$ Pivot Table'!$A$3,"State","WV","Category",5,"Category2","Four-Year"))/$B191)*100</f>
        <v>0</v>
      </c>
      <c r="N191" s="30">
        <f>IF($B191&gt;0,(GETPIVOTDATA(" New Other",'$ Pivot Table'!$A$3,"State","WV","Category",5,"Category2","Four-Year"))/$B191)*100</f>
        <v>0</v>
      </c>
      <c r="O191" s="115">
        <f>IF($B191&gt;0,(GETPIVOTDATA(" New Total",'$ Pivot Table'!$A$3,"State","WV","Category",5,"Category2","Four-Year"))/$B191)*100</f>
        <v>24.391623470882188</v>
      </c>
    </row>
    <row r="192" spans="1:15" ht="18" customHeight="1">
      <c r="A192" s="628" t="s">
        <v>14</v>
      </c>
      <c r="B192" s="45"/>
      <c r="C192" s="47"/>
      <c r="D192" s="47"/>
      <c r="E192" s="47"/>
      <c r="F192" s="47"/>
      <c r="G192" s="47"/>
      <c r="H192" s="47"/>
      <c r="I192" s="47"/>
      <c r="J192" s="47"/>
      <c r="K192" s="47"/>
      <c r="L192" s="47"/>
      <c r="M192" s="47"/>
      <c r="N192" s="47"/>
      <c r="O192" s="77"/>
    </row>
    <row r="193" spans="1:15" ht="18" customHeight="1">
      <c r="A193" s="628" t="s">
        <v>678</v>
      </c>
      <c r="B193" s="45"/>
      <c r="C193" s="54"/>
      <c r="D193" s="54"/>
      <c r="E193" s="54"/>
      <c r="F193" s="54"/>
      <c r="G193" s="54"/>
      <c r="H193" s="54"/>
      <c r="I193" s="54"/>
      <c r="J193" s="54"/>
      <c r="K193" s="54"/>
      <c r="L193" s="54"/>
      <c r="M193" s="54"/>
      <c r="N193" s="54"/>
      <c r="O193" s="145"/>
    </row>
    <row r="194" spans="1:15">
      <c r="A194" s="629"/>
      <c r="B194" s="45"/>
      <c r="C194" s="47"/>
      <c r="D194" s="47"/>
      <c r="E194" s="47"/>
      <c r="F194" s="47"/>
      <c r="G194" s="47"/>
      <c r="H194" s="47"/>
      <c r="I194" s="47"/>
      <c r="J194" s="47"/>
      <c r="K194" s="47"/>
      <c r="L194" s="47"/>
      <c r="M194" s="47"/>
      <c r="N194" s="47"/>
      <c r="O194" s="637" t="s">
        <v>1321</v>
      </c>
    </row>
    <row r="195" spans="1:15" ht="18">
      <c r="A195" s="595" t="s">
        <v>1106</v>
      </c>
      <c r="B195" s="48"/>
      <c r="C195" s="48"/>
      <c r="D195" s="48"/>
      <c r="E195" s="48"/>
      <c r="F195" s="48"/>
      <c r="G195" s="48"/>
      <c r="H195" s="48"/>
      <c r="I195" s="48"/>
      <c r="J195" s="48"/>
      <c r="K195" s="48"/>
      <c r="L195" s="48"/>
      <c r="M195" s="48"/>
      <c r="N195" s="48"/>
      <c r="O195" s="48"/>
    </row>
    <row r="196" spans="1:15">
      <c r="A196" s="622"/>
      <c r="B196" s="45"/>
      <c r="C196" s="54"/>
      <c r="D196" s="54"/>
      <c r="E196" s="54"/>
      <c r="F196" s="54"/>
      <c r="G196" s="54"/>
      <c r="H196" s="54"/>
      <c r="I196" s="54"/>
      <c r="J196" s="54"/>
      <c r="K196" s="54"/>
      <c r="L196" s="54"/>
      <c r="M196" s="54"/>
      <c r="N196" s="54"/>
      <c r="O196" s="145"/>
    </row>
    <row r="197" spans="1:15" ht="15.75">
      <c r="A197" s="640" t="s">
        <v>466</v>
      </c>
      <c r="B197" s="641"/>
      <c r="C197" s="641"/>
      <c r="D197" s="641"/>
      <c r="E197" s="641"/>
      <c r="F197" s="641"/>
      <c r="G197" s="641"/>
      <c r="H197" s="641"/>
      <c r="I197" s="641"/>
      <c r="J197" s="641"/>
      <c r="K197" s="641"/>
      <c r="L197" s="641"/>
      <c r="M197" s="641"/>
      <c r="N197" s="641"/>
      <c r="O197" s="641"/>
    </row>
    <row r="198" spans="1:15" ht="15.75">
      <c r="A198" s="640" t="s">
        <v>1074</v>
      </c>
      <c r="B198" s="641"/>
      <c r="C198" s="641"/>
      <c r="D198" s="641"/>
      <c r="E198" s="641"/>
      <c r="F198" s="641"/>
      <c r="G198" s="641"/>
      <c r="H198" s="641"/>
      <c r="I198" s="641"/>
      <c r="J198" s="641"/>
      <c r="K198" s="641"/>
      <c r="L198" s="641"/>
      <c r="M198" s="641"/>
      <c r="N198" s="641"/>
      <c r="O198" s="641"/>
    </row>
    <row r="199" spans="1:15">
      <c r="A199" s="148"/>
      <c r="B199" s="45"/>
      <c r="C199" s="54"/>
      <c r="D199" s="54"/>
      <c r="E199" s="54"/>
      <c r="F199" s="54"/>
      <c r="G199" s="54"/>
      <c r="H199" s="54"/>
      <c r="I199" s="54"/>
      <c r="J199" s="54"/>
      <c r="K199" s="54"/>
      <c r="L199" s="54"/>
      <c r="M199" s="54"/>
      <c r="N199" s="54"/>
      <c r="O199" s="145"/>
    </row>
    <row r="200" spans="1:15">
      <c r="A200" s="623"/>
      <c r="B200" s="2" t="s">
        <v>473</v>
      </c>
      <c r="C200" s="643" t="s">
        <v>593</v>
      </c>
      <c r="D200" s="643"/>
      <c r="E200" s="643"/>
      <c r="F200" s="643"/>
      <c r="G200" s="643"/>
      <c r="H200" s="643"/>
      <c r="I200" s="643"/>
      <c r="J200" s="643"/>
      <c r="K200" s="643"/>
      <c r="L200" s="643"/>
      <c r="M200" s="643"/>
      <c r="N200" s="643"/>
      <c r="O200" s="643"/>
    </row>
    <row r="201" spans="1:15">
      <c r="A201" s="624"/>
      <c r="B201" s="4" t="s">
        <v>474</v>
      </c>
      <c r="C201" s="3" t="s">
        <v>660</v>
      </c>
      <c r="D201" s="3"/>
      <c r="E201" s="53"/>
      <c r="F201" s="53"/>
      <c r="G201" s="3" t="s">
        <v>661</v>
      </c>
      <c r="H201" s="3"/>
      <c r="I201" s="3" t="s">
        <v>662</v>
      </c>
      <c r="J201" s="3" t="s">
        <v>663</v>
      </c>
      <c r="K201" s="3"/>
      <c r="L201" s="3" t="s">
        <v>664</v>
      </c>
      <c r="M201" s="3" t="s">
        <v>665</v>
      </c>
      <c r="N201" s="3"/>
      <c r="O201" s="124" t="s">
        <v>475</v>
      </c>
    </row>
    <row r="202" spans="1:15">
      <c r="A202" s="625"/>
      <c r="B202" s="15" t="s">
        <v>476</v>
      </c>
      <c r="C202" s="16" t="s">
        <v>667</v>
      </c>
      <c r="D202" s="16" t="s">
        <v>708</v>
      </c>
      <c r="E202" s="17" t="s">
        <v>709</v>
      </c>
      <c r="F202" s="17"/>
      <c r="G202" s="16" t="s">
        <v>668</v>
      </c>
      <c r="H202" s="16"/>
      <c r="I202" s="16" t="s">
        <v>667</v>
      </c>
      <c r="J202" s="16" t="s">
        <v>669</v>
      </c>
      <c r="K202" s="16"/>
      <c r="L202" s="16" t="s">
        <v>670</v>
      </c>
      <c r="M202" s="16" t="s">
        <v>671</v>
      </c>
      <c r="N202" s="16" t="s">
        <v>701</v>
      </c>
      <c r="O202" s="146" t="s">
        <v>15</v>
      </c>
    </row>
    <row r="203" spans="1:15">
      <c r="A203" s="149" t="s">
        <v>600</v>
      </c>
      <c r="B203" s="33">
        <f>+'[2]OLD Tables'!L8</f>
        <v>57755.258250489518</v>
      </c>
      <c r="C203" s="32">
        <f>IF($B203&gt;0,(GETPIVOTDATA(" New Retirement",'$ Pivot Table'!$A$3,"Category",6,"Category2","Four-Year"))/$B203)*100</f>
        <v>10.101972750806599</v>
      </c>
      <c r="D203" s="32">
        <f>IF($B203&gt;0,(GETPIVOTDATA(" New Health",'$ Pivot Table'!$A$3,"Category",6,"Category2","Four-Year"))/$B203)*100</f>
        <v>9.8522248687421285</v>
      </c>
      <c r="E203" s="32">
        <f>IF($B203&gt;0,(GETPIVOTDATA(" New Disability",'$ Pivot Table'!$A$3,"Category",6,"Category2","Four-Year"))/$B203)*100</f>
        <v>0.56307512832000572</v>
      </c>
      <c r="F203" s="32"/>
      <c r="G203" s="32">
        <f>IF($B203&gt;0,(GETPIVOTDATA(" New Social Security",'$ Pivot Table'!$A$3,"Category",6,"Category2","Four-Year"))/$B203)*100</f>
        <v>7.1828620433613599</v>
      </c>
      <c r="H203" s="32"/>
      <c r="I203" s="32">
        <f>IF($B203&gt;0,(GETPIVOTDATA(" New Unemployment",'$ Pivot Table'!$A$3,"Category",6,"Category2","Four-Year"))/$B203)*100</f>
        <v>0.28227670023172968</v>
      </c>
      <c r="J203" s="32">
        <f>IF($B203&gt;0,(GETPIVOTDATA(" New Life Insurance",'$ Pivot Table'!$A$3,"Category",6,"Category2","Four-Year"))/$B203)*100</f>
        <v>0.2573238544184473</v>
      </c>
      <c r="K203" s="32"/>
      <c r="L203" s="32">
        <f>IF($B203&gt;0,(GETPIVOTDATA(" New Worker's Comp",'$ Pivot Table'!$A$3,"Category",6,"Category2","Four-Year"))/$B203)*100</f>
        <v>0.70402793155133858</v>
      </c>
      <c r="M203" s="32">
        <f>IF($B203&gt;0,(GETPIVOTDATA(" New Tuition Plans",'$ Pivot Table'!$A$3,"Category",6,"Category2","Four-Year"))/$B203)*100</f>
        <v>1.0241178822983275</v>
      </c>
      <c r="N203" s="32">
        <f>IF($B203&gt;0,(GETPIVOTDATA(" New Other",'$ Pivot Table'!$A$3,"Category",6,"Category2","Four-Year"))/$B203)*100</f>
        <v>0.46405151506897568</v>
      </c>
      <c r="O203" s="90">
        <f>IF($B203&gt;0,(GETPIVOTDATA(" New Total",'$ Pivot Table'!$A$3,"Category",6,"Category2","Four-Year"))/$B203)*100</f>
        <v>28.044128921406585</v>
      </c>
    </row>
    <row r="204" spans="1:15">
      <c r="A204" s="149"/>
      <c r="B204" s="31">
        <f>+'[3]OLD Tables 107-126'!L9</f>
        <v>0</v>
      </c>
      <c r="C204" s="32"/>
      <c r="D204" s="34"/>
      <c r="E204" s="32"/>
      <c r="F204" s="32"/>
      <c r="G204" s="32"/>
      <c r="H204" s="32"/>
      <c r="I204" s="32"/>
      <c r="J204" s="32"/>
      <c r="K204" s="32"/>
      <c r="L204" s="32"/>
      <c r="M204" s="32"/>
      <c r="N204" s="32"/>
      <c r="O204" s="90"/>
    </row>
    <row r="205" spans="1:15">
      <c r="A205" s="149" t="s">
        <v>479</v>
      </c>
      <c r="B205" s="617">
        <f>+'[2]OLD Tables'!L10</f>
        <v>68440.106785365861</v>
      </c>
      <c r="C205" s="32">
        <f>IF($B205&gt;0,(GETPIVOTDATA(" New Retirement",'$ Pivot Table'!$A$3,"State","AL","Category",6,"Category2","Four-Year"))/$B205)*100</f>
        <v>12.562239784661164</v>
      </c>
      <c r="D205" s="32">
        <f>IF($B205&gt;0,(GETPIVOTDATA(" New Health",'$ Pivot Table'!$A$3,"State","AL","Category",6,"Category2","Four-Year"))/$B205)*100</f>
        <v>13.185251198248494</v>
      </c>
      <c r="E205" s="32">
        <f>IF($B205&gt;0,(GETPIVOTDATA(" New Disability",'$ Pivot Table'!$A$3,"State","AL","Category",6,"Category2","Four-Year"))/$B205)*100</f>
        <v>0</v>
      </c>
      <c r="F205" s="32"/>
      <c r="G205" s="32">
        <f>IF($B205&gt;0,(GETPIVOTDATA(" New Social Security",'$ Pivot Table'!$A$3,"State","AL","Category",6,"Category2","Four-Year"))/$B205)*100</f>
        <v>7.6800350689246564</v>
      </c>
      <c r="H205" s="32"/>
      <c r="I205" s="32">
        <f>IF($B205&gt;0,(GETPIVOTDATA(" New Unemployment",'$ Pivot Table'!$A$3,"State","AL","Category",6,"Category2","Four-Year"))/$B205)*100</f>
        <v>0</v>
      </c>
      <c r="J205" s="32">
        <f>IF($B205&gt;0,(GETPIVOTDATA(" New Life Insurance",'$ Pivot Table'!$A$3,"State","AL","Category",6,"Category2","Four-Year"))/$B205)*100</f>
        <v>0</v>
      </c>
      <c r="K205" s="32"/>
      <c r="L205" s="32">
        <f>IF($B205&gt;0,(GETPIVOTDATA(" New Worker's Comp",'$ Pivot Table'!$A$3,"State","AL","Category",6,"Category2","Four-Year"))/$B205)*100</f>
        <v>0</v>
      </c>
      <c r="M205" s="32">
        <f>IF($B205&gt;0,(GETPIVOTDATA(" New Tuition Plans",'$ Pivot Table'!$A$3,"State","AL","Category",6,"Category2","Four-Year"))/$B205)*100</f>
        <v>0</v>
      </c>
      <c r="N205" s="32">
        <f>IF($B205&gt;0,(GETPIVOTDATA(" New Other",'$ Pivot Table'!$A$3,"State","AL","Category",6,"Category2","Four-Year"))/$B205)*100</f>
        <v>8.7901674654989943</v>
      </c>
      <c r="O205" s="90">
        <f>IF($B205&gt;0,(GETPIVOTDATA(" New Total",'$ Pivot Table'!$A$3,"State","AL","Category",6,"Category2","Four-Year"))/$B205)*100</f>
        <v>33.260195421828705</v>
      </c>
    </row>
    <row r="206" spans="1:15">
      <c r="A206" s="149" t="s">
        <v>480</v>
      </c>
      <c r="B206" s="617">
        <f>+'[2]OLD Tables'!L11</f>
        <v>51601.683674430373</v>
      </c>
      <c r="C206" s="32">
        <f>IF($B206&gt;0,(GETPIVOTDATA(" New Retirement",'$ Pivot Table'!$A$3,"State","AR","Category",6,"Category2","Four-Year"))/$B206)*100</f>
        <v>9.9464037791786399</v>
      </c>
      <c r="D206" s="32">
        <f>IF($B206&gt;0,(GETPIVOTDATA(" New Health",'$ Pivot Table'!$A$3,"State","AR","Category",6,"Category2","Four-Year"))/$B206)*100</f>
        <v>10.175388671671985</v>
      </c>
      <c r="E206" s="32">
        <f>IF($B206&gt;0,(GETPIVOTDATA(" New Disability",'$ Pivot Table'!$A$3,"State","AR","Category",6,"Category2","Four-Year"))/$B206)*100</f>
        <v>0.75352919800422946</v>
      </c>
      <c r="F206" s="32"/>
      <c r="G206" s="32">
        <f>IF($B206&gt;0,(GETPIVOTDATA(" New Social Security",'$ Pivot Table'!$A$3,"State","AR","Category",6,"Category2","Four-Year"))/$B206)*100</f>
        <v>7.0943733899505386</v>
      </c>
      <c r="H206" s="32"/>
      <c r="I206" s="32">
        <f>IF($B206&gt;0,(GETPIVOTDATA(" New Unemployment",'$ Pivot Table'!$A$3,"State","AR","Category",6,"Category2","Four-Year"))/$B206)*100</f>
        <v>0.71347719809735366</v>
      </c>
      <c r="J206" s="32">
        <f>IF($B206&gt;0,(GETPIVOTDATA(" New Life Insurance",'$ Pivot Table'!$A$3,"State","AR","Category",6,"Category2","Four-Year"))/$B206)*100</f>
        <v>0.40550254010209735</v>
      </c>
      <c r="K206" s="32"/>
      <c r="L206" s="56">
        <f>IF($B206&gt;0,(GETPIVOTDATA(" New Worker's Comp",'$ Pivot Table'!$A$3,"State","AR","Category",6,"Category2","Four-Year"))/$B206)*100</f>
        <v>0.86438214666036906</v>
      </c>
      <c r="M206" s="32">
        <f>IF($B206&gt;0,(GETPIVOTDATA(" New Tuition Plans",'$ Pivot Table'!$A$3,"State","AR","Category",6,"Category2","Four-Year"))/$B206)*100</f>
        <v>1.1462454043993413</v>
      </c>
      <c r="N206" s="32">
        <f>IF($B206&gt;0,(GETPIVOTDATA(" New Other",'$ Pivot Table'!$A$3,"State","AR","Category",6,"Category2","Four-Year"))/$B206)*100</f>
        <v>0</v>
      </c>
      <c r="O206" s="90">
        <f>IF($B206&gt;0,(GETPIVOTDATA(" New Total",'$ Pivot Table'!$A$3,"State","AR","Category",6,"Category2","Four-Year"))/$B206)*100</f>
        <v>29.349753720165733</v>
      </c>
    </row>
    <row r="207" spans="1:15">
      <c r="A207" s="149" t="s">
        <v>494</v>
      </c>
      <c r="B207" s="617">
        <f>+'[2]OLD Tables'!L12</f>
        <v>0</v>
      </c>
      <c r="C207" s="32">
        <f>IF($B207&gt;0,(GETPIVOTDATA(" New Retirement",'$ Pivot Table'!$A$3,"State","DE","Category",6,"Category2","Four-Year"))/$B207)*100</f>
        <v>0</v>
      </c>
      <c r="D207" s="32">
        <f>IF($B207&gt;0,(GETPIVOTDATA(" New Health",'$ Pivot Table'!$A$3,"State","DE","Category",6,"Category2","Four-Year"))/$B207)*100</f>
        <v>0</v>
      </c>
      <c r="E207" s="32">
        <f>IF($B207&gt;0,(GETPIVOTDATA(" New Disability",'$ Pivot Table'!$A$3,"State","DE","Category",6,"Category2","Four-Year"))/$B207)*100</f>
        <v>0</v>
      </c>
      <c r="F207" s="32"/>
      <c r="G207" s="32">
        <f>IF($B207&gt;0,(GETPIVOTDATA(" New Social Security",'$ Pivot Table'!$A$3,"State","DE","Category",6,"Category2","Four-Year"))/$B207)*100</f>
        <v>0</v>
      </c>
      <c r="H207" s="32"/>
      <c r="I207" s="32">
        <f>IF($B207&gt;0,(GETPIVOTDATA(" New Unemployment",'$ Pivot Table'!$A$3,"State","DE","Category",6,"Category2","Four-Year"))/$B207)*100</f>
        <v>0</v>
      </c>
      <c r="J207" s="32">
        <f>IF($B207&gt;0,(GETPIVOTDATA(" New Life Insurance",'$ Pivot Table'!$A$3,"State","DE","Category",6,"Category2","Four-Year"))/$B207)*100</f>
        <v>0</v>
      </c>
      <c r="K207" s="32"/>
      <c r="L207" s="32">
        <f>IF($B207&gt;0,(GETPIVOTDATA(" New Worker's Comp",'$ Pivot Table'!$A$3,"State","DE","Category",6,"Category2","Four-Year"))/$B207)*100</f>
        <v>0</v>
      </c>
      <c r="M207" s="32">
        <f>IF($B207&gt;0,(GETPIVOTDATA(" New Tuition Plans",'$ Pivot Table'!$A$3,"State","DE","Category",6,"Category2","Four-Year"))/$B207)*100</f>
        <v>0</v>
      </c>
      <c r="N207" s="32">
        <f>IF($B207&gt;0,(GETPIVOTDATA(" New Other",'$ Pivot Table'!$A$3,"State","DE","Category",6,"Category2","Four-Year"))/$B207)*100</f>
        <v>0</v>
      </c>
      <c r="O207" s="90">
        <f>IF($B207&gt;0,(GETPIVOTDATA(" New Total",'$ Pivot Table'!$A$3,"State","DE","Category",6,"Category2","Four-Year"))/$B207)*100</f>
        <v>0</v>
      </c>
    </row>
    <row r="208" spans="1:15">
      <c r="A208" s="149" t="s">
        <v>481</v>
      </c>
      <c r="B208" s="617">
        <f>+'[2]OLD Tables'!L13</f>
        <v>81165.366666666669</v>
      </c>
      <c r="C208" s="32">
        <f>IF($B208&gt;0,(GETPIVOTDATA(" New Retirement",'$ Pivot Table'!$A$3,"State","FL","Category",6,"Category2","Four-Year"))/$B208)*100</f>
        <v>8.8097430544990125</v>
      </c>
      <c r="D208" s="32">
        <f>IF($B208&gt;0,(GETPIVOTDATA(" New Health",'$ Pivot Table'!$A$3,"State","FL","Category",6,"Category2","Four-Year"))/$B208)*100</f>
        <v>12.388687880826803</v>
      </c>
      <c r="E208" s="32">
        <f>IF($B208&gt;0,(GETPIVOTDATA(" New Disability",'$ Pivot Table'!$A$3,"State","FL","Category",6,"Category2","Four-Year"))/$B208)*100</f>
        <v>0</v>
      </c>
      <c r="F208" s="32"/>
      <c r="G208" s="32">
        <f>IF($B208&gt;0,(GETPIVOTDATA(" New Social Security",'$ Pivot Table'!$A$3,"State","FL","Category",6,"Category2","Four-Year"))/$B208)*100</f>
        <v>6.4279825080873696</v>
      </c>
      <c r="H208" s="32"/>
      <c r="I208" s="32">
        <f>IF($B208&gt;0,(GETPIVOTDATA(" New Unemployment",'$ Pivot Table'!$A$3,"State","FL","Category",6,"Category2","Four-Year"))/$B208)*100</f>
        <v>0</v>
      </c>
      <c r="J208" s="32">
        <f>IF($B208&gt;0,(GETPIVOTDATA(" New Life Insurance",'$ Pivot Table'!$A$3,"State","FL","Category",6,"Category2","Four-Year"))/$B208)*100</f>
        <v>0.10065654237280454</v>
      </c>
      <c r="K208" s="32"/>
      <c r="L208" s="32">
        <f>IF($B208&gt;0,(GETPIVOTDATA(" New Worker's Comp",'$ Pivot Table'!$A$3,"State","FL","Category",6,"Category2","Four-Year"))/$B208)*100</f>
        <v>0</v>
      </c>
      <c r="M208" s="32">
        <f>IF($B208&gt;0,(GETPIVOTDATA(" New Tuition Plans",'$ Pivot Table'!$A$3,"State","FL","Category",6,"Category2","Four-Year"))/$B208)*100</f>
        <v>0</v>
      </c>
      <c r="N208" s="32">
        <f>IF($B208&gt;0,(GETPIVOTDATA(" New Other",'$ Pivot Table'!$A$3,"State","FL","Category",6,"Category2","Four-Year"))/$B208)*100</f>
        <v>0</v>
      </c>
      <c r="O208" s="90">
        <f>IF($B208&gt;0,(GETPIVOTDATA(" New Total",'$ Pivot Table'!$A$3,"State","FL","Category",6,"Category2","Four-Year"))/$B208)*100</f>
        <v>27.727069985785992</v>
      </c>
    </row>
    <row r="209" spans="1:15">
      <c r="A209" s="149"/>
      <c r="B209" s="617">
        <f>+'[2]OLD Tables'!L14</f>
        <v>0</v>
      </c>
      <c r="C209" s="32"/>
      <c r="D209" s="34"/>
      <c r="E209" s="32"/>
      <c r="F209" s="32"/>
      <c r="G209" s="32"/>
      <c r="H209" s="32"/>
      <c r="I209" s="32"/>
      <c r="J209" s="32"/>
      <c r="K209" s="32"/>
      <c r="L209" s="32"/>
      <c r="M209" s="32"/>
      <c r="N209" s="32"/>
      <c r="O209" s="90"/>
    </row>
    <row r="210" spans="1:15">
      <c r="A210" s="149" t="s">
        <v>482</v>
      </c>
      <c r="B210" s="617">
        <f>+'[2]OLD Tables'!L15</f>
        <v>57927.212865053763</v>
      </c>
      <c r="C210" s="32">
        <f>IF($B210&gt;0,(GETPIVOTDATA(" New Retirement",'$ Pivot Table'!$A$3,"State","GA","Category",6,"Category2","Four-Year"))/$B210)*100</f>
        <v>9.3879124786505308</v>
      </c>
      <c r="D210" s="32">
        <f>IF($B210&gt;0,(GETPIVOTDATA(" New Health",'$ Pivot Table'!$A$3,"State","GA","Category",6,"Category2","Four-Year"))/$B210)*100</f>
        <v>11.150075113593584</v>
      </c>
      <c r="E210" s="32">
        <f>IF($B210&gt;0,(GETPIVOTDATA(" New Disability",'$ Pivot Table'!$A$3,"State","GA","Category",6,"Category2","Four-Year"))/$B210)*100</f>
        <v>0</v>
      </c>
      <c r="F210" s="32"/>
      <c r="G210" s="32">
        <f>IF($B210&gt;0,(GETPIVOTDATA(" New Social Security",'$ Pivot Table'!$A$3,"State","GA","Category",6,"Category2","Four-Year"))/$B210)*100</f>
        <v>6.7633971174675827</v>
      </c>
      <c r="H210" s="32"/>
      <c r="I210" s="32">
        <f>IF($B210&gt;0,(GETPIVOTDATA(" New Unemployment",'$ Pivot Table'!$A$3,"State","GA","Category",6,"Category2","Four-Year"))/$B210)*100</f>
        <v>0.24340891443969723</v>
      </c>
      <c r="J210" s="32">
        <f>IF($B210&gt;0,(GETPIVOTDATA(" New Life Insurance",'$ Pivot Table'!$A$3,"State","GA","Category",6,"Category2","Four-Year"))/$B210)*100</f>
        <v>0.30628662818619712</v>
      </c>
      <c r="K210" s="32"/>
      <c r="L210" s="32">
        <f>IF($B210&gt;0,(GETPIVOTDATA(" New Worker's Comp",'$ Pivot Table'!$A$3,"State","GA","Category",6,"Category2","Four-Year"))/$B210)*100</f>
        <v>0.21950541686677461</v>
      </c>
      <c r="M210" s="32">
        <f>IF($B210&gt;0,(GETPIVOTDATA(" New Tuition Plans",'$ Pivot Table'!$A$3,"State","GA","Category",6,"Category2","Four-Year"))/$B210)*100</f>
        <v>0</v>
      </c>
      <c r="N210" s="32">
        <f>IF($B210&gt;0,(GETPIVOTDATA(" New Other",'$ Pivot Table'!$A$3,"State","GA","Category",6,"Category2","Four-Year"))/$B210)*100</f>
        <v>0</v>
      </c>
      <c r="O210" s="90">
        <f>IF($B210&gt;0,(GETPIVOTDATA(" New Total",'$ Pivot Table'!$A$3,"State","GA","Category",6,"Category2","Four-Year"))/$B210)*100</f>
        <v>26.784911260843856</v>
      </c>
    </row>
    <row r="211" spans="1:15">
      <c r="A211" s="149" t="s">
        <v>483</v>
      </c>
      <c r="B211" s="617">
        <f>+'[2]OLD Tables'!L16</f>
        <v>0</v>
      </c>
      <c r="C211" s="32">
        <f>IF($B211&gt;0,(GETPIVOTDATA(" New Retirement",'$ Pivot Table'!$A$3,"State","KY","Category",6,"Category2","Four-Year"))/$B211)*100</f>
        <v>0</v>
      </c>
      <c r="D211" s="32">
        <f>IF($B211&gt;0,(GETPIVOTDATA(" New Health",'$ Pivot Table'!$A$3,"State","KY","Category",6,"Category2","Four-Year"))/$B211)*100</f>
        <v>0</v>
      </c>
      <c r="E211" s="32">
        <f>IF($B211&gt;0,(GETPIVOTDATA(" New Disability",'$ Pivot Table'!$A$3,"State","KY","Category",6,"Category2","Four-Year"))/$B211)*100</f>
        <v>0</v>
      </c>
      <c r="F211" s="32"/>
      <c r="G211" s="32">
        <f>IF($B211&gt;0,(GETPIVOTDATA(" New Social Security",'$ Pivot Table'!$A$3,"State","KY","Category",6,"Category2","Four-Year"))/$B211)*100</f>
        <v>0</v>
      </c>
      <c r="H211" s="32"/>
      <c r="I211" s="32">
        <f>IF($B211&gt;0,(GETPIVOTDATA(" New Unemployment",'$ Pivot Table'!$A$3,"State","KY","Category",6,"Category2","Four-Year"))/$B211)*100</f>
        <v>0</v>
      </c>
      <c r="J211" s="32">
        <f>IF($B211&gt;0,(GETPIVOTDATA(" New Life Insurance",'$ Pivot Table'!$A$3,"State","KY","Category",6,"Category2","Four-Year"))/$B211)*100</f>
        <v>0</v>
      </c>
      <c r="K211" s="32"/>
      <c r="L211" s="32">
        <f>IF($B211&gt;0,(GETPIVOTDATA(" New Worker's Comp",'$ Pivot Table'!$A$3,"State","KY","Category",6,"Category2","Four-Year"))/$B211)*100</f>
        <v>0</v>
      </c>
      <c r="M211" s="32">
        <f>IF($B211&gt;0,(GETPIVOTDATA(" New Tuition Plans",'$ Pivot Table'!$A$3,"State","KY","Category",6,"Category2","Four-Year"))/$B211)*100</f>
        <v>0</v>
      </c>
      <c r="N211" s="32">
        <f>IF($B211&gt;0,(GETPIVOTDATA(" New Other",'$ Pivot Table'!$A$3,"State","KY","Category",6,"Category2","Four-Year"))/$B211)*100</f>
        <v>0</v>
      </c>
      <c r="O211" s="90">
        <f>IF($B211&gt;0,(GETPIVOTDATA(" New Total",'$ Pivot Table'!$A$3,"State","KY","Category",6,"Category2","Four-Year"))/$B211)*100</f>
        <v>0</v>
      </c>
    </row>
    <row r="212" spans="1:15">
      <c r="A212" s="149" t="s">
        <v>484</v>
      </c>
      <c r="B212" s="617">
        <f>+'[2]OLD Tables'!L17</f>
        <v>0</v>
      </c>
      <c r="C212" s="32">
        <f>IF($B212&gt;0,(GETPIVOTDATA(" New Retirement",'$ Pivot Table'!$A$3,"State","LA","Category",6,"Category2","Four-Year"))/$B212)*100</f>
        <v>0</v>
      </c>
      <c r="D212" s="32">
        <f>IF($B212&gt;0,(GETPIVOTDATA(" New Health",'$ Pivot Table'!$A$3,"State","LA","Category",6,"Category2","Four-Year"))/$B212)*100</f>
        <v>0</v>
      </c>
      <c r="E212" s="32">
        <f>IF($B212&gt;0,(GETPIVOTDATA(" New Disability",'$ Pivot Table'!$A$3,"State","LA","Category",6,"Category2","Four-Year"))/$B212)*100</f>
        <v>0</v>
      </c>
      <c r="F212" s="32"/>
      <c r="G212" s="32">
        <f>IF($B212&gt;0,(GETPIVOTDATA(" New Social Security",'$ Pivot Table'!$A$3,"State","LA","Category",6,"Category2","Four-Year"))/$B212)*100</f>
        <v>0</v>
      </c>
      <c r="H212" s="32"/>
      <c r="I212" s="32">
        <f>IF($B212&gt;0,(GETPIVOTDATA(" New Unemployment",'$ Pivot Table'!$A$3,"State","LA","Category",6,"Category2","Four-Year"))/$B212)*100</f>
        <v>0</v>
      </c>
      <c r="J212" s="32">
        <f>IF($B212&gt;0,(GETPIVOTDATA(" New Life Insurance",'$ Pivot Table'!$A$3,"State","LA","Category",6,"Category2","Four-Year"))/$B212)*100</f>
        <v>0</v>
      </c>
      <c r="K212" s="32"/>
      <c r="L212" s="32">
        <f>IF($B212&gt;0,(GETPIVOTDATA(" New Worker's Comp",'$ Pivot Table'!$A$3,"State","LA","Category",6,"Category2","Four-Year"))/$B212)*100</f>
        <v>0</v>
      </c>
      <c r="M212" s="32">
        <f>IF($B212&gt;0,(GETPIVOTDATA(" New Tuition Plans",'$ Pivot Table'!$A$3,"State","LA","Category",6,"Category2","Four-Year"))/$B212)*100</f>
        <v>0</v>
      </c>
      <c r="N212" s="32">
        <f>IF($B212&gt;0,(GETPIVOTDATA(" New Other",'$ Pivot Table'!$A$3,"State","LA","Category",6,"Category2","Four-Year"))/$B212)*100</f>
        <v>0</v>
      </c>
      <c r="O212" s="90">
        <f>IF($B212&gt;0,(GETPIVOTDATA(" New Total",'$ Pivot Table'!$A$3,"State","LA","Category",6,"Category2","Four-Year"))/$B212)*100</f>
        <v>0</v>
      </c>
    </row>
    <row r="213" spans="1:15">
      <c r="A213" s="149" t="s">
        <v>485</v>
      </c>
      <c r="B213" s="617">
        <f>+'[2]OLD Tables'!L18</f>
        <v>68493.936910489516</v>
      </c>
      <c r="C213" s="32">
        <f>IF($B213&gt;0,(GETPIVOTDATA(" New Retirement",'$ Pivot Table'!$A$3,"State","MD","Category",6,"Category2","Four-Year"))/$B213)*100</f>
        <v>0</v>
      </c>
      <c r="D213" s="32">
        <f>IF($B213&gt;0,(GETPIVOTDATA(" New Health",'$ Pivot Table'!$A$3,"State","MD","Category",6,"Category2","Four-Year"))/$B213)*100</f>
        <v>0</v>
      </c>
      <c r="E213" s="32">
        <f>IF($B213&gt;0,(GETPIVOTDATA(" New Disability",'$ Pivot Table'!$A$3,"State","MD","Category",6,"Category2","Four-Year"))/$B213)*100</f>
        <v>0</v>
      </c>
      <c r="F213" s="32"/>
      <c r="G213" s="32">
        <f>IF($B213&gt;0,(GETPIVOTDATA(" New Social Security",'$ Pivot Table'!$A$3,"State","MD","Category",6,"Category2","Four-Year"))/$B213)*100</f>
        <v>0</v>
      </c>
      <c r="H213" s="32"/>
      <c r="I213" s="32">
        <f>IF($B213&gt;0,(GETPIVOTDATA(" New Unemployment",'$ Pivot Table'!$A$3,"State","MD","Category",6,"Category2","Four-Year"))/$B213)*100</f>
        <v>0</v>
      </c>
      <c r="J213" s="32">
        <f>IF($B213&gt;0,(GETPIVOTDATA(" New Life Insurance",'$ Pivot Table'!$A$3,"State","MD","Category",6,"Category2","Four-Year"))/$B213)*100</f>
        <v>0</v>
      </c>
      <c r="K213" s="32"/>
      <c r="L213" s="32">
        <f>IF($B213&gt;0,(GETPIVOTDATA(" New Worker's Comp",'$ Pivot Table'!$A$3,"State","MD","Category",6,"Category2","Four-Year"))/$B213)*100</f>
        <v>0</v>
      </c>
      <c r="M213" s="32">
        <f>IF($B213&gt;0,(GETPIVOTDATA(" New Tuition Plans",'$ Pivot Table'!$A$3,"State","MD","Category",6,"Category2","Four-Year"))/$B213)*100</f>
        <v>0</v>
      </c>
      <c r="N213" s="32">
        <f>IF($B213&gt;0,(GETPIVOTDATA(" New Other",'$ Pivot Table'!$A$3,"State","MD","Category",6,"Category2","Four-Year"))/$B213)*100</f>
        <v>0</v>
      </c>
      <c r="O213" s="90">
        <f>IF($B213&gt;0,(GETPIVOTDATA(" New Total",'$ Pivot Table'!$A$3,"State","MD","Category",6,"Category2","Four-Year"))/$B213)*100</f>
        <v>0</v>
      </c>
    </row>
    <row r="214" spans="1:15">
      <c r="A214" s="149"/>
      <c r="B214" s="617">
        <f>+'[2]OLD Tables'!L19</f>
        <v>0</v>
      </c>
      <c r="C214" s="32"/>
      <c r="D214" s="34"/>
      <c r="E214" s="32"/>
      <c r="F214" s="32"/>
      <c r="G214" s="32"/>
      <c r="H214" s="32"/>
      <c r="I214" s="32"/>
      <c r="J214" s="32"/>
      <c r="K214" s="32"/>
      <c r="L214" s="32"/>
      <c r="M214" s="32"/>
      <c r="N214" s="32"/>
      <c r="O214" s="90"/>
    </row>
    <row r="215" spans="1:15">
      <c r="A215" s="149" t="s">
        <v>486</v>
      </c>
      <c r="B215" s="617">
        <f>+'[2]OLD Tables'!L20</f>
        <v>0</v>
      </c>
      <c r="C215" s="32">
        <f>IF($B215&gt;0,(GETPIVOTDATA(" New Retirement",'$ Pivot Table'!$A$3,"State","MS","Category",6,"Category2","Four-Year"))/$B215)*100</f>
        <v>0</v>
      </c>
      <c r="D215" s="32">
        <f>IF($B215&gt;0,(GETPIVOTDATA(" New Health",'$ Pivot Table'!$A$3,"State","MS","Category",6,"Category2","Four-Year"))/$B215)*100</f>
        <v>0</v>
      </c>
      <c r="E215" s="32">
        <f>IF($B215&gt;0,(GETPIVOTDATA(" New Disability",'$ Pivot Table'!$A$3,"State","MS","Category",6,"Category2","Four-Year"))/$B215)*100</f>
        <v>0</v>
      </c>
      <c r="F215" s="32"/>
      <c r="G215" s="32">
        <f>IF($B215&gt;0,(GETPIVOTDATA(" New Social Security",'$ Pivot Table'!$A$3,"State","MS","Category",6,"Category2","Four-Year"))/$B215)*100</f>
        <v>0</v>
      </c>
      <c r="H215" s="32"/>
      <c r="I215" s="32">
        <f>IF($B215&gt;0,(GETPIVOTDATA(" New Unemployment",'$ Pivot Table'!$A$3,"State","MS","Category",6,"Category2","Four-Year"))/$B215)*100</f>
        <v>0</v>
      </c>
      <c r="J215" s="32">
        <f>IF($B215&gt;0,(GETPIVOTDATA(" New Life Insurance",'$ Pivot Table'!$A$3,"State","MS","Category",6,"Category2","Four-Year"))/$B215)*100</f>
        <v>0</v>
      </c>
      <c r="K215" s="32"/>
      <c r="L215" s="32">
        <f>IF($B215&gt;0,(GETPIVOTDATA(" New Worker's Comp",'$ Pivot Table'!$A$3,"State","MS","Category",6,"Category2","Four-Year"))/$B215)*100</f>
        <v>0</v>
      </c>
      <c r="M215" s="32">
        <f>IF($B215&gt;0,(GETPIVOTDATA(" New Tuition Plans",'$ Pivot Table'!$A$3,"State","MS","Category",6,"Category2","Four-Year"))/$B215)*100</f>
        <v>0</v>
      </c>
      <c r="N215" s="32">
        <f>IF($B215&gt;0,(GETPIVOTDATA(" New Other",'$ Pivot Table'!$A$3,"State","MS","Category",6,"Category2","Four-Year"))/$B215)*100</f>
        <v>0</v>
      </c>
      <c r="O215" s="90">
        <f>IF($B215&gt;0,(GETPIVOTDATA(" New Total",'$ Pivot Table'!$A$3,"State","MS","Category",6,"Category2","Four-Year"))/$B215)*100</f>
        <v>0</v>
      </c>
    </row>
    <row r="216" spans="1:15">
      <c r="A216" s="149" t="s">
        <v>487</v>
      </c>
      <c r="B216" s="617">
        <f>+'[2]OLD Tables'!L21</f>
        <v>67893.65016353887</v>
      </c>
      <c r="C216" s="32">
        <f>IF($B216&gt;0,(GETPIVOTDATA(" New Retirement",'$ Pivot Table'!$A$3,"State","NC","Category",6,"Category2","Four-Year"))/$B216)*100</f>
        <v>9.9846383044482518</v>
      </c>
      <c r="D216" s="32">
        <f>IF($B216&gt;0,(GETPIVOTDATA(" New Health",'$ Pivot Table'!$A$3,"State","NC","Category",6,"Category2","Four-Year"))/$B216)*100</f>
        <v>7.261356530581077</v>
      </c>
      <c r="E216" s="32">
        <f>IF($B216&gt;0,(GETPIVOTDATA(" New Disability",'$ Pivot Table'!$A$3,"State","NC","Category",6,"Category2","Four-Year"))/$B216)*100</f>
        <v>0.52010206877844745</v>
      </c>
      <c r="F216" s="32"/>
      <c r="G216" s="32">
        <f>IF($B216&gt;0,(GETPIVOTDATA(" New Social Security",'$ Pivot Table'!$A$3,"State","NC","Category",6,"Category2","Four-Year"))/$B216)*100</f>
        <v>7.6215375653178317</v>
      </c>
      <c r="H216" s="32"/>
      <c r="I216" s="32">
        <f>IF($B216&gt;0,(GETPIVOTDATA(" New Unemployment",'$ Pivot Table'!$A$3,"State","NC","Category",6,"Category2","Four-Year"))/$B216)*100</f>
        <v>9.0070948657290845E-2</v>
      </c>
      <c r="J216" s="32">
        <f>IF($B216&gt;0,(GETPIVOTDATA(" New Life Insurance",'$ Pivot Table'!$A$3,"State","NC","Category",6,"Category2","Four-Year"))/$B216)*100</f>
        <v>0.16081157928737128</v>
      </c>
      <c r="K216" s="32"/>
      <c r="L216" s="32">
        <f>IF($B216&gt;0,(GETPIVOTDATA(" New Worker's Comp",'$ Pivot Table'!$A$3,"State","NC","Category",6,"Category2","Four-Year"))/$B216)*100</f>
        <v>0.87010606824478887</v>
      </c>
      <c r="M216" s="32">
        <f>IF($B216&gt;0,(GETPIVOTDATA(" New Tuition Plans",'$ Pivot Table'!$A$3,"State","NC","Category",6,"Category2","Four-Year"))/$B216)*100</f>
        <v>0</v>
      </c>
      <c r="N216" s="32">
        <f>IF($B216&gt;0,(GETPIVOTDATA(" New Other",'$ Pivot Table'!$A$3,"State","NC","Category",6,"Category2","Four-Year"))/$B216)*100</f>
        <v>0</v>
      </c>
      <c r="O216" s="90">
        <f>IF($B216&gt;0,(GETPIVOTDATA(" New Total",'$ Pivot Table'!$A$3,"State","NC","Category",6,"Category2","Four-Year"))/$B216)*100</f>
        <v>26.4649920166712</v>
      </c>
    </row>
    <row r="217" spans="1:15">
      <c r="A217" s="149" t="s">
        <v>488</v>
      </c>
      <c r="B217" s="617">
        <f>+'[2]OLD Tables'!L22</f>
        <v>48691.569074757281</v>
      </c>
      <c r="C217" s="32">
        <f>IF($B217&gt;0,(GETPIVOTDATA(" New Retirement",'$ Pivot Table'!$A$3,"State","OK","Category",6,"Category2","Four-Year"))/$B217)*100</f>
        <v>19.167344557964665</v>
      </c>
      <c r="D217" s="32">
        <f>IF($B217&gt;0,(GETPIVOTDATA(" New Health",'$ Pivot Table'!$A$3,"State","OK","Category",6,"Category2","Four-Year"))/$B217)*100</f>
        <v>11.077052103023364</v>
      </c>
      <c r="E217" s="32">
        <f>IF($B217&gt;0,(GETPIVOTDATA(" New Disability",'$ Pivot Table'!$A$3,"State","OK","Category",6,"Category2","Four-Year"))/$B217)*100</f>
        <v>0</v>
      </c>
      <c r="F217" s="32"/>
      <c r="G217" s="32">
        <f>IF($B217&gt;0,(GETPIVOTDATA(" New Social Security",'$ Pivot Table'!$A$3,"State","OK","Category",6,"Category2","Four-Year"))/$B217)*100</f>
        <v>7.5572185521049873</v>
      </c>
      <c r="H217" s="32"/>
      <c r="I217" s="32">
        <f>IF($B217&gt;0,(GETPIVOTDATA(" New Unemployment",'$ Pivot Table'!$A$3,"State","OK","Category",6,"Category2","Four-Year"))/$B217)*100</f>
        <v>0.32498048069707647</v>
      </c>
      <c r="J217" s="32">
        <f>IF($B217&gt;0,(GETPIVOTDATA(" New Life Insurance",'$ Pivot Table'!$A$3,"State","OK","Category",6,"Category2","Four-Year"))/$B217)*100</f>
        <v>0.62497191446297284</v>
      </c>
      <c r="K217" s="32"/>
      <c r="L217" s="32">
        <f>IF($B217&gt;0,(GETPIVOTDATA(" New Worker's Comp",'$ Pivot Table'!$A$3,"State","OK","Category",6,"Category2","Four-Year"))/$B217)*100</f>
        <v>0.60287799472512382</v>
      </c>
      <c r="M217" s="32">
        <f>IF($B217&gt;0,(GETPIVOTDATA(" New Tuition Plans",'$ Pivot Table'!$A$3,"State","OK","Category",6,"Category2","Four-Year"))/$B217)*100</f>
        <v>0</v>
      </c>
      <c r="N217" s="32">
        <f>IF($B217&gt;0,(GETPIVOTDATA(" New Other",'$ Pivot Table'!$A$3,"State","OK","Category",6,"Category2","Four-Year"))/$B217)*100</f>
        <v>0.4380048386692737</v>
      </c>
      <c r="O217" s="90">
        <f>IF($B217&gt;0,(GETPIVOTDATA(" New Total",'$ Pivot Table'!$A$3,"State","OK","Category",6,"Category2","Four-Year"))/$B217)*100</f>
        <v>39.512952394742292</v>
      </c>
    </row>
    <row r="218" spans="1:15">
      <c r="A218" s="149" t="s">
        <v>489</v>
      </c>
      <c r="B218" s="617">
        <f>+'[2]OLD Tables'!L23</f>
        <v>54236.405330785557</v>
      </c>
      <c r="C218" s="32">
        <f>IF($B218&gt;0,(GETPIVOTDATA(" New Retirement",'$ Pivot Table'!$A$3,"State","SC","Category",6,"Category2","Four-Year"))/$B218)*100</f>
        <v>13.07702480419082</v>
      </c>
      <c r="D218" s="32">
        <f>IF($B218&gt;0,(GETPIVOTDATA(" New Health",'$ Pivot Table'!$A$3,"State","SC","Category",6,"Category2","Four-Year"))/$B218)*100</f>
        <v>9.6409917914011967</v>
      </c>
      <c r="E218" s="32">
        <f>IF($B218&gt;0,(GETPIVOTDATA(" New Disability",'$ Pivot Table'!$A$3,"State","SC","Category",6,"Category2","Four-Year"))/$B218)*100</f>
        <v>7.19074204164908E-2</v>
      </c>
      <c r="F218" s="32"/>
      <c r="G218" s="32">
        <f>IF($B218&gt;0,(GETPIVOTDATA(" New Social Security",'$ Pivot Table'!$A$3,"State","SC","Category",6,"Category2","Four-Year"))/$B218)*100</f>
        <v>6.514285956335657</v>
      </c>
      <c r="H218" s="32"/>
      <c r="I218" s="32">
        <f>IF($B218&gt;0,(GETPIVOTDATA(" New Unemployment",'$ Pivot Table'!$A$3,"State","SC","Category",6,"Category2","Four-Year"))/$B218)*100</f>
        <v>0.1585574303789522</v>
      </c>
      <c r="J218" s="32">
        <f>IF($B218&gt;0,(GETPIVOTDATA(" New Life Insurance",'$ Pivot Table'!$A$3,"State","SC","Category",6,"Category2","Four-Year"))/$B218)*100</f>
        <v>0.14928332020751836</v>
      </c>
      <c r="K218" s="32"/>
      <c r="L218" s="32">
        <f>IF($B218&gt;0,(GETPIVOTDATA(" New Worker's Comp",'$ Pivot Table'!$A$3,"State","SC","Category",6,"Category2","Four-Year"))/$B218)*100</f>
        <v>1.1644151512440926</v>
      </c>
      <c r="M218" s="32">
        <f>IF($B218&gt;0,(GETPIVOTDATA(" New Tuition Plans",'$ Pivot Table'!$A$3,"State","SC","Category",6,"Category2","Four-Year"))/$B218)*100</f>
        <v>0</v>
      </c>
      <c r="N218" s="32">
        <f>IF($B218&gt;0,(GETPIVOTDATA(" New Other",'$ Pivot Table'!$A$3,"State","SC","Category",6,"Category2","Four-Year"))/$B218)*100</f>
        <v>0</v>
      </c>
      <c r="O218" s="90">
        <f>IF($B218&gt;0,(GETPIVOTDATA(" New Total",'$ Pivot Table'!$A$3,"State","SC","Category",6,"Category2","Four-Year"))/$B218)*100</f>
        <v>30.496756762199833</v>
      </c>
    </row>
    <row r="219" spans="1:15">
      <c r="A219" s="149"/>
      <c r="B219" s="617">
        <f>+'[2]OLD Tables'!L24</f>
        <v>0</v>
      </c>
      <c r="C219" s="32"/>
      <c r="D219" s="34"/>
      <c r="E219" s="32"/>
      <c r="F219" s="32"/>
      <c r="G219" s="32"/>
      <c r="H219" s="32"/>
      <c r="I219" s="32"/>
      <c r="J219" s="32"/>
      <c r="K219" s="32"/>
      <c r="L219" s="32"/>
      <c r="M219" s="32"/>
      <c r="N219" s="32"/>
      <c r="O219" s="90"/>
    </row>
    <row r="220" spans="1:15">
      <c r="A220" s="149" t="s">
        <v>490</v>
      </c>
      <c r="B220" s="617">
        <f>+'[2]OLD Tables'!L25</f>
        <v>0</v>
      </c>
      <c r="C220" s="28">
        <f>IF($B220&gt;0,(GETPIVOTDATA(" New Retirement",'$ Pivot Table'!$A$3,"State","TN","Category",6,"Category2","Four-Year"))/$B220)*100</f>
        <v>0</v>
      </c>
      <c r="D220" s="28">
        <f>IF($B220&gt;0,(GETPIVOTDATA(" New Health",'$ Pivot Table'!$A$3,"State","TN","Category",6,"Category2","Four-Year"))/$B220)*100</f>
        <v>0</v>
      </c>
      <c r="E220" s="28">
        <f>IF($B220&gt;0,(GETPIVOTDATA(" New Disability",'$ Pivot Table'!$A$3,"State","TN","Category",6,"Category2","Four-Year"))/$B220)*100</f>
        <v>0</v>
      </c>
      <c r="F220" s="28"/>
      <c r="G220" s="28">
        <f>IF($B220&gt;0,(GETPIVOTDATA(" New Social Security",'$ Pivot Table'!$A$3,"State","TN","Category",6,"Category2","Four-Year"))/$B220)*100</f>
        <v>0</v>
      </c>
      <c r="H220" s="28"/>
      <c r="I220" s="28">
        <f>IF($B220&gt;0,(GETPIVOTDATA(" New Unemployment",'$ Pivot Table'!$A$3,"State","TN","Category",6,"Category2","Four-Year"))/$B220)*100</f>
        <v>0</v>
      </c>
      <c r="J220" s="28">
        <f>IF($B220&gt;0,(GETPIVOTDATA(" New Life Insurance",'$ Pivot Table'!$A$3,"State","TN","Category",6,"Category2","Four-Year"))/$B220)*100</f>
        <v>0</v>
      </c>
      <c r="K220" s="28"/>
      <c r="L220" s="28">
        <f>IF($B220&gt;0,(GETPIVOTDATA(" New Worker's Comp",'$ Pivot Table'!$A$3,"State","TN","Category",6,"Category2","Four-Year"))/$B220)*100</f>
        <v>0</v>
      </c>
      <c r="M220" s="28">
        <f>IF($B220&gt;0,(GETPIVOTDATA(" New Tuition Plans",'$ Pivot Table'!$A$3,"State","TN","Category",6,"Category2","Four-Year"))/$B220)*100</f>
        <v>0</v>
      </c>
      <c r="N220" s="28">
        <f>IF($B220&gt;0,(GETPIVOTDATA(" New Other",'$ Pivot Table'!$A$3,"State","TN","Category",6,"Category2","Four-Year"))/$B220)*100</f>
        <v>0</v>
      </c>
      <c r="O220" s="86">
        <f>IF($B220&gt;0,(GETPIVOTDATA(" New Total",'$ Pivot Table'!$A$3,"State","TN","Category",6,"Category2","Four-Year"))/$B220)*100</f>
        <v>0</v>
      </c>
    </row>
    <row r="221" spans="1:15">
      <c r="A221" s="149" t="s">
        <v>491</v>
      </c>
      <c r="B221" s="617">
        <f>+'[2]OLD Tables'!L26</f>
        <v>67833.889730526309</v>
      </c>
      <c r="C221" s="28">
        <f>IF($B221&gt;0,(GETPIVOTDATA(" New Retirement",'$ Pivot Table'!$A$3,"State","TX","Category",6,"Category2","Four-Year"))/$B221)*100</f>
        <v>6.3110635981611196</v>
      </c>
      <c r="D221" s="28">
        <f>IF($B221&gt;0,(GETPIVOTDATA(" New Health",'$ Pivot Table'!$A$3,"State","TX","Category",6,"Category2","Four-Year"))/$B221)*100</f>
        <v>9.0353067240398204</v>
      </c>
      <c r="E221" s="28">
        <f>IF($B221&gt;0,(GETPIVOTDATA(" New Disability",'$ Pivot Table'!$A$3,"State","TX","Category",6,"Category2","Four-Year"))/$B221)*100</f>
        <v>0</v>
      </c>
      <c r="F221" s="28"/>
      <c r="G221" s="28">
        <f>IF($B221&gt;0,(GETPIVOTDATA(" New Social Security",'$ Pivot Table'!$A$3,"State","TX","Category",6,"Category2","Four-Year"))/$B221)*100</f>
        <v>7.4639723538093463</v>
      </c>
      <c r="H221" s="28"/>
      <c r="I221" s="28">
        <f>IF($B221&gt;0,(GETPIVOTDATA(" New Unemployment",'$ Pivot Table'!$A$3,"State","TX","Category",6,"Category2","Four-Year"))/$B221)*100</f>
        <v>0.3069262293922484</v>
      </c>
      <c r="J221" s="58">
        <f>IF($B221&gt;0,(GETPIVOTDATA(" New Life Insurance",'$ Pivot Table'!$A$3,"State","TX","Category",6,"Category2","Four-Year"))/$B221)*100</f>
        <v>8.0135568124739612E-2</v>
      </c>
      <c r="K221" s="58"/>
      <c r="L221" s="28">
        <f>IF($B221&gt;0,(GETPIVOTDATA(" New Worker's Comp",'$ Pivot Table'!$A$3,"State","TX","Category",6,"Category2","Four-Year"))/$B221)*100</f>
        <v>0.48783441921815984</v>
      </c>
      <c r="M221" s="28">
        <f>IF($B221&gt;0,(GETPIVOTDATA(" New Tuition Plans",'$ Pivot Table'!$A$3,"State","TX","Category",6,"Category2","Four-Year"))/$B221)*100</f>
        <v>0</v>
      </c>
      <c r="N221" s="28">
        <f>IF($B221&gt;0,(GETPIVOTDATA(" New Other",'$ Pivot Table'!$A$3,"State","TX","Category",6,"Category2","Four-Year"))/$B221)*100</f>
        <v>0</v>
      </c>
      <c r="O221" s="86">
        <f>IF($B221&gt;0,(GETPIVOTDATA(" New Total",'$ Pivot Table'!$A$3,"State","TX","Category",6,"Category2","Four-Year"))/$B221)*100</f>
        <v>22.656730244799359</v>
      </c>
    </row>
    <row r="222" spans="1:15">
      <c r="A222" s="149" t="s">
        <v>492</v>
      </c>
      <c r="B222" s="617">
        <f>+'[2]OLD Tables'!L27</f>
        <v>56791.451612903227</v>
      </c>
      <c r="C222" s="28">
        <f>IF($B222&gt;0,(GETPIVOTDATA(" New Retirement",'$ Pivot Table'!$A$3,"State","VA","Category",6,"Category2","Four-Year"))/$B222)*100</f>
        <v>10.650435534003662</v>
      </c>
      <c r="D222" s="28">
        <f>IF($B222&gt;0,(GETPIVOTDATA(" New Health",'$ Pivot Table'!$A$3,"State","VA","Category",6,"Category2","Four-Year"))/$B222)*100</f>
        <v>14.826257860453183</v>
      </c>
      <c r="E222" s="28">
        <f>IF($B222&gt;0,(GETPIVOTDATA(" New Disability",'$ Pivot Table'!$A$3,"State","VA","Category",6,"Category2","Four-Year"))/$B222)*100</f>
        <v>0</v>
      </c>
      <c r="F222" s="28"/>
      <c r="G222" s="28">
        <f>IF($B222&gt;0,(GETPIVOTDATA(" New Social Security",'$ Pivot Table'!$A$3,"State","VA","Category",6,"Category2","Four-Year"))/$B222)*100</f>
        <v>7.8089125015912835</v>
      </c>
      <c r="H222" s="28"/>
      <c r="I222" s="28">
        <f>IF($B222&gt;0,(GETPIVOTDATA(" New Unemployment",'$ Pivot Table'!$A$3,"State","VA","Category",6,"Category2","Four-Year"))/$B222)*100</f>
        <v>0</v>
      </c>
      <c r="J222" s="28">
        <f>IF($B222&gt;0,(GETPIVOTDATA(" New Life Insurance",'$ Pivot Table'!$A$3,"State","VA","Category",6,"Category2","Four-Year"))/$B222)*100</f>
        <v>1.0207744396628684</v>
      </c>
      <c r="K222" s="28"/>
      <c r="L222" s="28">
        <f>IF($B222&gt;0,(GETPIVOTDATA(" New Worker's Comp",'$ Pivot Table'!$A$3,"State","VA","Category",6,"Category2","Four-Year"))/$B222)*100</f>
        <v>0</v>
      </c>
      <c r="M222" s="28">
        <f>IF($B222&gt;0,(GETPIVOTDATA(" New Tuition Plans",'$ Pivot Table'!$A$3,"State","VA","Category",6,"Category2","Four-Year"))/$B222)*100</f>
        <v>0</v>
      </c>
      <c r="N222" s="28">
        <f>IF($B222&gt;0,(GETPIVOTDATA(" New Other",'$ Pivot Table'!$A$3,"State","VA","Category",6,"Category2","Four-Year"))/$B222)*100</f>
        <v>0</v>
      </c>
      <c r="O222" s="86">
        <f>IF($B222&gt;0,(GETPIVOTDATA(" New Total",'$ Pivot Table'!$A$3,"State","VA","Category",6,"Category2","Four-Year"))/$B222)*100</f>
        <v>33.246571707819712</v>
      </c>
    </row>
    <row r="223" spans="1:15">
      <c r="A223" s="630" t="s">
        <v>493</v>
      </c>
      <c r="B223" s="618">
        <f>+'[2]OLD Tables'!L28</f>
        <v>53238.316577192985</v>
      </c>
      <c r="C223" s="30">
        <f>IF($B223&gt;0,(GETPIVOTDATA(" New Retirement",'$ Pivot Table'!$A$3,"State","WV","Category",6,"Category2","Four-Year"))/$B223)*100</f>
        <v>6.2107687280643216</v>
      </c>
      <c r="D223" s="30">
        <f>IF($B223&gt;0,(GETPIVOTDATA(" New Health",'$ Pivot Table'!$A$3,"State","WV","Category",6,"Category2","Four-Year"))/$B223)*100</f>
        <v>9.4397602917829833</v>
      </c>
      <c r="E223" s="30">
        <f>IF($B223&gt;0,(GETPIVOTDATA(" New Disability",'$ Pivot Table'!$A$3,"State","WV","Category",6,"Category2","Four-Year"))/$B223)*100</f>
        <v>0</v>
      </c>
      <c r="F223" s="30"/>
      <c r="G223" s="30">
        <f>IF($B223&gt;0,(GETPIVOTDATA(" New Social Security",'$ Pivot Table'!$A$3,"State","WV","Category",6,"Category2","Four-Year"))/$B223)*100</f>
        <v>7.7625284388139928</v>
      </c>
      <c r="H223" s="30"/>
      <c r="I223" s="30">
        <f>IF($B223&gt;0,(GETPIVOTDATA(" New Unemployment",'$ Pivot Table'!$A$3,"State","WV","Category",6,"Category2","Four-Year"))/$B223)*100</f>
        <v>0</v>
      </c>
      <c r="J223" s="30">
        <f>IF($B223&gt;0,(GETPIVOTDATA(" New Life Insurance",'$ Pivot Table'!$A$3,"State","WV","Category",6,"Category2","Four-Year"))/$B223)*100</f>
        <v>0.11987055445283287</v>
      </c>
      <c r="K223" s="30"/>
      <c r="L223" s="30">
        <f>IF($B223&gt;0,(GETPIVOTDATA(" New Worker's Comp",'$ Pivot Table'!$A$3,"State","WV","Category",6,"Category2","Four-Year"))/$B223)*100</f>
        <v>0.57838447191163067</v>
      </c>
      <c r="M223" s="30">
        <f>IF($B223&gt;0,(GETPIVOTDATA(" New Tuition Plans",'$ Pivot Table'!$A$3,"State","WV","Category",6,"Category2","Four-Year"))/$B223)*100</f>
        <v>0</v>
      </c>
      <c r="N223" s="30">
        <f>IF($B223&gt;0,(GETPIVOTDATA(" New Other",'$ Pivot Table'!$A$3,"State","WV","Category",6,"Category2","Four-Year"))/$B223)*100</f>
        <v>0</v>
      </c>
      <c r="O223" s="115">
        <f>IF($B223&gt;0,(GETPIVOTDATA(" New Total",'$ Pivot Table'!$A$3,"State","WV","Category",6,"Category2","Four-Year"))/$B223)*100</f>
        <v>24.022628275150382</v>
      </c>
    </row>
    <row r="224" spans="1:15" ht="18" customHeight="1">
      <c r="A224" s="628" t="s">
        <v>14</v>
      </c>
      <c r="B224" s="45"/>
      <c r="C224" s="54"/>
      <c r="D224" s="54"/>
      <c r="E224" s="54"/>
      <c r="F224" s="54"/>
      <c r="G224" s="54"/>
      <c r="H224" s="54"/>
      <c r="I224" s="54"/>
      <c r="J224" s="54"/>
      <c r="K224" s="54"/>
      <c r="L224" s="54"/>
      <c r="M224" s="54"/>
      <c r="N224" s="54"/>
      <c r="O224" s="145"/>
    </row>
    <row r="225" spans="1:27">
      <c r="A225" s="629"/>
      <c r="O225" s="637" t="s">
        <v>1321</v>
      </c>
    </row>
    <row r="226" spans="1:27" ht="18">
      <c r="A226" s="595" t="s">
        <v>1107</v>
      </c>
      <c r="B226" s="48"/>
      <c r="C226" s="48"/>
      <c r="D226" s="48"/>
      <c r="E226" s="48"/>
      <c r="F226" s="48"/>
      <c r="G226" s="48"/>
      <c r="H226" s="48"/>
      <c r="I226" s="48"/>
      <c r="J226" s="48"/>
      <c r="K226" s="48"/>
      <c r="L226" s="48"/>
      <c r="M226" s="48"/>
      <c r="N226" s="48"/>
      <c r="O226" s="48"/>
    </row>
    <row r="227" spans="1:27">
      <c r="A227" s="622"/>
      <c r="B227" s="45"/>
      <c r="C227" s="54"/>
      <c r="D227" s="54"/>
      <c r="E227" s="54"/>
      <c r="F227" s="54"/>
      <c r="G227" s="54"/>
      <c r="H227" s="54"/>
      <c r="I227" s="54"/>
      <c r="J227" s="54"/>
      <c r="K227" s="54"/>
      <c r="L227" s="54"/>
      <c r="M227" s="54"/>
      <c r="N227" s="54"/>
      <c r="O227" s="145"/>
    </row>
    <row r="228" spans="1:27" ht="15.75">
      <c r="A228" s="640" t="s">
        <v>466</v>
      </c>
      <c r="B228" s="641"/>
      <c r="C228" s="641"/>
      <c r="D228" s="641"/>
      <c r="E228" s="641"/>
      <c r="F228" s="641"/>
      <c r="G228" s="641"/>
      <c r="H228" s="641"/>
      <c r="I228" s="641"/>
      <c r="J228" s="641"/>
      <c r="K228" s="641"/>
      <c r="L228" s="641"/>
      <c r="M228" s="641"/>
      <c r="N228" s="641"/>
      <c r="O228" s="641"/>
    </row>
    <row r="229" spans="1:27" ht="15.75">
      <c r="A229" s="640" t="s">
        <v>1075</v>
      </c>
      <c r="B229" s="641"/>
      <c r="C229" s="641"/>
      <c r="D229" s="641"/>
      <c r="E229" s="641"/>
      <c r="F229" s="641"/>
      <c r="G229" s="641"/>
      <c r="H229" s="641"/>
      <c r="I229" s="641"/>
      <c r="J229" s="641"/>
      <c r="K229" s="641"/>
      <c r="L229" s="641"/>
      <c r="M229" s="641"/>
      <c r="N229" s="641"/>
      <c r="O229" s="641"/>
    </row>
    <row r="230" spans="1:27">
      <c r="A230" s="148"/>
      <c r="B230" s="45"/>
      <c r="C230" s="54"/>
      <c r="D230" s="54"/>
      <c r="E230" s="54"/>
      <c r="F230" s="54"/>
      <c r="G230" s="54"/>
      <c r="H230" s="54"/>
      <c r="I230" s="54"/>
      <c r="J230" s="54"/>
      <c r="K230" s="54"/>
      <c r="L230" s="54"/>
      <c r="M230" s="54"/>
      <c r="N230" s="54"/>
      <c r="O230" s="145"/>
    </row>
    <row r="231" spans="1:27">
      <c r="A231" s="623"/>
      <c r="B231" s="2" t="s">
        <v>473</v>
      </c>
      <c r="C231" s="643" t="s">
        <v>593</v>
      </c>
      <c r="D231" s="643"/>
      <c r="E231" s="643"/>
      <c r="F231" s="643"/>
      <c r="G231" s="643"/>
      <c r="H231" s="643"/>
      <c r="I231" s="643"/>
      <c r="J231" s="643"/>
      <c r="K231" s="643"/>
      <c r="L231" s="643"/>
      <c r="M231" s="643"/>
      <c r="N231" s="643"/>
      <c r="O231" s="643"/>
    </row>
    <row r="232" spans="1:27">
      <c r="A232" s="624"/>
      <c r="B232" s="4" t="s">
        <v>474</v>
      </c>
      <c r="C232" s="3" t="s">
        <v>660</v>
      </c>
      <c r="D232" s="3"/>
      <c r="E232" s="53"/>
      <c r="F232" s="53"/>
      <c r="G232" s="3" t="s">
        <v>661</v>
      </c>
      <c r="H232" s="3"/>
      <c r="I232" s="3" t="s">
        <v>662</v>
      </c>
      <c r="J232" s="3" t="s">
        <v>663</v>
      </c>
      <c r="K232" s="3"/>
      <c r="L232" s="3" t="s">
        <v>664</v>
      </c>
      <c r="M232" s="3" t="s">
        <v>665</v>
      </c>
      <c r="N232" s="3"/>
      <c r="O232" s="124" t="s">
        <v>475</v>
      </c>
    </row>
    <row r="233" spans="1:27">
      <c r="A233" s="625"/>
      <c r="B233" s="15" t="s">
        <v>476</v>
      </c>
      <c r="C233" s="16" t="s">
        <v>667</v>
      </c>
      <c r="D233" s="16" t="s">
        <v>708</v>
      </c>
      <c r="E233" s="17" t="s">
        <v>709</v>
      </c>
      <c r="F233" s="17"/>
      <c r="G233" s="16" t="s">
        <v>668</v>
      </c>
      <c r="H233" s="16"/>
      <c r="I233" s="16" t="s">
        <v>667</v>
      </c>
      <c r="J233" s="16" t="s">
        <v>669</v>
      </c>
      <c r="K233" s="16"/>
      <c r="L233" s="16" t="s">
        <v>670</v>
      </c>
      <c r="M233" s="16" t="s">
        <v>671</v>
      </c>
      <c r="N233" s="16" t="s">
        <v>701</v>
      </c>
      <c r="O233" s="146" t="s">
        <v>15</v>
      </c>
      <c r="R233" s="100"/>
      <c r="S233" s="100"/>
      <c r="T233" s="100"/>
      <c r="X233" s="117"/>
      <c r="Y233" s="117"/>
      <c r="Z233" s="117"/>
      <c r="AA233" s="117"/>
    </row>
    <row r="234" spans="1:27">
      <c r="A234" s="149" t="s">
        <v>600</v>
      </c>
      <c r="B234" s="33">
        <f>+'[2]OLD Tables'!J38</f>
        <v>51671.338241047022</v>
      </c>
      <c r="C234" s="32">
        <f>IF($B234&gt;0,(GETPIVOTDATA(" New Retirement",'$ Pivot Table'!$A$3,"Category2","Two-Year"))/$B234)*100</f>
        <v>10.368745845736441</v>
      </c>
      <c r="D234" s="32">
        <f>IF($B234&gt;0,(GETPIVOTDATA(" New Health",'$ Pivot Table'!$A$3,"Category2","Two-Year"))/$B234)*100</f>
        <v>11.589482803590016</v>
      </c>
      <c r="E234" s="32">
        <f>IF($B234&gt;0,(GETPIVOTDATA(" New Disability",'$ Pivot Table'!$A$3,"Category2","Two-Year"))/$B234)*100</f>
        <v>0.53874320404140463</v>
      </c>
      <c r="F234" s="32"/>
      <c r="G234" s="32">
        <f>IF($B234&gt;0,(GETPIVOTDATA(" New Social Security",'$ Pivot Table'!$A$3,"Category2","Two-Year"))/$B234)*100</f>
        <v>6.8906006460298137</v>
      </c>
      <c r="H234" s="32"/>
      <c r="I234" s="32">
        <f>IF($B234&gt;0,(GETPIVOTDATA(" New Unemployment",'$ Pivot Table'!$A$3,"Category2","Two-Year"))/$B234)*100</f>
        <v>0.35386209732645435</v>
      </c>
      <c r="J234" s="32">
        <f>IF($B234&gt;0,(GETPIVOTDATA(" New Life Insurance",'$ Pivot Table'!$A$3,"Category2","Two-Year"))/$B234)*100</f>
        <v>0.33615284689143482</v>
      </c>
      <c r="K234" s="32"/>
      <c r="L234" s="32">
        <f>IF($B234&gt;0,(GETPIVOTDATA(" New Worker's Comp",'$ Pivot Table'!$A$3,"Category2","Two-Year"))/$B234)*100</f>
        <v>0.57796986703298669</v>
      </c>
      <c r="M234" s="32">
        <f>IF($B234&gt;0,(GETPIVOTDATA(" New Tuition Plans",'$ Pivot Table'!$A$3,"Category2","Two-Year"))/$B234)*100</f>
        <v>1.1617759637557556</v>
      </c>
      <c r="N234" s="32">
        <f>IF($B234&gt;0,(GETPIVOTDATA(" New Other",'$ Pivot Table'!$A$3,"Category2","Two-Year"))/$B234)*100</f>
        <v>0.62140561207566913</v>
      </c>
      <c r="O234" s="90">
        <f>IF($B234&gt;0,(GETPIVOTDATA(" New Total",'$ Pivot Table'!$A$3,"Category2","Two-Year"))/$B234)*100</f>
        <v>27.158185918413086</v>
      </c>
      <c r="P234" s="6"/>
      <c r="R234" s="165"/>
      <c r="S234" s="167"/>
      <c r="T234" s="168"/>
      <c r="U234" s="6"/>
      <c r="X234" s="117"/>
      <c r="Y234" s="117"/>
      <c r="Z234" s="117"/>
      <c r="AA234" s="117"/>
    </row>
    <row r="235" spans="1:27">
      <c r="A235" s="149"/>
      <c r="B235" s="31">
        <f>+'[3]OLD Tables 107-126'!L39</f>
        <v>0</v>
      </c>
      <c r="C235" s="32"/>
      <c r="D235" s="34"/>
      <c r="E235" s="32"/>
      <c r="F235" s="32"/>
      <c r="G235" s="32"/>
      <c r="H235" s="32"/>
      <c r="I235" s="32"/>
      <c r="J235" s="32"/>
      <c r="K235" s="32"/>
      <c r="L235" s="32"/>
      <c r="M235" s="32"/>
      <c r="N235" s="32"/>
      <c r="O235" s="90"/>
      <c r="P235" s="6"/>
      <c r="R235" s="165"/>
      <c r="S235" s="167"/>
      <c r="T235" s="168"/>
      <c r="U235" s="6"/>
      <c r="X235" s="117"/>
      <c r="Y235" s="117"/>
      <c r="Z235" s="117"/>
      <c r="AA235" s="117"/>
    </row>
    <row r="236" spans="1:27">
      <c r="A236" s="149" t="s">
        <v>479</v>
      </c>
      <c r="B236" s="617">
        <f>+'[2]OLD Tables'!J40</f>
        <v>53422.743054463281</v>
      </c>
      <c r="C236" s="32">
        <f>IF($B236&gt;0,(GETPIVOTDATA(" New Retirement",'$ Pivot Table'!$A$3,"State","AL","Category2","Two-Year"))/$B236)*100</f>
        <v>12.403642117978448</v>
      </c>
      <c r="D236" s="32">
        <f>IF($B236&gt;0,(GETPIVOTDATA(" New Health",'$ Pivot Table'!$A$3,"State","AL","Category2","Two-Year"))/$B236)*100</f>
        <v>16.897114558011022</v>
      </c>
      <c r="E236" s="32">
        <f>IF($B236&gt;0,(GETPIVOTDATA(" New Disability",'$ Pivot Table'!$A$3,"State","AL","Category2","Two-Year"))/$B236)*100</f>
        <v>0</v>
      </c>
      <c r="F236" s="32"/>
      <c r="G236" s="32">
        <f>IF($B236&gt;0,(GETPIVOTDATA(" New Social Security",'$ Pivot Table'!$A$3,"State","AL","Category2","Two-Year"))/$B236)*100</f>
        <v>7.5474398539007543</v>
      </c>
      <c r="H236" s="32"/>
      <c r="I236" s="32">
        <f>IF($B236&gt;0,(GETPIVOTDATA(" New Unemployment",'$ Pivot Table'!$A$3,"State","AL","Category2","Two-Year"))/$B236)*100</f>
        <v>0.29636181989734772</v>
      </c>
      <c r="J236" s="32">
        <f>IF($B236&gt;0,(GETPIVOTDATA(" New Life Insurance",'$ Pivot Table'!$A$3,"State","AL","Category2","Two-Year"))/$B236)*100</f>
        <v>0</v>
      </c>
      <c r="K236" s="32"/>
      <c r="L236" s="32">
        <f>IF($B236&gt;0,(GETPIVOTDATA(" New Worker's Comp",'$ Pivot Table'!$A$3,"State","AL","Category2","Two-Year"))/$B236)*100</f>
        <v>0</v>
      </c>
      <c r="M236" s="32">
        <f>IF($B236&gt;0,(GETPIVOTDATA(" New Tuition Plans",'$ Pivot Table'!$A$3,"State","AL","Category2","Two-Year"))/$B236)*100</f>
        <v>2.4563773327879712</v>
      </c>
      <c r="N236" s="32">
        <f>IF($B236&gt;0,(GETPIVOTDATA(" New Other",'$ Pivot Table'!$A$3,"State","AL","Category2","Two-Year"))/$B236)*100</f>
        <v>0</v>
      </c>
      <c r="O236" s="90">
        <f>IF($B236&gt;0,(GETPIVOTDATA(" New Total",'$ Pivot Table'!$A$3,"State","AL","Category2","Two-Year"))/$B236)*100</f>
        <v>37.042686199200588</v>
      </c>
      <c r="P236" s="6"/>
      <c r="Q236" s="165"/>
      <c r="R236" s="165"/>
      <c r="S236" s="167"/>
      <c r="T236" s="168"/>
      <c r="U236" s="6"/>
      <c r="X236" s="117"/>
      <c r="Y236" s="117"/>
      <c r="Z236" s="117"/>
      <c r="AA236" s="117"/>
    </row>
    <row r="237" spans="1:27">
      <c r="A237" s="149" t="s">
        <v>480</v>
      </c>
      <c r="B237" s="617">
        <f>+'[2]OLD Tables'!J41</f>
        <v>43555.944535703915</v>
      </c>
      <c r="C237" s="32">
        <f>IF($B237&gt;0,(GETPIVOTDATA(" New Retirement",'$ Pivot Table'!$A$3,"State","AR","Category2","Two-Year"))/$B237)*100</f>
        <v>11.969868922139872</v>
      </c>
      <c r="D237" s="32">
        <f>IF($B237&gt;0,(GETPIVOTDATA(" New Health",'$ Pivot Table'!$A$3,"State","AR","Category2","Two-Year"))/$B237)*100</f>
        <v>11.908765247536586</v>
      </c>
      <c r="E237" s="32">
        <f>IF($B237&gt;0,(GETPIVOTDATA(" New Disability",'$ Pivot Table'!$A$3,"State","AR","Category2","Two-Year"))/$B237)*100</f>
        <v>0.37724569383491746</v>
      </c>
      <c r="F237" s="32"/>
      <c r="G237" s="32">
        <f>IF($B237&gt;0,(GETPIVOTDATA(" New Social Security",'$ Pivot Table'!$A$3,"State","AR","Category2","Two-Year"))/$B237)*100</f>
        <v>7.4203233339571568</v>
      </c>
      <c r="H237" s="32"/>
      <c r="I237" s="32">
        <f>IF($B237&gt;0,(GETPIVOTDATA(" New Unemployment",'$ Pivot Table'!$A$3,"State","AR","Category2","Two-Year"))/$B237)*100</f>
        <v>0.52079727275057608</v>
      </c>
      <c r="J237" s="32">
        <f>IF($B237&gt;0,(GETPIVOTDATA(" New Life Insurance",'$ Pivot Table'!$A$3,"State","AR","Category2","Two-Year"))/$B237)*100</f>
        <v>0.28087246879340183</v>
      </c>
      <c r="K237" s="32"/>
      <c r="L237" s="32">
        <f>IF($B237&gt;0,(GETPIVOTDATA(" New Worker's Comp",'$ Pivot Table'!$A$3,"State","AR","Category2","Two-Year"))/$B237)*100</f>
        <v>9.6014107064608362E-2</v>
      </c>
      <c r="M237" s="32">
        <f>IF($B237&gt;0,(GETPIVOTDATA(" New Tuition Plans",'$ Pivot Table'!$A$3,"State","AR","Category2","Two-Year"))/$B237)*100</f>
        <v>1.9894392300659209</v>
      </c>
      <c r="N237" s="32">
        <f>IF($B237&gt;0,(GETPIVOTDATA(" New Other",'$ Pivot Table'!$A$3,"State","AR","Category2","Two-Year"))/$B237)*100</f>
        <v>0</v>
      </c>
      <c r="O237" s="90">
        <f>IF($B237&gt;0,(GETPIVOTDATA(" New Total",'$ Pivot Table'!$A$3,"State","AR","Category2","Two-Year"))/$B237)*100</f>
        <v>30.480398656498831</v>
      </c>
      <c r="P237" s="6"/>
      <c r="Q237" s="165"/>
      <c r="R237" s="165"/>
      <c r="S237" s="167"/>
      <c r="T237" s="168"/>
      <c r="U237" s="6"/>
      <c r="X237" s="117"/>
      <c r="Y237" s="117"/>
      <c r="Z237" s="117"/>
      <c r="AA237" s="117"/>
    </row>
    <row r="238" spans="1:27">
      <c r="A238" s="149" t="s">
        <v>494</v>
      </c>
      <c r="B238" s="617">
        <f>+'[2]OLD Tables'!J42</f>
        <v>62779.514551595748</v>
      </c>
      <c r="C238" s="32">
        <f>IF($B238&gt;0,(GETPIVOTDATA(" New Retirement",'$ Pivot Table'!$A$3,"State","DE","Category2","Two-Year"))/$B238)*100</f>
        <v>17.829407269549343</v>
      </c>
      <c r="D238" s="32">
        <f>IF($B238&gt;0,(GETPIVOTDATA(" New Health",'$ Pivot Table'!$A$3,"State","DE","Category2","Two-Year"))/$B238)*100</f>
        <v>18.990561551957931</v>
      </c>
      <c r="E238" s="56">
        <f>IF($B238&gt;0,(GETPIVOTDATA(" New Disability",'$ Pivot Table'!$A$3,"State","DE","Category2","Two-Year"))/$B238)*100</f>
        <v>3.2738032341563181E-2</v>
      </c>
      <c r="F238" s="32"/>
      <c r="G238" s="32">
        <f>IF($B238&gt;0,(GETPIVOTDATA(" New Social Security",'$ Pivot Table'!$A$3,"State","DE","Category2","Two-Year"))/$B238)*100</f>
        <v>7.9299435752050176</v>
      </c>
      <c r="H238" s="32"/>
      <c r="I238" s="32">
        <f>IF($B238&gt;0,(GETPIVOTDATA(" New Unemployment",'$ Pivot Table'!$A$3,"State","DE","Category2","Two-Year"))/$B238)*100</f>
        <v>0.18790962440948253</v>
      </c>
      <c r="J238" s="32">
        <f>IF($B238&gt;0,(GETPIVOTDATA(" New Life Insurance",'$ Pivot Table'!$A$3,"State","DE","Category2","Two-Year"))/$B238)*100</f>
        <v>0.32795153934000376</v>
      </c>
      <c r="K238" s="32"/>
      <c r="L238" s="32">
        <f>IF($B238&gt;0,(GETPIVOTDATA(" New Worker's Comp",'$ Pivot Table'!$A$3,"State","DE","Category2","Two-Year"))/$B238)*100</f>
        <v>2.0213598373498587</v>
      </c>
      <c r="M238" s="32">
        <f>IF($B238&gt;0,(GETPIVOTDATA(" New Tuition Plans",'$ Pivot Table'!$A$3,"State","DE","Category2","Two-Year"))/$B238)*100</f>
        <v>0</v>
      </c>
      <c r="N238" s="32">
        <f>IF($B238&gt;0,(GETPIVOTDATA(" New Other",'$ Pivot Table'!$A$3,"State","DE","Category2","Two-Year"))/$B238)*100</f>
        <v>0</v>
      </c>
      <c r="O238" s="90">
        <f>IF($B238&gt;0,(GETPIVOTDATA(" New Total",'$ Pivot Table'!$A$3,"State","DE","Category2","Two-Year"))/$B238)*100</f>
        <v>44.101673272131485</v>
      </c>
      <c r="P238" s="6"/>
      <c r="Q238" s="166"/>
      <c r="R238" s="166"/>
      <c r="S238" s="167"/>
      <c r="T238" s="168"/>
      <c r="U238" s="6"/>
      <c r="X238" s="117"/>
      <c r="Y238" s="117"/>
      <c r="Z238" s="117"/>
      <c r="AA238" s="117"/>
    </row>
    <row r="239" spans="1:27">
      <c r="A239" s="149" t="s">
        <v>481</v>
      </c>
      <c r="B239" s="617">
        <f>+'[2]OLD Tables'!J43</f>
        <v>53625.516518784214</v>
      </c>
      <c r="C239" s="32">
        <f>IF($B239&gt;0,(GETPIVOTDATA(" New Retirement",'$ Pivot Table'!$A$3,"State","FL","Category2","Two-Year"))/$B239)*100</f>
        <v>11.29668724478716</v>
      </c>
      <c r="D239" s="32">
        <f>IF($B239&gt;0,(GETPIVOTDATA(" New Health",'$ Pivot Table'!$A$3,"State","FL","Category2","Two-Year"))/$B239)*100</f>
        <v>11.379695311860948</v>
      </c>
      <c r="E239" s="32">
        <f>IF($B239&gt;0,(GETPIVOTDATA(" New Disability",'$ Pivot Table'!$A$3,"State","FL","Category2","Two-Year"))/$B239)*100</f>
        <v>0.34391118618280725</v>
      </c>
      <c r="F239" s="32"/>
      <c r="G239" s="32">
        <f>IF($B239&gt;0,(GETPIVOTDATA(" New Social Security",'$ Pivot Table'!$A$3,"State","FL","Category2","Two-Year"))/$B239)*100</f>
        <v>8.0840340105913118</v>
      </c>
      <c r="H239" s="32"/>
      <c r="I239" s="32">
        <f>IF($B239&gt;0,(GETPIVOTDATA(" New Unemployment",'$ Pivot Table'!$A$3,"State","FL","Category2","Two-Year"))/$B239)*100</f>
        <v>0.45792582647974611</v>
      </c>
      <c r="J239" s="32">
        <f>IF($B239&gt;0,(GETPIVOTDATA(" New Life Insurance",'$ Pivot Table'!$A$3,"State","FL","Category2","Two-Year"))/$B239)*100</f>
        <v>0.31242221923140223</v>
      </c>
      <c r="K239" s="32"/>
      <c r="L239" s="32">
        <f>IF($B239&gt;0,(GETPIVOTDATA(" New Worker's Comp",'$ Pivot Table'!$A$3,"State","FL","Category2","Two-Year"))/$B239)*100</f>
        <v>0.99166724271433881</v>
      </c>
      <c r="M239" s="32">
        <f>IF($B239&gt;0,(GETPIVOTDATA(" New Tuition Plans",'$ Pivot Table'!$A$3,"State","FL","Category2","Two-Year"))/$B239)*100</f>
        <v>0.55047088831201374</v>
      </c>
      <c r="N239" s="32">
        <f>IF($B239&gt;0,(GETPIVOTDATA(" New Other",'$ Pivot Table'!$A$3,"State","FL","Category2","Two-Year"))/$B239)*100</f>
        <v>0.18157469930618381</v>
      </c>
      <c r="O239" s="90">
        <f>IF($B239&gt;0,(GETPIVOTDATA(" New Total",'$ Pivot Table'!$A$3,"State","FL","Category2","Two-Year"))/$B239)*100</f>
        <v>31.742394566023918</v>
      </c>
      <c r="P239" s="6"/>
      <c r="Q239" s="165"/>
      <c r="R239" s="165"/>
      <c r="S239" s="167"/>
      <c r="T239" s="168"/>
      <c r="U239" s="6"/>
      <c r="X239" s="117"/>
      <c r="Y239" s="117"/>
      <c r="Z239" s="117"/>
      <c r="AA239" s="117"/>
    </row>
    <row r="240" spans="1:27">
      <c r="A240" s="149"/>
      <c r="B240" s="617">
        <f>+'[2]OLD Tables'!J44</f>
        <v>0</v>
      </c>
      <c r="C240" s="32"/>
      <c r="D240" s="32"/>
      <c r="E240" s="32"/>
      <c r="F240" s="32"/>
      <c r="G240" s="32"/>
      <c r="H240" s="32"/>
      <c r="I240" s="32"/>
      <c r="J240" s="32"/>
      <c r="K240" s="32"/>
      <c r="L240" s="32"/>
      <c r="M240" s="32"/>
      <c r="N240" s="32"/>
      <c r="O240" s="90"/>
      <c r="P240" s="6"/>
      <c r="Q240" s="165"/>
      <c r="R240" s="165"/>
      <c r="S240" s="167"/>
      <c r="T240" s="168"/>
      <c r="U240" s="6"/>
      <c r="X240" s="117"/>
      <c r="Y240" s="117"/>
      <c r="Z240" s="117"/>
      <c r="AA240" s="117"/>
    </row>
    <row r="241" spans="1:27">
      <c r="A241" s="149" t="s">
        <v>482</v>
      </c>
      <c r="B241" s="617">
        <f>+'[2]OLD Tables'!J45</f>
        <v>48163.168765206508</v>
      </c>
      <c r="C241" s="32">
        <f>IF($B241&gt;0,(GETPIVOTDATA(" New Retirement",'$ Pivot Table'!$A$3,"State","GA","Category2","Two-Year"))/$B241)*100</f>
        <v>9.7836585171616566</v>
      </c>
      <c r="D241" s="32">
        <f>IF($B241&gt;0,(GETPIVOTDATA(" New Health",'$ Pivot Table'!$A$3,"State","GA","Category2","Two-Year"))/$B241)*100</f>
        <v>13.094791036892413</v>
      </c>
      <c r="E241" s="32">
        <f>IF($B241&gt;0,(GETPIVOTDATA(" New Disability",'$ Pivot Table'!$A$3,"State","GA","Category2","Two-Year"))/$B241)*100</f>
        <v>0</v>
      </c>
      <c r="F241" s="32"/>
      <c r="G241" s="32">
        <f>IF($B241&gt;0,(GETPIVOTDATA(" New Social Security",'$ Pivot Table'!$A$3,"State","GA","Category2","Two-Year"))/$B241)*100</f>
        <v>7.3741486359454909</v>
      </c>
      <c r="H241" s="32"/>
      <c r="I241" s="32">
        <f>IF($B241&gt;0,(GETPIVOTDATA(" New Unemployment",'$ Pivot Table'!$A$3,"State","GA","Category2","Two-Year"))/$B241)*100</f>
        <v>0.29275482410090015</v>
      </c>
      <c r="J241" s="32">
        <f>IF($B241&gt;0,(GETPIVOTDATA(" New Life Insurance",'$ Pivot Table'!$A$3,"State","GA","Category2","Two-Year"))/$B241)*100</f>
        <v>0.3607529338190929</v>
      </c>
      <c r="K241" s="32"/>
      <c r="L241" s="32">
        <f>IF($B241&gt;0,(GETPIVOTDATA(" New Worker's Comp",'$ Pivot Table'!$A$3,"State","GA","Category2","Two-Year"))/$B241)*100</f>
        <v>0.26286274434077406</v>
      </c>
      <c r="M241" s="32">
        <f>IF($B241&gt;0,(GETPIVOTDATA(" New Tuition Plans",'$ Pivot Table'!$A$3,"State","GA","Category2","Two-Year"))/$B241)*100</f>
        <v>0</v>
      </c>
      <c r="N241" s="32">
        <f>IF($B241&gt;0,(GETPIVOTDATA(" New Other",'$ Pivot Table'!$A$3,"State","GA","Category2","Two-Year"))/$B241)*100</f>
        <v>0</v>
      </c>
      <c r="O241" s="90">
        <f>IF($B241&gt;0,(GETPIVOTDATA(" New Total",'$ Pivot Table'!$A$3,"State","GA","Category2","Two-Year"))/$B241)*100</f>
        <v>29.035871984735774</v>
      </c>
      <c r="P241" s="6"/>
      <c r="Q241" s="165"/>
      <c r="R241" s="165"/>
      <c r="S241" s="167"/>
      <c r="T241" s="168"/>
      <c r="U241" s="6"/>
      <c r="X241" s="117"/>
      <c r="Y241" s="117"/>
      <c r="Z241" s="117"/>
      <c r="AA241" s="117"/>
    </row>
    <row r="242" spans="1:27">
      <c r="A242" s="149" t="s">
        <v>483</v>
      </c>
      <c r="B242" s="617">
        <f>+'[2]OLD Tables'!J46</f>
        <v>48895.956974046676</v>
      </c>
      <c r="C242" s="32">
        <f>IF($B242&gt;0,(GETPIVOTDATA(" New Retirement",'$ Pivot Table'!$A$3,"State","KY","Category2","Two-Year"))/$B242)*100</f>
        <v>11.156981681575989</v>
      </c>
      <c r="D242" s="32">
        <f>IF($B242&gt;0,(GETPIVOTDATA(" New Health",'$ Pivot Table'!$A$3,"State","KY","Category2","Two-Year"))/$B242)*100</f>
        <v>15.120978297199331</v>
      </c>
      <c r="E242" s="32">
        <f>IF($B242&gt;0,(GETPIVOTDATA(" New Disability",'$ Pivot Table'!$A$3,"State","KY","Category2","Two-Year"))/$B242)*100</f>
        <v>0</v>
      </c>
      <c r="F242" s="32"/>
      <c r="G242" s="32">
        <f>IF($B242&gt;0,(GETPIVOTDATA(" New Social Security",'$ Pivot Table'!$A$3,"State","KY","Category2","Two-Year"))/$B242)*100</f>
        <v>6.3019916623247321</v>
      </c>
      <c r="H242" s="32"/>
      <c r="I242" s="32">
        <f>IF($B242&gt;0,(GETPIVOTDATA(" New Unemployment",'$ Pivot Table'!$A$3,"State","KY","Category2","Two-Year"))/$B242)*100</f>
        <v>0</v>
      </c>
      <c r="J242" s="56">
        <f>IF($B242&gt;0,(GETPIVOTDATA(" New Life Insurance",'$ Pivot Table'!$A$3,"State","KY","Category2","Two-Year"))/$B242)*100</f>
        <v>3.3952882035545792E-2</v>
      </c>
      <c r="K242" s="32"/>
      <c r="L242" s="32">
        <f>IF($B242&gt;0,(GETPIVOTDATA(" New Worker's Comp",'$ Pivot Table'!$A$3,"State","KY","Category2","Two-Year"))/$B242)*100</f>
        <v>0</v>
      </c>
      <c r="M242" s="32">
        <f>IF($B242&gt;0,(GETPIVOTDATA(" New Tuition Plans",'$ Pivot Table'!$A$3,"State","KY","Category2","Two-Year"))/$B242)*100</f>
        <v>1.9880517393143333</v>
      </c>
      <c r="N242" s="32">
        <f>IF($B242&gt;0,(GETPIVOTDATA(" New Other",'$ Pivot Table'!$A$3,"State","KY","Category2","Two-Year"))/$B242)*100</f>
        <v>0</v>
      </c>
      <c r="O242" s="90">
        <f>IF($B242&gt;0,(GETPIVOTDATA(" New Total",'$ Pivot Table'!$A$3,"State","KY","Category2","Two-Year"))/$B242)*100</f>
        <v>31.910732266018783</v>
      </c>
      <c r="P242" s="6"/>
      <c r="Q242" s="165"/>
      <c r="R242" s="165"/>
      <c r="S242" s="167"/>
      <c r="T242" s="168"/>
      <c r="U242" s="6"/>
      <c r="X242" s="117"/>
      <c r="Y242" s="117"/>
      <c r="Z242" s="117"/>
      <c r="AA242" s="117"/>
    </row>
    <row r="243" spans="1:27">
      <c r="A243" s="149" t="s">
        <v>484</v>
      </c>
      <c r="B243" s="617">
        <f>+'[2]OLD Tables'!J47</f>
        <v>50586.574676866359</v>
      </c>
      <c r="C243" s="32">
        <f>IF($B243&gt;0,(GETPIVOTDATA(" New Retirement",'$ Pivot Table'!$A$3,"State","LA","Category2","Two-Year"))/$B243)*100</f>
        <v>13.419899211948364</v>
      </c>
      <c r="D243" s="32">
        <f>IF($B243&gt;0,(GETPIVOTDATA(" New Health",'$ Pivot Table'!$A$3,"State","LA","Category2","Two-Year"))/$B243)*100</f>
        <v>7.6515328828777234</v>
      </c>
      <c r="E243" s="32">
        <f>IF($B243&gt;0,(GETPIVOTDATA(" New Disability",'$ Pivot Table'!$A$3,"State","LA","Category2","Two-Year"))/$B243)*100</f>
        <v>0</v>
      </c>
      <c r="F243" s="32"/>
      <c r="G243" s="90">
        <f>IF($B243&gt;0,(GETPIVOTDATA(" New Social Security",'$ Pivot Table'!$A$3,"State","LA","Category2","Two-Year"))/$B243)*100</f>
        <v>1.2493618126012638</v>
      </c>
      <c r="H243" s="91">
        <v>2</v>
      </c>
      <c r="I243" s="32">
        <f>IF($B243&gt;0,(GETPIVOTDATA(" New Unemployment",'$ Pivot Table'!$A$3,"State","LA","Category2","Two-Year"))/$B243)*100</f>
        <v>0.38882126192790017</v>
      </c>
      <c r="J243" s="32">
        <f>IF($B243&gt;0,(GETPIVOTDATA(" New Life Insurance",'$ Pivot Table'!$A$3,"State","LA","Category2","Two-Year"))/$B243)*100</f>
        <v>0.25653785822195063</v>
      </c>
      <c r="K243" s="32"/>
      <c r="L243" s="32">
        <f>IF($B243&gt;0,(GETPIVOTDATA(" New Worker's Comp",'$ Pivot Table'!$A$3,"State","LA","Category2","Two-Year"))/$B243)*100</f>
        <v>0.57353891167443072</v>
      </c>
      <c r="M243" s="32">
        <f>IF($B243&gt;0,(GETPIVOTDATA(" New Tuition Plans",'$ Pivot Table'!$A$3,"State","LA","Category2","Two-Year"))/$B243)*100</f>
        <v>0.69385998605775356</v>
      </c>
      <c r="N243" s="32">
        <f>IF($B243&gt;0,(GETPIVOTDATA(" New Other",'$ Pivot Table'!$A$3,"State","LA","Category2","Two-Year"))/$B243)*100</f>
        <v>0</v>
      </c>
      <c r="O243" s="90">
        <f>IF($B243&gt;0,(GETPIVOTDATA(" New Total",'$ Pivot Table'!$A$3,"State","LA","Category2","Two-Year"))/$B243)*100</f>
        <v>20.29447975942044</v>
      </c>
      <c r="P243" s="6"/>
      <c r="Q243" s="165"/>
      <c r="R243" s="165"/>
      <c r="S243" s="167"/>
      <c r="T243" s="168"/>
      <c r="U243" s="6"/>
      <c r="X243" s="117"/>
      <c r="Y243" s="117"/>
      <c r="Z243" s="117"/>
      <c r="AA243" s="117"/>
    </row>
    <row r="244" spans="1:27">
      <c r="A244" s="149" t="s">
        <v>485</v>
      </c>
      <c r="B244" s="617">
        <f>+'[2]OLD Tables'!J48</f>
        <v>66025.461728139242</v>
      </c>
      <c r="C244" s="32">
        <f>IF($B244&gt;0,(GETPIVOTDATA(" New Retirement",'$ Pivot Table'!$A$3,"State","MD","Category2","Two-Year"))/$B244)*100</f>
        <v>9.2851567694737476</v>
      </c>
      <c r="D244" s="32">
        <f>IF($B244&gt;0,(GETPIVOTDATA(" New Health",'$ Pivot Table'!$A$3,"State","MD","Category2","Two-Year"))/$B244)*100</f>
        <v>11.697166451191457</v>
      </c>
      <c r="E244" s="32">
        <f>IF($B244&gt;0,(GETPIVOTDATA(" New Disability",'$ Pivot Table'!$A$3,"State","MD","Category2","Two-Year"))/$B244)*100</f>
        <v>0.54316795500786696</v>
      </c>
      <c r="F244" s="32"/>
      <c r="G244" s="32">
        <f>IF($B244&gt;0,(GETPIVOTDATA(" New Social Security",'$ Pivot Table'!$A$3,"State","MD","Category2","Two-Year"))/$B244)*100</f>
        <v>7.5834203027039431</v>
      </c>
      <c r="H244" s="32"/>
      <c r="I244" s="32">
        <f>IF($B244&gt;0,(GETPIVOTDATA(" New Unemployment",'$ Pivot Table'!$A$3,"State","MD","Category2","Two-Year"))/$B244)*100</f>
        <v>0.19426799975107228</v>
      </c>
      <c r="J244" s="32">
        <f>IF($B244&gt;0,(GETPIVOTDATA(" New Life Insurance",'$ Pivot Table'!$A$3,"State","MD","Category2","Two-Year"))/$B244)*100</f>
        <v>0.31220765544914941</v>
      </c>
      <c r="K244" s="32"/>
      <c r="L244" s="32">
        <f>IF($B244&gt;0,(GETPIVOTDATA(" New Worker's Comp",'$ Pivot Table'!$A$3,"State","MD","Category2","Two-Year"))/$B244)*100</f>
        <v>0.36694624107817631</v>
      </c>
      <c r="M244" s="32">
        <f>IF($B244&gt;0,(GETPIVOTDATA(" New Tuition Plans",'$ Pivot Table'!$A$3,"State","MD","Category2","Two-Year"))/$B244)*100</f>
        <v>1.3865778441071455</v>
      </c>
      <c r="N244" s="32">
        <f>IF($B244&gt;0,(GETPIVOTDATA(" New Other",'$ Pivot Table'!$A$3,"State","MD","Category2","Two-Year"))/$B244)*100</f>
        <v>0.71839168732276903</v>
      </c>
      <c r="O244" s="90">
        <f>IF($B244&gt;0,(GETPIVOTDATA(" New Total",'$ Pivot Table'!$A$3,"State","MD","Category2","Two-Year"))/$B244)*100</f>
        <v>26.897923937045825</v>
      </c>
      <c r="P244" s="6"/>
      <c r="Q244" s="165"/>
      <c r="R244" s="165"/>
      <c r="S244" s="167"/>
      <c r="T244" s="168"/>
      <c r="U244" s="6"/>
      <c r="X244" s="117"/>
      <c r="Y244" s="117"/>
      <c r="Z244" s="117"/>
      <c r="AA244" s="117"/>
    </row>
    <row r="245" spans="1:27">
      <c r="A245" s="149"/>
      <c r="B245" s="617">
        <f>+'[2]OLD Tables'!J49</f>
        <v>0</v>
      </c>
      <c r="C245" s="32"/>
      <c r="D245" s="32"/>
      <c r="E245" s="32"/>
      <c r="F245" s="32"/>
      <c r="G245" s="32"/>
      <c r="H245" s="32"/>
      <c r="I245" s="32"/>
      <c r="J245" s="32"/>
      <c r="K245" s="32"/>
      <c r="L245" s="32"/>
      <c r="M245" s="32"/>
      <c r="N245" s="32"/>
      <c r="O245" s="90"/>
      <c r="P245" s="6"/>
      <c r="Q245" s="165"/>
      <c r="R245" s="165"/>
      <c r="S245" s="167"/>
      <c r="T245" s="168"/>
      <c r="U245" s="6"/>
      <c r="X245" s="117"/>
      <c r="Y245" s="117"/>
      <c r="Z245" s="117"/>
      <c r="AA245" s="117"/>
    </row>
    <row r="246" spans="1:27">
      <c r="A246" s="149" t="s">
        <v>486</v>
      </c>
      <c r="B246" s="617">
        <f>+'[2]OLD Tables'!J50</f>
        <v>48815.648814470456</v>
      </c>
      <c r="C246" s="32">
        <f>IF($B246&gt;0,(GETPIVOTDATA(" New Retirement",'$ Pivot Table'!$A$3,"State","MS","Category2","Two-Year"))/$B246)*100</f>
        <v>12.121369847721628</v>
      </c>
      <c r="D246" s="32">
        <f>IF($B246&gt;0,(GETPIVOTDATA(" New Health",'$ Pivot Table'!$A$3,"State","MS","Category2","Two-Year"))/$B246)*100</f>
        <v>8.5317684887596226</v>
      </c>
      <c r="E246" s="32">
        <f>IF($B246&gt;0,(GETPIVOTDATA(" New Disability",'$ Pivot Table'!$A$3,"State","MS","Category2","Two-Year"))/$B246)*100</f>
        <v>0</v>
      </c>
      <c r="F246" s="32"/>
      <c r="G246" s="32">
        <f>IF($B246&gt;0,(GETPIVOTDATA(" New Social Security",'$ Pivot Table'!$A$3,"State","MS","Category2","Two-Year"))/$B246)*100</f>
        <v>7.7273751251627738</v>
      </c>
      <c r="H246" s="32"/>
      <c r="I246" s="32">
        <f>IF($B246&gt;0,(GETPIVOTDATA(" New Unemployment",'$ Pivot Table'!$A$3,"State","MS","Category2","Two-Year"))/$B246)*100</f>
        <v>0.10370344315053719</v>
      </c>
      <c r="J246" s="32">
        <f>IF($B246&gt;0,(GETPIVOTDATA(" New Life Insurance",'$ Pivot Table'!$A$3,"State","MS","Category2","Two-Year"))/$B246)*100</f>
        <v>0.2525282597280456</v>
      </c>
      <c r="K246" s="32"/>
      <c r="L246" s="32">
        <f>IF($B246&gt;0,(GETPIVOTDATA(" New Worker's Comp",'$ Pivot Table'!$A$3,"State","MS","Category2","Two-Year"))/$B246)*100</f>
        <v>0.66697119934325699</v>
      </c>
      <c r="M246" s="32">
        <f>IF($B246&gt;0,(GETPIVOTDATA(" New Tuition Plans",'$ Pivot Table'!$A$3,"State","MS","Category2","Two-Year"))/$B246)*100</f>
        <v>0</v>
      </c>
      <c r="N246" s="32">
        <f>IF($B246&gt;0,(GETPIVOTDATA(" New Other",'$ Pivot Table'!$A$3,"State","MS","Category2","Two-Year"))/$B246)*100</f>
        <v>0.55287572474721336</v>
      </c>
      <c r="O246" s="90">
        <f>IF($B246&gt;0,(GETPIVOTDATA(" New Total",'$ Pivot Table'!$A$3,"State","MS","Category2","Two-Year"))/$B246)*100</f>
        <v>29.263935742569579</v>
      </c>
      <c r="P246" s="6"/>
      <c r="Q246" s="165"/>
      <c r="R246" s="165"/>
      <c r="S246" s="167"/>
      <c r="T246" s="168"/>
      <c r="U246" s="6"/>
      <c r="X246" s="117"/>
      <c r="Y246" s="117"/>
      <c r="Z246" s="117"/>
      <c r="AA246" s="117"/>
    </row>
    <row r="247" spans="1:27">
      <c r="A247" s="149" t="s">
        <v>487</v>
      </c>
      <c r="B247" s="617">
        <f>+'[2]OLD Tables'!J51</f>
        <v>47092.319545949307</v>
      </c>
      <c r="C247" s="32">
        <f>IF($B247&gt;0,(GETPIVOTDATA(" New Retirement",'$ Pivot Table'!$A$3,"State","NC","Category2","Two-Year"))/$B247)*100</f>
        <v>10.481017293102292</v>
      </c>
      <c r="D247" s="32">
        <f>IF($B247&gt;0,(GETPIVOTDATA(" New Health",'$ Pivot Table'!$A$3,"State","NC","Category2","Two-Year"))/$B247)*100</f>
        <v>9.6996722630187495</v>
      </c>
      <c r="E247" s="32">
        <f>IF($B247&gt;0,(GETPIVOTDATA(" New Disability",'$ Pivot Table'!$A$3,"State","NC","Category2","Two-Year"))/$B247)*100</f>
        <v>0.50579974624544377</v>
      </c>
      <c r="F247" s="32"/>
      <c r="G247" s="32">
        <f>IF($B247&gt;0,(GETPIVOTDATA(" New Social Security",'$ Pivot Table'!$A$3,"State","NC","Category2","Two-Year"))/$B247)*100</f>
        <v>7.7197213031656888</v>
      </c>
      <c r="H247" s="32"/>
      <c r="I247" s="32">
        <f>IF($B247&gt;0,(GETPIVOTDATA(" New Unemployment",'$ Pivot Table'!$A$3,"State","NC","Category2","Two-Year"))/$B247)*100</f>
        <v>0.60103400885776592</v>
      </c>
      <c r="J247" s="32">
        <f>IF($B247&gt;0,(GETPIVOTDATA(" New Life Insurance",'$ Pivot Table'!$A$3,"State","NC","Category2","Two-Year"))/$B247)*100</f>
        <v>0.17768928212062352</v>
      </c>
      <c r="K247" s="32"/>
      <c r="L247" s="32">
        <f>IF($B247&gt;0,(GETPIVOTDATA(" New Worker's Comp",'$ Pivot Table'!$A$3,"State","NC","Category2","Two-Year"))/$B247)*100</f>
        <v>0.27416686989809597</v>
      </c>
      <c r="M247" s="32">
        <f>IF($B247&gt;0,(GETPIVOTDATA(" New Tuition Plans",'$ Pivot Table'!$A$3,"State","NC","Category2","Two-Year"))/$B247)*100</f>
        <v>0</v>
      </c>
      <c r="N247" s="32">
        <f>IF($B247&gt;0,(GETPIVOTDATA(" New Other",'$ Pivot Table'!$A$3,"State","NC","Category2","Two-Year"))/$B247)*100</f>
        <v>0.47778491730580641</v>
      </c>
      <c r="O247" s="90">
        <f>IF($B247&gt;0,(GETPIVOTDATA(" New Total",'$ Pivot Table'!$A$3,"State","NC","Category2","Two-Year"))/$B247)*100</f>
        <v>27.685756796946787</v>
      </c>
      <c r="P247" s="6"/>
      <c r="Q247" s="165"/>
      <c r="R247" s="165"/>
      <c r="S247" s="167"/>
      <c r="T247" s="168"/>
      <c r="U247" s="6"/>
      <c r="X247" s="117"/>
      <c r="Y247" s="117"/>
      <c r="Z247" s="117"/>
      <c r="AA247" s="117"/>
    </row>
    <row r="248" spans="1:27">
      <c r="A248" s="149" t="s">
        <v>488</v>
      </c>
      <c r="B248" s="617">
        <f>+'[2]OLD Tables'!J52</f>
        <v>48888.647740705128</v>
      </c>
      <c r="C248" s="32">
        <f>IF($B248&gt;0,(GETPIVOTDATA(" New Retirement",'$ Pivot Table'!$A$3,"State","OK","Category2","Two-Year"))/$B248)*100</f>
        <v>21.024597796566464</v>
      </c>
      <c r="D248" s="32">
        <f>IF($B248&gt;0,(GETPIVOTDATA(" New Health",'$ Pivot Table'!$A$3,"State","OK","Category2","Two-Year"))/$B248)*100</f>
        <v>11.440978763599913</v>
      </c>
      <c r="E248" s="32">
        <f>IF($B248&gt;0,(GETPIVOTDATA(" New Disability",'$ Pivot Table'!$A$3,"State","OK","Category2","Two-Year"))/$B248)*100</f>
        <v>0</v>
      </c>
      <c r="F248" s="32"/>
      <c r="G248" s="32">
        <f>IF($B248&gt;0,(GETPIVOTDATA(" New Social Security",'$ Pivot Table'!$A$3,"State","OK","Category2","Two-Year"))/$B248)*100</f>
        <v>7.3080640981146958</v>
      </c>
      <c r="H248" s="32"/>
      <c r="I248" s="32">
        <f>IF($B248&gt;0,(GETPIVOTDATA(" New Unemployment",'$ Pivot Table'!$A$3,"State","OK","Category2","Two-Year"))/$B248)*100</f>
        <v>0.20585218484325288</v>
      </c>
      <c r="J248" s="32">
        <f>IF($B248&gt;0,(GETPIVOTDATA(" New Life Insurance",'$ Pivot Table'!$A$3,"State","OK","Category2","Two-Year"))/$B248)*100</f>
        <v>0.54002176188928896</v>
      </c>
      <c r="K248" s="32"/>
      <c r="L248" s="32">
        <f>IF($B248&gt;0,(GETPIVOTDATA(" New Worker's Comp",'$ Pivot Table'!$A$3,"State","OK","Category2","Two-Year"))/$B248)*100</f>
        <v>0.67202189964055004</v>
      </c>
      <c r="M248" s="32">
        <f>IF($B248&gt;0,(GETPIVOTDATA(" New Tuition Plans",'$ Pivot Table'!$A$3,"State","OK","Category2","Two-Year"))/$B248)*100</f>
        <v>0</v>
      </c>
      <c r="N248" s="32">
        <f>IF($B248&gt;0,(GETPIVOTDATA(" New Other",'$ Pivot Table'!$A$3,"State","OK","Category2","Two-Year"))/$B248)*100</f>
        <v>0.50999093127977879</v>
      </c>
      <c r="O248" s="90">
        <f>IF($B248&gt;0,(GETPIVOTDATA(" New Total",'$ Pivot Table'!$A$3,"State","OK","Category2","Two-Year"))/$B248)*100</f>
        <v>41.445887270456922</v>
      </c>
      <c r="P248" s="6"/>
      <c r="Q248" s="165"/>
      <c r="R248" s="165"/>
      <c r="S248" s="167"/>
      <c r="T248" s="168"/>
      <c r="U248" s="6"/>
      <c r="X248" s="117"/>
      <c r="Y248" s="117"/>
      <c r="Z248" s="117"/>
      <c r="AA248" s="117"/>
    </row>
    <row r="249" spans="1:27">
      <c r="A249" s="149" t="s">
        <v>489</v>
      </c>
      <c r="B249" s="617">
        <f>+'[2]OLD Tables'!J53</f>
        <v>46612.51484627225</v>
      </c>
      <c r="C249" s="32">
        <f>IF($B249&gt;0,(GETPIVOTDATA(" New Retirement",'$ Pivot Table'!$A$3,"State","SC","Category2","Two-Year"))/$B249)*100</f>
        <v>12.905015827680913</v>
      </c>
      <c r="D249" s="32">
        <f>IF($B249&gt;0,(GETPIVOTDATA(" New Health",'$ Pivot Table'!$A$3,"State","SC","Category2","Two-Year"))/$B249)*100</f>
        <v>9.493067456022878</v>
      </c>
      <c r="E249" s="32">
        <f>IF($B249&gt;0,(GETPIVOTDATA(" New Disability",'$ Pivot Table'!$A$3,"State","SC","Category2","Two-Year"))/$B249)*100</f>
        <v>7.4649622247040678E-2</v>
      </c>
      <c r="F249" s="32"/>
      <c r="G249" s="32">
        <f>IF($B249&gt;0,(GETPIVOTDATA(" New Social Security",'$ Pivot Table'!$A$3,"State","SC","Category2","Two-Year"))/$B249)*100</f>
        <v>7.4209923487068101</v>
      </c>
      <c r="H249" s="32"/>
      <c r="I249" s="32">
        <f>IF($B249&gt;0,(GETPIVOTDATA(" New Unemployment",'$ Pivot Table'!$A$3,"State","SC","Category2","Two-Year"))/$B249)*100</f>
        <v>0.29943930495171045</v>
      </c>
      <c r="J249" s="32">
        <f>IF($B249&gt;0,(GETPIVOTDATA(" New Life Insurance",'$ Pivot Table'!$A$3,"State","SC","Category2","Two-Year"))/$B249)*100</f>
        <v>8.4927371185029826E-2</v>
      </c>
      <c r="K249" s="32"/>
      <c r="L249" s="32">
        <f>IF($B249&gt;0,(GETPIVOTDATA(" New Worker's Comp",'$ Pivot Table'!$A$3,"State","SC","Category2","Two-Year"))/$B249)*100</f>
        <v>0.89769531034643923</v>
      </c>
      <c r="M249" s="32">
        <f>IF($B249&gt;0,(GETPIVOTDATA(" New Tuition Plans",'$ Pivot Table'!$A$3,"State","SC","Category2","Two-Year"))/$B249)*100</f>
        <v>0</v>
      </c>
      <c r="N249" s="32">
        <f>IF($B249&gt;0,(GETPIVOTDATA(" New Other",'$ Pivot Table'!$A$3,"State","SC","Category2","Two-Year"))/$B249)*100</f>
        <v>0</v>
      </c>
      <c r="O249" s="90">
        <f>IF($B249&gt;0,(GETPIVOTDATA(" New Total",'$ Pivot Table'!$A$3,"State","SC","Category2","Two-Year"))/$B249)*100</f>
        <v>30.931685589595769</v>
      </c>
      <c r="P249" s="6"/>
      <c r="Q249" s="165"/>
      <c r="R249" s="165"/>
      <c r="S249" s="167"/>
      <c r="T249" s="168"/>
      <c r="U249" s="6"/>
      <c r="X249" s="117"/>
      <c r="Y249" s="117"/>
      <c r="Z249" s="117"/>
      <c r="AA249" s="117"/>
    </row>
    <row r="250" spans="1:27">
      <c r="A250" s="149"/>
      <c r="B250" s="617">
        <f>+'[2]OLD Tables'!J54</f>
        <v>0</v>
      </c>
      <c r="C250" s="32"/>
      <c r="D250" s="32"/>
      <c r="E250" s="32"/>
      <c r="F250" s="32"/>
      <c r="G250" s="32"/>
      <c r="H250" s="32"/>
      <c r="I250" s="32"/>
      <c r="J250" s="32"/>
      <c r="K250" s="32"/>
      <c r="L250" s="32"/>
      <c r="M250" s="32"/>
      <c r="N250" s="32"/>
      <c r="O250" s="90"/>
      <c r="P250" s="6"/>
      <c r="Q250" s="165"/>
      <c r="R250" s="165"/>
      <c r="S250" s="167"/>
      <c r="T250" s="168"/>
      <c r="U250" s="6"/>
      <c r="X250" s="117"/>
      <c r="Y250" s="117"/>
      <c r="Z250" s="117"/>
      <c r="AA250" s="117"/>
    </row>
    <row r="251" spans="1:27" ht="15.75" customHeight="1">
      <c r="A251" s="149" t="s">
        <v>490</v>
      </c>
      <c r="B251" s="617">
        <f>+'[2]OLD Tables'!J55</f>
        <v>46851.42012072177</v>
      </c>
      <c r="C251" s="28">
        <f>IF($B251&gt;0,(GETPIVOTDATA(" New Retirement",'$ Pivot Table'!$A$3,"State","TN","Category2","Two-Year"))/$B251)*100</f>
        <v>12.513620748437507</v>
      </c>
      <c r="D251" s="28">
        <f>IF($B251&gt;0,(GETPIVOTDATA(" New Health",'$ Pivot Table'!$A$3,"State","TN","Category2","Two-Year"))/$B251)*100</f>
        <v>19.509469007123105</v>
      </c>
      <c r="E251" s="28">
        <f>IF($B251&gt;0,(GETPIVOTDATA(" New Disability",'$ Pivot Table'!$A$3,"State","TN","Category2","Two-Year"))/$B251)*100</f>
        <v>0</v>
      </c>
      <c r="F251" s="28"/>
      <c r="G251" s="28">
        <f>IF($B251&gt;0,(GETPIVOTDATA(" New Social Security",'$ Pivot Table'!$A$3,"State","TN","Category2","Two-Year"))/$B251)*100</f>
        <v>7.6989642409619199</v>
      </c>
      <c r="H251" s="28"/>
      <c r="I251" s="28">
        <f>IF($B251&gt;0,(GETPIVOTDATA(" New Unemployment",'$ Pivot Table'!$A$3,"State","TN","Category2","Two-Year"))/$B251)*100</f>
        <v>0.57497641414175638</v>
      </c>
      <c r="J251" s="28">
        <f>IF($B251&gt;0,(GETPIVOTDATA(" New Life Insurance",'$ Pivot Table'!$A$3,"State","TN","Category2","Two-Year"))/$B251)*100</f>
        <v>0.1160179177011323</v>
      </c>
      <c r="K251" s="28"/>
      <c r="L251" s="28">
        <f>IF($B251&gt;0,(GETPIVOTDATA(" New Worker's Comp",'$ Pivot Table'!$A$3,"State","TN","Category2","Two-Year"))/$B251)*100</f>
        <v>0.33619964408003333</v>
      </c>
      <c r="M251" s="28">
        <f>IF($B251&gt;0,(GETPIVOTDATA(" New Tuition Plans",'$ Pivot Table'!$A$3,"State","TN","Category2","Two-Year"))/$B251)*100</f>
        <v>3.2385754373317415</v>
      </c>
      <c r="N251" s="28">
        <f>IF($B251&gt;0,(GETPIVOTDATA(" New Other",'$ Pivot Table'!$A$3,"State","TN","Category2","Two-Year"))/$B251)*100</f>
        <v>1.2215168821377682</v>
      </c>
      <c r="O251" s="86">
        <f>IF($B251&gt;0,(GETPIVOTDATA(" New Total",'$ Pivot Table'!$A$3,"State","TN","Category2","Two-Year"))/$B251)*100</f>
        <v>38.047846386820446</v>
      </c>
      <c r="P251" s="6"/>
      <c r="Q251" s="165"/>
      <c r="R251" s="165"/>
      <c r="S251" s="167"/>
      <c r="T251" s="168"/>
      <c r="U251" s="6"/>
      <c r="X251" s="117"/>
      <c r="Y251" s="117"/>
      <c r="Z251" s="117"/>
      <c r="AA251" s="117"/>
    </row>
    <row r="252" spans="1:27" ht="15.75" customHeight="1">
      <c r="A252" s="149" t="s">
        <v>491</v>
      </c>
      <c r="B252" s="617">
        <f>+'[2]OLD Tables'!J56</f>
        <v>53284.073586265818</v>
      </c>
      <c r="C252" s="28">
        <f>IF($B252&gt;0,(GETPIVOTDATA(" New Retirement",'$ Pivot Table'!$A$3,"State","TX","Category2","Two-Year"))/$B252)*100</f>
        <v>7.976960830423903</v>
      </c>
      <c r="D252" s="28">
        <f>IF($B252&gt;0,(GETPIVOTDATA(" New Health",'$ Pivot Table'!$A$3,"State","TX","Category2","Two-Year"))/$B252)*100</f>
        <v>11.453883009515584</v>
      </c>
      <c r="E252" s="28">
        <f>IF($B252&gt;0,(GETPIVOTDATA(" New Disability",'$ Pivot Table'!$A$3,"State","TX","Category2","Two-Year"))/$B252)*100</f>
        <v>0.68358030822381843</v>
      </c>
      <c r="F252" s="28"/>
      <c r="G252" s="28">
        <f>IF($B252&gt;0,(GETPIVOTDATA(" New Social Security",'$ Pivot Table'!$A$3,"State","TX","Category2","Two-Year"))/$B252)*100</f>
        <v>5.1655615282996523</v>
      </c>
      <c r="H252" s="28"/>
      <c r="I252" s="28">
        <f>IF($B252&gt;0,(GETPIVOTDATA(" New Unemployment",'$ Pivot Table'!$A$3,"State","TX","Category2","Two-Year"))/$B252)*100</f>
        <v>0.38962747126203234</v>
      </c>
      <c r="J252" s="28">
        <f>IF($B252&gt;0,(GETPIVOTDATA(" New Life Insurance",'$ Pivot Table'!$A$3,"State","TX","Category2","Two-Year"))/$B252)*100</f>
        <v>0.50132106859928627</v>
      </c>
      <c r="K252" s="28"/>
      <c r="L252" s="28">
        <f>IF($B252&gt;0,(GETPIVOTDATA(" New Worker's Comp",'$ Pivot Table'!$A$3,"State","TX","Category2","Two-Year"))/$B252)*100</f>
        <v>0.4137617929931221</v>
      </c>
      <c r="M252" s="28">
        <f>IF($B252&gt;0,(GETPIVOTDATA(" New Tuition Plans",'$ Pivot Table'!$A$3,"State","TX","Category2","Two-Year"))/$B252)*100</f>
        <v>0.68410443335806714</v>
      </c>
      <c r="N252" s="28">
        <f>IF($B252&gt;0,(GETPIVOTDATA(" New Other",'$ Pivot Table'!$A$3,"State","TX","Category2","Two-Year"))/$B252)*100</f>
        <v>0.67562402003136535</v>
      </c>
      <c r="O252" s="86">
        <f>IF($B252&gt;0,(GETPIVOTDATA(" New Total",'$ Pivot Table'!$A$3,"State","TX","Category2","Two-Year"))/$B252)*100</f>
        <v>20.573246671259824</v>
      </c>
      <c r="P252" s="6"/>
      <c r="Q252" s="165"/>
      <c r="R252" s="165"/>
      <c r="S252" s="167"/>
      <c r="T252" s="168"/>
      <c r="U252" s="6"/>
    </row>
    <row r="253" spans="1:27" ht="15.75" customHeight="1">
      <c r="A253" s="149" t="s">
        <v>492</v>
      </c>
      <c r="B253" s="617">
        <f>+'[2]OLD Tables'!J57</f>
        <v>57185.932421415615</v>
      </c>
      <c r="C253" s="28">
        <f>IF($B253&gt;0,(GETPIVOTDATA(" New Retirement",'$ Pivot Table'!$A$3,"State","VA","Category2","Two-Year"))/$B253)*100</f>
        <v>0</v>
      </c>
      <c r="D253" s="28">
        <f>IF($B253&gt;0,(GETPIVOTDATA(" New Health",'$ Pivot Table'!$A$3,"State","VA","Category2","Two-Year"))/$B253)*100</f>
        <v>0</v>
      </c>
      <c r="E253" s="28">
        <f>IF($B253&gt;0,(GETPIVOTDATA(" New Disability",'$ Pivot Table'!$A$3,"State","VA","Category2","Two-Year"))/$B253)*100</f>
        <v>0</v>
      </c>
      <c r="F253" s="28"/>
      <c r="G253" s="28">
        <f>IF($B253&gt;0,(GETPIVOTDATA(" New Social Security",'$ Pivot Table'!$A$3,"State","VA","Category2","Two-Year"))/$B253)*100</f>
        <v>0</v>
      </c>
      <c r="H253" s="28"/>
      <c r="I253" s="28">
        <f>IF($B253&gt;0,(GETPIVOTDATA(" New Unemployment",'$ Pivot Table'!$A$3,"State","VA","Category2","Two-Year"))/$B253)*100</f>
        <v>0</v>
      </c>
      <c r="J253" s="28">
        <f>IF($B253&gt;0,(GETPIVOTDATA(" New Life Insurance",'$ Pivot Table'!$A$3,"State","VA","Category2","Two-Year"))/$B253)*100</f>
        <v>0</v>
      </c>
      <c r="K253" s="28"/>
      <c r="L253" s="28">
        <f>IF($B253&gt;0,(GETPIVOTDATA(" New Worker's Comp",'$ Pivot Table'!$A$3,"State","VA","Category2","Two-Year"))/$B253)*100</f>
        <v>0</v>
      </c>
      <c r="M253" s="28">
        <f>IF($B253&gt;0,(GETPIVOTDATA(" New Tuition Plans",'$ Pivot Table'!$A$3,"State","VA","Category2","Two-Year"))/$B253)*100</f>
        <v>0</v>
      </c>
      <c r="N253" s="28">
        <f>IF($B253&gt;0,(GETPIVOTDATA(" New Other",'$ Pivot Table'!$A$3,"State","VA","Category2","Two-Year"))/$B253)*100</f>
        <v>0</v>
      </c>
      <c r="O253" s="86">
        <f>IF($B253&gt;0,(GETPIVOTDATA(" New Total",'$ Pivot Table'!$A$3,"State","VA","Category2","Two-Year"))/$B253)*100</f>
        <v>0</v>
      </c>
      <c r="P253" s="6"/>
      <c r="Q253" s="165"/>
      <c r="R253" s="165"/>
      <c r="S253" s="167"/>
      <c r="T253" s="168"/>
      <c r="U253" s="6"/>
    </row>
    <row r="254" spans="1:27" ht="15.75" customHeight="1">
      <c r="A254" s="630" t="s">
        <v>493</v>
      </c>
      <c r="B254" s="618">
        <f>+'[2]OLD Tables'!J58</f>
        <v>46675.424853383462</v>
      </c>
      <c r="C254" s="30">
        <f>IF($B254&gt;0,(GETPIVOTDATA(" New Retirement",'$ Pivot Table'!$A$3,"State","WV","Category2","Two-Year"))/$B254)*100</f>
        <v>6.077016141261173</v>
      </c>
      <c r="D254" s="30">
        <f>IF($B254&gt;0,(GETPIVOTDATA(" New Health",'$ Pivot Table'!$A$3,"State","WV","Category2","Two-Year"))/$B254)*100</f>
        <v>10.604334151356364</v>
      </c>
      <c r="E254" s="30">
        <f>IF($B254&gt;0,(GETPIVOTDATA(" New Disability",'$ Pivot Table'!$A$3,"State","WV","Category2","Two-Year"))/$B254)*100</f>
        <v>0</v>
      </c>
      <c r="F254" s="30"/>
      <c r="G254" s="30">
        <f>IF($B254&gt;0,(GETPIVOTDATA(" New Social Security",'$ Pivot Table'!$A$3,"State","WV","Category2","Two-Year"))/$B254)*100</f>
        <v>7.709344641221362</v>
      </c>
      <c r="H254" s="30"/>
      <c r="I254" s="30">
        <f>IF($B254&gt;0,(GETPIVOTDATA(" New Unemployment",'$ Pivot Table'!$A$3,"State","WV","Category2","Two-Year"))/$B254)*100</f>
        <v>0</v>
      </c>
      <c r="J254" s="30">
        <f>IF($B254&gt;0,(GETPIVOTDATA(" New Life Insurance",'$ Pivot Table'!$A$3,"State","WV","Category2","Two-Year"))/$B254)*100</f>
        <v>0.134622786379066</v>
      </c>
      <c r="K254" s="30"/>
      <c r="L254" s="30">
        <f>IF($B254&gt;0,(GETPIVOTDATA(" New Worker's Comp",'$ Pivot Table'!$A$3,"State","WV","Category2","Two-Year"))/$B254)*100</f>
        <v>0.57442175758119951</v>
      </c>
      <c r="M254" s="30">
        <f>IF($B254&gt;0,(GETPIVOTDATA(" New Tuition Plans",'$ Pivot Table'!$A$3,"State","WV","Category2","Two-Year"))/$B254)*100</f>
        <v>0</v>
      </c>
      <c r="N254" s="30">
        <f>IF($B254&gt;0,(GETPIVOTDATA(" New Other",'$ Pivot Table'!$A$3,"State","WV","Category2","Two-Year"))/$B254)*100</f>
        <v>0</v>
      </c>
      <c r="O254" s="115">
        <f>IF($B254&gt;0,(GETPIVOTDATA(" New Total",'$ Pivot Table'!$A$3,"State","WV","Category2","Two-Year"))/$B254)*100</f>
        <v>24.913166334631679</v>
      </c>
      <c r="P254" s="25"/>
      <c r="Q254" s="165"/>
      <c r="R254" s="165"/>
      <c r="S254" s="167"/>
      <c r="T254" s="168"/>
      <c r="U254" s="25"/>
    </row>
    <row r="255" spans="1:27">
      <c r="A255" s="627" t="s">
        <v>685</v>
      </c>
      <c r="B255" s="31"/>
      <c r="C255" s="28"/>
      <c r="D255" s="28"/>
      <c r="E255" s="28"/>
      <c r="F255" s="28"/>
      <c r="G255" s="28"/>
      <c r="H255" s="28"/>
      <c r="I255" s="28"/>
      <c r="J255" s="28"/>
      <c r="K255" s="28"/>
      <c r="L255" s="28"/>
      <c r="M255" s="28"/>
      <c r="N255" s="28"/>
      <c r="O255" s="86"/>
      <c r="Q255" s="116"/>
      <c r="R255" s="101"/>
      <c r="S255" s="103"/>
      <c r="T255" s="102"/>
      <c r="V255" s="117"/>
    </row>
    <row r="256" spans="1:27" ht="18" customHeight="1">
      <c r="A256" s="628" t="s">
        <v>14</v>
      </c>
      <c r="B256" s="45"/>
      <c r="C256" s="47"/>
      <c r="D256" s="47"/>
      <c r="E256" s="47"/>
      <c r="F256" s="47"/>
      <c r="G256" s="47"/>
      <c r="H256" s="47"/>
      <c r="I256" s="47"/>
      <c r="J256" s="47"/>
      <c r="K256" s="47"/>
      <c r="L256" s="47"/>
      <c r="M256" s="47"/>
      <c r="N256" s="47"/>
      <c r="O256" s="77"/>
      <c r="Q256" s="112"/>
    </row>
    <row r="257" spans="1:29" ht="18" customHeight="1">
      <c r="A257" s="628" t="s">
        <v>678</v>
      </c>
      <c r="B257" s="45"/>
      <c r="C257" s="54"/>
      <c r="D257" s="54"/>
      <c r="E257" s="54"/>
      <c r="F257" s="54"/>
      <c r="G257" s="54"/>
      <c r="H257" s="54"/>
      <c r="I257" s="54"/>
      <c r="J257" s="54"/>
      <c r="K257" s="54"/>
      <c r="L257" s="54"/>
      <c r="M257" s="54"/>
      <c r="N257" s="54"/>
      <c r="O257" s="145"/>
      <c r="Q257" s="152"/>
      <c r="R257" s="152"/>
      <c r="S257" s="152"/>
      <c r="T257" s="153"/>
      <c r="U257" s="152"/>
      <c r="V257" s="153"/>
      <c r="W257" s="152"/>
      <c r="X257" s="152"/>
      <c r="Y257" s="153"/>
      <c r="Z257" s="152"/>
      <c r="AA257" s="152"/>
      <c r="AB257" s="152"/>
      <c r="AC257" s="154"/>
    </row>
    <row r="258" spans="1:29">
      <c r="A258" s="629"/>
      <c r="B258" s="45"/>
      <c r="C258" s="54"/>
      <c r="D258" s="54"/>
      <c r="E258" s="54"/>
      <c r="F258" s="54"/>
      <c r="G258" s="54"/>
      <c r="H258" s="54"/>
      <c r="I258" s="54"/>
      <c r="J258" s="54"/>
      <c r="K258" s="54"/>
      <c r="L258" s="54"/>
      <c r="M258" s="54"/>
      <c r="N258" s="54"/>
      <c r="O258" s="637" t="s">
        <v>1321</v>
      </c>
    </row>
    <row r="259" spans="1:29" ht="18">
      <c r="A259" s="595" t="s">
        <v>1108</v>
      </c>
      <c r="B259" s="48"/>
      <c r="C259" s="48"/>
      <c r="D259" s="48"/>
      <c r="E259" s="48"/>
      <c r="F259" s="48"/>
      <c r="G259" s="48"/>
      <c r="H259" s="48"/>
      <c r="I259" s="48"/>
      <c r="J259" s="48"/>
      <c r="K259" s="48"/>
      <c r="L259" s="48"/>
      <c r="M259" s="48"/>
      <c r="N259" s="48"/>
      <c r="O259" s="48"/>
    </row>
    <row r="260" spans="1:29">
      <c r="A260" s="622"/>
      <c r="B260" s="50"/>
      <c r="C260" s="49"/>
      <c r="D260" s="49"/>
      <c r="E260" s="49"/>
      <c r="F260" s="49"/>
      <c r="G260" s="49"/>
      <c r="H260" s="49"/>
      <c r="I260" s="49"/>
      <c r="J260" s="49"/>
      <c r="K260" s="49"/>
      <c r="L260" s="49"/>
      <c r="M260" s="49"/>
      <c r="N260" s="49"/>
      <c r="O260" s="148"/>
    </row>
    <row r="261" spans="1:29" ht="15.75">
      <c r="A261" s="633" t="s">
        <v>466</v>
      </c>
      <c r="B261" s="48"/>
      <c r="C261" s="48"/>
      <c r="D261" s="48"/>
      <c r="E261" s="48"/>
      <c r="F261" s="48"/>
      <c r="G261" s="48"/>
      <c r="H261" s="48"/>
      <c r="I261" s="48"/>
      <c r="J261" s="48"/>
      <c r="K261" s="48"/>
      <c r="L261" s="48"/>
      <c r="M261" s="48"/>
      <c r="N261" s="48"/>
      <c r="O261" s="147"/>
    </row>
    <row r="262" spans="1:29" ht="15.75">
      <c r="A262" s="633" t="s">
        <v>1076</v>
      </c>
      <c r="B262" s="48"/>
      <c r="C262" s="48"/>
      <c r="D262" s="48"/>
      <c r="E262" s="48"/>
      <c r="F262" s="48"/>
      <c r="G262" s="48"/>
      <c r="H262" s="48"/>
      <c r="I262" s="48"/>
      <c r="J262" s="48"/>
      <c r="K262" s="48"/>
      <c r="L262" s="48"/>
      <c r="M262" s="48"/>
      <c r="N262" s="48"/>
      <c r="O262" s="147"/>
    </row>
    <row r="263" spans="1:29">
      <c r="A263" s="148"/>
      <c r="B263" s="45"/>
      <c r="C263" s="54"/>
      <c r="D263" s="54"/>
      <c r="E263" s="54"/>
      <c r="F263" s="54"/>
      <c r="G263" s="54"/>
      <c r="H263" s="54"/>
      <c r="I263" s="54"/>
      <c r="J263" s="54"/>
      <c r="K263" s="54"/>
      <c r="L263" s="54"/>
      <c r="M263" s="54"/>
      <c r="N263" s="54"/>
      <c r="O263" s="145"/>
    </row>
    <row r="264" spans="1:29">
      <c r="A264" s="634"/>
      <c r="B264" s="2" t="s">
        <v>473</v>
      </c>
      <c r="C264" s="63" t="s">
        <v>593</v>
      </c>
      <c r="D264" s="63"/>
      <c r="E264" s="63"/>
      <c r="F264" s="63"/>
      <c r="G264" s="63"/>
      <c r="H264" s="63"/>
      <c r="I264" s="63"/>
      <c r="J264" s="63"/>
      <c r="K264" s="63"/>
      <c r="L264" s="63"/>
      <c r="M264" s="63"/>
      <c r="N264" s="63"/>
      <c r="O264" s="136"/>
    </row>
    <row r="265" spans="1:29">
      <c r="A265" s="635"/>
      <c r="B265" s="4" t="s">
        <v>474</v>
      </c>
      <c r="C265" s="3" t="s">
        <v>660</v>
      </c>
      <c r="D265" s="3"/>
      <c r="E265" s="57"/>
      <c r="F265" s="57"/>
      <c r="G265" s="3" t="s">
        <v>661</v>
      </c>
      <c r="H265" s="3"/>
      <c r="I265" s="3" t="s">
        <v>662</v>
      </c>
      <c r="J265" s="3" t="s">
        <v>663</v>
      </c>
      <c r="K265" s="3"/>
      <c r="L265" s="3" t="s">
        <v>664</v>
      </c>
      <c r="M265" s="3" t="s">
        <v>665</v>
      </c>
      <c r="N265" s="3"/>
      <c r="O265" s="124" t="s">
        <v>475</v>
      </c>
    </row>
    <row r="266" spans="1:29">
      <c r="A266" s="636"/>
      <c r="B266" s="15" t="s">
        <v>476</v>
      </c>
      <c r="C266" s="16" t="s">
        <v>667</v>
      </c>
      <c r="D266" s="16" t="s">
        <v>708</v>
      </c>
      <c r="E266" s="17" t="s">
        <v>709</v>
      </c>
      <c r="F266" s="17"/>
      <c r="G266" s="16" t="s">
        <v>668</v>
      </c>
      <c r="H266" s="16"/>
      <c r="I266" s="16" t="s">
        <v>667</v>
      </c>
      <c r="J266" s="16" t="s">
        <v>669</v>
      </c>
      <c r="K266" s="16"/>
      <c r="L266" s="16" t="s">
        <v>670</v>
      </c>
      <c r="M266" s="16" t="s">
        <v>671</v>
      </c>
      <c r="N266" s="16" t="s">
        <v>701</v>
      </c>
      <c r="O266" s="146" t="s">
        <v>15</v>
      </c>
    </row>
    <row r="267" spans="1:29">
      <c r="A267" s="149" t="s">
        <v>600</v>
      </c>
      <c r="B267" s="33">
        <f>+'[2]OLD Tables'!B38</f>
        <v>54175.924906059598</v>
      </c>
      <c r="C267" s="32">
        <f>IF($B267&gt;0,(GETPIVOTDATA(" New Retirement",'$ Pivot Table'!$A$3,"Category",7,"Category2","Two-Year"))/$B267)*100</f>
        <v>10.704536484685153</v>
      </c>
      <c r="D267" s="32">
        <f>IF($B267&gt;0,(GETPIVOTDATA(" New Health",'$ Pivot Table'!$A$3,"Category",7,"Category2","Two-Year"))/$B267)*100</f>
        <v>11.689601680377313</v>
      </c>
      <c r="E267" s="32">
        <f>IF($B267&gt;0,(GETPIVOTDATA(" New Disability",'$ Pivot Table'!$A$3,"Category",7,"Category2","Two-Year"))/$B267)*100</f>
        <v>0.46891651926999278</v>
      </c>
      <c r="F267" s="32"/>
      <c r="G267" s="32">
        <f>IF($B267&gt;0,(GETPIVOTDATA(" New Social Security",'$ Pivot Table'!$A$3,"Category",7,"Category2","Two-Year"))/$B267)*100</f>
        <v>7.6128470289025962</v>
      </c>
      <c r="H267" s="32"/>
      <c r="I267" s="32">
        <f>IF($B267&gt;0,(GETPIVOTDATA(" New Unemployment",'$ Pivot Table'!$A$3,"Category",7,"Category2","Two-Year"))/$B267)*100</f>
        <v>0.64179323880819317</v>
      </c>
      <c r="J267" s="32">
        <f>IF($B267&gt;0,(GETPIVOTDATA(" New Life Insurance",'$ Pivot Table'!$A$3,"Category",7,"Category2","Two-Year"))/$B267)*100</f>
        <v>0.41970207243480401</v>
      </c>
      <c r="K267" s="32"/>
      <c r="L267" s="32">
        <f>IF($B267&gt;0,(GETPIVOTDATA(" New Worker's Comp",'$ Pivot Table'!$A$3,"Category",7,"Category2","Two-Year"))/$B267)*100</f>
        <v>0.88282178923420151</v>
      </c>
      <c r="M267" s="32">
        <f>IF($B267&gt;0,(GETPIVOTDATA(" New Tuition Plans",'$ Pivot Table'!$A$3,"Category",7,"Category2","Two-Year"))/$B267)*100</f>
        <v>0.47507036164591676</v>
      </c>
      <c r="N267" s="32">
        <f>IF($B267&gt;0,(GETPIVOTDATA(" New Other",'$ Pivot Table'!$A$3,"Category",7,"Category2","Two-Year"))/$B267)*100</f>
        <v>6.7309094303452888E-2</v>
      </c>
      <c r="O267" s="90">
        <f>IF($B267&gt;0,(GETPIVOTDATA(" New Total",'$ Pivot Table'!$A$3,"Category",7,"Category2","Two-Year"))/$B267)*100</f>
        <v>29.509884056127479</v>
      </c>
    </row>
    <row r="268" spans="1:29">
      <c r="A268" s="149"/>
      <c r="B268" s="31">
        <f>+'[3]OLD Tables 107-126'!B39</f>
        <v>0</v>
      </c>
      <c r="C268" s="32"/>
      <c r="D268" s="34"/>
      <c r="E268" s="32"/>
      <c r="F268" s="32"/>
      <c r="G268" s="32"/>
      <c r="H268" s="32"/>
      <c r="I268" s="32"/>
      <c r="J268" s="32"/>
      <c r="K268" s="32"/>
      <c r="L268" s="32"/>
      <c r="M268" s="32"/>
      <c r="N268" s="32"/>
      <c r="O268" s="90"/>
    </row>
    <row r="269" spans="1:29">
      <c r="A269" s="149" t="s">
        <v>479</v>
      </c>
      <c r="B269" s="617">
        <f>+'[2]OLD Tables'!B40</f>
        <v>0</v>
      </c>
      <c r="C269" s="32">
        <f>IF($B269&gt;0,(GETPIVOTDATA(" New Retirement",'$ Pivot Table'!$A$3,"State","AL","Category",7,"Category2","Two-Year"))/$B269)*100</f>
        <v>0</v>
      </c>
      <c r="D269" s="32">
        <f>IF($B269&gt;0,(GETPIVOTDATA(" New Health",'$ Pivot Table'!$A$3,"State","AL","Category",7,"Category2","Two-Year"))/$B269)*100</f>
        <v>0</v>
      </c>
      <c r="E269" s="32">
        <f>IF($B269&gt;0,(GETPIVOTDATA(" New Disability",'$ Pivot Table'!$A$3,"State","AL","Category",7,"Category2","Two-Year"))/$B269)*100</f>
        <v>0</v>
      </c>
      <c r="F269" s="32"/>
      <c r="G269" s="32">
        <f>IF($B269&gt;0,(GETPIVOTDATA(" New Social Security",'$ Pivot Table'!$A$3,"State","AL","Category",7,"Category2","Two-Year"))/$B269)*100</f>
        <v>0</v>
      </c>
      <c r="H269" s="32"/>
      <c r="I269" s="32">
        <f>IF($B269&gt;0,(GETPIVOTDATA(" New Unemployment",'$ Pivot Table'!$A$3,"State","AL","Category",7,"Category2","Two-Year"))/$B269)*100</f>
        <v>0</v>
      </c>
      <c r="J269" s="32">
        <f>IF($B269&gt;0,(GETPIVOTDATA(" New Life Insurance",'$ Pivot Table'!$A$3,"State","AL","Category",7,"Category2","Two-Year"))/$B269)*100</f>
        <v>0</v>
      </c>
      <c r="K269" s="32"/>
      <c r="L269" s="32">
        <f>IF($B269&gt;0,(GETPIVOTDATA(" New Worker's Comp",'$ Pivot Table'!$A$3,"State","AL","Category",7,"Category2","Two-Year"))/$B269)*100</f>
        <v>0</v>
      </c>
      <c r="M269" s="32">
        <f>IF($B269&gt;0,(GETPIVOTDATA(" New Tuition Plans",'$ Pivot Table'!$A$3,"State","AL","Category",7,"Category2","Two-Year"))/$B269)*100</f>
        <v>0</v>
      </c>
      <c r="N269" s="32">
        <f>IF($B269&gt;0,(GETPIVOTDATA(" New Other",'$ Pivot Table'!$A$3,"State","AL","Category",7,"Category2","Two-Year"))/$B269)*100</f>
        <v>0</v>
      </c>
      <c r="O269" s="90">
        <f>IF($B269&gt;0,(GETPIVOTDATA(" New Total",'$ Pivot Table'!$A$3,"State","AL","Category",7,"Category2","Two-Year"))/$B269)*100</f>
        <v>0</v>
      </c>
    </row>
    <row r="270" spans="1:29">
      <c r="A270" s="149" t="s">
        <v>480</v>
      </c>
      <c r="B270" s="617">
        <f>+'[2]OLD Tables'!B41</f>
        <v>0</v>
      </c>
      <c r="C270" s="32">
        <f>IF($B270&gt;0,(GETPIVOTDATA(" New Retirement",'$ Pivot Table'!$A$3,"State","AR","Category",7,"Category2","Two-Year"))/$B270)*100</f>
        <v>0</v>
      </c>
      <c r="D270" s="32">
        <f>IF($B270&gt;0,(GETPIVOTDATA(" New Health",'$ Pivot Table'!$A$3,"State","AR","Category",7,"Category2","Two-Year"))/$B270)*100</f>
        <v>0</v>
      </c>
      <c r="E270" s="32">
        <f>IF($B270&gt;0,(GETPIVOTDATA(" New Disability",'$ Pivot Table'!$A$3,"State","AR","Category",7,"Category2","Two-Year"))/$B270)*100</f>
        <v>0</v>
      </c>
      <c r="F270" s="32"/>
      <c r="G270" s="32">
        <f>IF($B270&gt;0,(GETPIVOTDATA(" New Social Security",'$ Pivot Table'!$A$3,"State","AR","Category",7,"Category2","Two-Year"))/$B270)*100</f>
        <v>0</v>
      </c>
      <c r="H270" s="32"/>
      <c r="I270" s="32">
        <f>IF($B270&gt;0,(GETPIVOTDATA(" New Unemployment",'$ Pivot Table'!$A$3,"State","AR","Category",7,"Category2","Two-Year"))/$B270)*100</f>
        <v>0</v>
      </c>
      <c r="J270" s="32">
        <f>IF($B270&gt;0,(GETPIVOTDATA(" New Life Insurance",'$ Pivot Table'!$A$3,"State","AR","Category",7,"Category2","Two-Year"))/$B270)*100</f>
        <v>0</v>
      </c>
      <c r="K270" s="32"/>
      <c r="L270" s="32">
        <f>IF($B270&gt;0,(GETPIVOTDATA(" New Worker's Comp",'$ Pivot Table'!$A$3,"State","AR","Category",7,"Category2","Two-Year"))/$B270)*100</f>
        <v>0</v>
      </c>
      <c r="M270" s="32">
        <f>IF($B270&gt;0,(GETPIVOTDATA(" New Tuition Plans",'$ Pivot Table'!$A$3,"State","AR","Category",7,"Category2","Two-Year"))/$B270)*100</f>
        <v>0</v>
      </c>
      <c r="N270" s="32">
        <f>IF($B270&gt;0,(GETPIVOTDATA(" New Other",'$ Pivot Table'!$A$3,"State","AR","Category",7,"Category2","Two-Year"))/$B270)*100</f>
        <v>0</v>
      </c>
      <c r="O270" s="90">
        <f>IF($B270&gt;0,(GETPIVOTDATA(" New Total",'$ Pivot Table'!$A$3,"State","AR","Category",7,"Category2","Two-Year"))/$B270)*100</f>
        <v>0</v>
      </c>
    </row>
    <row r="271" spans="1:29">
      <c r="A271" s="149" t="s">
        <v>494</v>
      </c>
      <c r="B271" s="617">
        <f>+'[2]OLD Tables'!B42</f>
        <v>0</v>
      </c>
      <c r="C271" s="32">
        <f>IF($B271&gt;0,(GETPIVOTDATA(" New Retirement",'$ Pivot Table'!$A$3,"State","DE","Category",7,"Category2","Two-Year"))/$B271)*100</f>
        <v>0</v>
      </c>
      <c r="D271" s="32">
        <f>IF($B271&gt;0,(GETPIVOTDATA(" New Health",'$ Pivot Table'!$A$3,"State","DE","Category",7,"Category2","Two-Year"))/$B271)*100</f>
        <v>0</v>
      </c>
      <c r="E271" s="32">
        <f>IF($B271&gt;0,(GETPIVOTDATA(" New Disability",'$ Pivot Table'!$A$3,"State","DE","Category",7,"Category2","Two-Year"))/$B271)*100</f>
        <v>0</v>
      </c>
      <c r="F271" s="32"/>
      <c r="G271" s="32">
        <f>IF($B271&gt;0,(GETPIVOTDATA(" New Social Security",'$ Pivot Table'!$A$3,"State","DE","Category",7,"Category2","Two-Year"))/$B271)*100</f>
        <v>0</v>
      </c>
      <c r="H271" s="32"/>
      <c r="I271" s="32">
        <f>IF($B271&gt;0,(GETPIVOTDATA(" New Unemployment",'$ Pivot Table'!$A$3,"State","DE","Category",7,"Category2","Two-Year"))/$B271)*100</f>
        <v>0</v>
      </c>
      <c r="J271" s="32">
        <f>IF($B271&gt;0,(GETPIVOTDATA(" New Life Insurance",'$ Pivot Table'!$A$3,"State","DE","Category",7,"Category2","Two-Year"))/$B271)*100</f>
        <v>0</v>
      </c>
      <c r="K271" s="32"/>
      <c r="L271" s="32">
        <f>IF($B271&gt;0,(GETPIVOTDATA(" New Worker's Comp",'$ Pivot Table'!$A$3,"State","DE","Category",7,"Category2","Two-Year"))/$B271)*100</f>
        <v>0</v>
      </c>
      <c r="M271" s="32">
        <f>IF($B271&gt;0,(GETPIVOTDATA(" New Tuition Plans",'$ Pivot Table'!$A$3,"State","DE","Category",7,"Category2","Two-Year"))/$B271)*100</f>
        <v>0</v>
      </c>
      <c r="N271" s="32">
        <f>IF($B271&gt;0,(GETPIVOTDATA(" New Other",'$ Pivot Table'!$A$3,"State","DE","Category",7,"Category2","Two-Year"))/$B271)*100</f>
        <v>0</v>
      </c>
      <c r="O271" s="90">
        <f>IF($B271&gt;0,(GETPIVOTDATA(" New Total",'$ Pivot Table'!$A$3,"State","DE","Category",7,"Category2","Two-Year"))/$B271)*100</f>
        <v>0</v>
      </c>
    </row>
    <row r="272" spans="1:29">
      <c r="A272" s="149" t="s">
        <v>481</v>
      </c>
      <c r="B272" s="617">
        <f>+'[2]OLD Tables'!B43</f>
        <v>57610.60145888594</v>
      </c>
      <c r="C272" s="32">
        <f>IF($B272&gt;0,(GETPIVOTDATA(" New Retirement",'$ Pivot Table'!$A$3,"State","FL","Category",7,"Category2","Two-Year"))/$B272)*100</f>
        <v>11.820761511146593</v>
      </c>
      <c r="D272" s="32">
        <f>IF($B272&gt;0,(GETPIVOTDATA(" New Health",'$ Pivot Table'!$A$3,"State","FL","Category",7,"Category2","Two-Year"))/$B272)*100</f>
        <v>11.293426448003441</v>
      </c>
      <c r="E272" s="32">
        <f>IF($B272&gt;0,(GETPIVOTDATA(" New Disability",'$ Pivot Table'!$A$3,"State","FL","Category",7,"Category2","Two-Year"))/$B272)*100</f>
        <v>0.34931350418528778</v>
      </c>
      <c r="F272" s="32"/>
      <c r="G272" s="32">
        <f>IF($B272&gt;0,(GETPIVOTDATA(" New Social Security",'$ Pivot Table'!$A$3,"State","FL","Category",7,"Category2","Two-Year"))/$B272)*100</f>
        <v>8.3819732199656602</v>
      </c>
      <c r="H272" s="32"/>
      <c r="I272" s="32">
        <f>IF($B272&gt;0,(GETPIVOTDATA(" New Unemployment",'$ Pivot Table'!$A$3,"State","FL","Category",7,"Category2","Two-Year"))/$B272)*100</f>
        <v>0.74838586713126798</v>
      </c>
      <c r="J272" s="32">
        <f>IF($B272&gt;0,(GETPIVOTDATA(" New Life Insurance",'$ Pivot Table'!$A$3,"State","FL","Category",7,"Category2","Two-Year"))/$B272)*100</f>
        <v>0.47690073364282348</v>
      </c>
      <c r="K272" s="32"/>
      <c r="L272" s="32">
        <f>IF($B272&gt;0,(GETPIVOTDATA(" New Worker's Comp",'$ Pivot Table'!$A$3,"State","FL","Category",7,"Category2","Two-Year"))/$B272)*100</f>
        <v>1.1193978762543562</v>
      </c>
      <c r="M272" s="32">
        <f>IF($B272&gt;0,(GETPIVOTDATA(" New Tuition Plans",'$ Pivot Table'!$A$3,"State","FL","Category",7,"Category2","Two-Year"))/$B272)*100</f>
        <v>0.28780913101020383</v>
      </c>
      <c r="N272" s="32">
        <f>IF($B272&gt;0,(GETPIVOTDATA(" New Other",'$ Pivot Table'!$A$3,"State","FL","Category",7,"Category2","Two-Year"))/$B272)*100</f>
        <v>8.7056626530168532E-2</v>
      </c>
      <c r="O272" s="90">
        <f>IF($B272&gt;0,(GETPIVOTDATA(" New Total",'$ Pivot Table'!$A$3,"State","FL","Category",7,"Category2","Two-Year"))/$B272)*100</f>
        <v>33.110596653262903</v>
      </c>
    </row>
    <row r="273" spans="1:16">
      <c r="A273" s="149"/>
      <c r="B273" s="617">
        <f>+'[2]OLD Tables'!B44</f>
        <v>0</v>
      </c>
      <c r="C273" s="32"/>
      <c r="D273" s="34"/>
      <c r="E273" s="32"/>
      <c r="F273" s="32"/>
      <c r="G273" s="32"/>
      <c r="H273" s="32"/>
      <c r="I273" s="32"/>
      <c r="J273" s="32"/>
      <c r="K273" s="32"/>
      <c r="L273" s="32"/>
      <c r="M273" s="32"/>
      <c r="N273" s="32"/>
      <c r="O273" s="90"/>
    </row>
    <row r="274" spans="1:16">
      <c r="A274" s="149" t="s">
        <v>482</v>
      </c>
      <c r="B274" s="617">
        <f>+'[2]OLD Tables'!B45</f>
        <v>48963.16156331361</v>
      </c>
      <c r="C274" s="32">
        <f>IF($B274&gt;0,(GETPIVOTDATA(" New Retirement",'$ Pivot Table'!$A$3,"State","GA","Category",7,"Category2","Two-Year"))/$B274)*100</f>
        <v>9.6517530990027627</v>
      </c>
      <c r="D274" s="32">
        <f>IF($B274&gt;0,(GETPIVOTDATA(" New Health",'$ Pivot Table'!$A$3,"State","GA","Category",7,"Category2","Two-Year"))/$B274)*100</f>
        <v>13.813004555023904</v>
      </c>
      <c r="E274" s="32">
        <f>IF($B274&gt;0,(GETPIVOTDATA(" New Disability",'$ Pivot Table'!$A$3,"State","GA","Category",7,"Category2","Two-Year"))/$B274)*100</f>
        <v>0</v>
      </c>
      <c r="F274" s="32"/>
      <c r="G274" s="32">
        <f>IF($B274&gt;0,(GETPIVOTDATA(" New Social Security",'$ Pivot Table'!$A$3,"State","GA","Category",7,"Category2","Two-Year"))/$B274)*100</f>
        <v>7.5289734247698057</v>
      </c>
      <c r="H274" s="32"/>
      <c r="I274" s="32">
        <f>IF($B274&gt;0,(GETPIVOTDATA(" New Unemployment",'$ Pivot Table'!$A$3,"State","GA","Category",7,"Category2","Two-Year"))/$B274)*100</f>
        <v>0.28797160048105713</v>
      </c>
      <c r="J274" s="32">
        <f>IF($B274&gt;0,(GETPIVOTDATA(" New Life Insurance",'$ Pivot Table'!$A$3,"State","GA","Category",7,"Category2","Two-Year"))/$B274)*100</f>
        <v>0.3650902557574307</v>
      </c>
      <c r="K274" s="32"/>
      <c r="L274" s="32">
        <f>IF($B274&gt;0,(GETPIVOTDATA(" New Worker's Comp",'$ Pivot Table'!$A$3,"State","GA","Category",7,"Category2","Two-Year"))/$B274)*100</f>
        <v>0.26165854046695497</v>
      </c>
      <c r="M274" s="32">
        <f>IF($B274&gt;0,(GETPIVOTDATA(" New Tuition Plans",'$ Pivot Table'!$A$3,"State","GA","Category",7,"Category2","Two-Year"))/$B274)*100</f>
        <v>0</v>
      </c>
      <c r="N274" s="32">
        <f>IF($B274&gt;0,(GETPIVOTDATA(" New Other",'$ Pivot Table'!$A$3,"State","GA","Category",7,"Category2","Two-Year"))/$B274)*100</f>
        <v>0</v>
      </c>
      <c r="O274" s="90">
        <f>IF($B274&gt;0,(GETPIVOTDATA(" New Total",'$ Pivot Table'!$A$3,"State","GA","Category",7,"Category2","Two-Year"))/$B274)*100</f>
        <v>29.537493068829356</v>
      </c>
    </row>
    <row r="275" spans="1:16">
      <c r="A275" s="149" t="s">
        <v>483</v>
      </c>
      <c r="B275" s="617">
        <f>+'[2]OLD Tables'!B46</f>
        <v>0</v>
      </c>
      <c r="C275" s="32">
        <f>IF($B275&gt;0,(GETPIVOTDATA(" New Retirement",'$ Pivot Table'!$A$3,"State","KY","Category",7,"Category2","Two-Year"))/$B275)*100</f>
        <v>0</v>
      </c>
      <c r="D275" s="32">
        <f>IF($B275&gt;0,(GETPIVOTDATA(" New Health",'$ Pivot Table'!$A$3,"State","KY","Category",7,"Category2","Two-Year"))/$B275)*100</f>
        <v>0</v>
      </c>
      <c r="E275" s="32">
        <f>IF($B275&gt;0,(GETPIVOTDATA(" New Disability",'$ Pivot Table'!$A$3,"State","KY","Category",7,"Category2","Two-Year"))/$B275)*100</f>
        <v>0</v>
      </c>
      <c r="F275" s="32"/>
      <c r="G275" s="32">
        <f>IF($B275&gt;0,(GETPIVOTDATA(" New Social Security",'$ Pivot Table'!$A$3,"State","KY","Category",7,"Category2","Two-Year"))/$B275)*100</f>
        <v>0</v>
      </c>
      <c r="H275" s="32"/>
      <c r="I275" s="32">
        <f>IF($B275&gt;0,(GETPIVOTDATA(" New Unemployment",'$ Pivot Table'!$A$3,"State","KY","Category",7,"Category2","Two-Year"))/$B275)*100</f>
        <v>0</v>
      </c>
      <c r="J275" s="32">
        <f>IF($B275&gt;0,(GETPIVOTDATA(" New Life Insurance",'$ Pivot Table'!$A$3,"State","KY","Category",7,"Category2","Two-Year"))/$B275)*100</f>
        <v>0</v>
      </c>
      <c r="K275" s="32"/>
      <c r="L275" s="32">
        <f>IF($B275&gt;0,(GETPIVOTDATA(" New Worker's Comp",'$ Pivot Table'!$A$3,"State","KY","Category",7,"Category2","Two-Year"))/$B275)*100</f>
        <v>0</v>
      </c>
      <c r="M275" s="32">
        <f>IF($B275&gt;0,(GETPIVOTDATA(" New Tuition Plans",'$ Pivot Table'!$A$3,"State","KY","Category",7,"Category2","Two-Year"))/$B275)*100</f>
        <v>0</v>
      </c>
      <c r="N275" s="32">
        <f>IF($B275&gt;0,(GETPIVOTDATA(" New Other",'$ Pivot Table'!$A$3,"State","KY","Category",7,"Category2","Two-Year"))/$B275)*100</f>
        <v>0</v>
      </c>
      <c r="O275" s="90">
        <f>IF($B275&gt;0,(GETPIVOTDATA(" New Total",'$ Pivot Table'!$A$3,"State","KY","Category",7,"Category2","Two-Year"))/$B275)*100</f>
        <v>0</v>
      </c>
    </row>
    <row r="276" spans="1:16">
      <c r="A276" s="149" t="s">
        <v>484</v>
      </c>
      <c r="B276" s="617">
        <f>+'[2]OLD Tables'!B47</f>
        <v>48408.598088888888</v>
      </c>
      <c r="C276" s="32">
        <f>IF($B276&gt;0,(GETPIVOTDATA(" New Retirement",'$ Pivot Table'!$A$3,"State","LA","Category",7,"Category2","Two-Year"))/$B276)*100</f>
        <v>14.654184156993692</v>
      </c>
      <c r="D276" s="32">
        <f>IF($B276&gt;0,(GETPIVOTDATA(" New Health",'$ Pivot Table'!$A$3,"State","LA","Category",7,"Category2","Two-Year"))/$B276)*100</f>
        <v>11.80758229555757</v>
      </c>
      <c r="E276" s="32">
        <f>IF($B276&gt;0,(GETPIVOTDATA(" New Disability",'$ Pivot Table'!$A$3,"State","LA","Category",7,"Category2","Two-Year"))/$B276)*100</f>
        <v>0</v>
      </c>
      <c r="F276" s="32"/>
      <c r="G276" s="32">
        <f>IF($B276&gt;0,(GETPIVOTDATA(" New Social Security",'$ Pivot Table'!$A$3,"State","LA","Category",7,"Category2","Two-Year"))/$B276)*100</f>
        <v>1.4922371008301549</v>
      </c>
      <c r="H276" s="32"/>
      <c r="I276" s="32">
        <f>IF($B276&gt;0,(GETPIVOTDATA(" New Unemployment",'$ Pivot Table'!$A$3,"State","LA","Category",7,"Category2","Two-Year"))/$B276)*100</f>
        <v>0</v>
      </c>
      <c r="J276" s="32">
        <f>IF($B276&gt;0,(GETPIVOTDATA(" New Life Insurance",'$ Pivot Table'!$A$3,"State","LA","Category",7,"Category2","Two-Year"))/$B276)*100</f>
        <v>0.33546189398381598</v>
      </c>
      <c r="K276" s="32"/>
      <c r="L276" s="32">
        <f>IF($B276&gt;0,(GETPIVOTDATA(" New Worker's Comp",'$ Pivot Table'!$A$3,"State","LA","Category",7,"Category2","Two-Year"))/$B276)*100</f>
        <v>0</v>
      </c>
      <c r="M276" s="32">
        <f>IF($B276&gt;0,(GETPIVOTDATA(" New Tuition Plans",'$ Pivot Table'!$A$3,"State","LA","Category",7,"Category2","Two-Year"))/$B276)*100</f>
        <v>0</v>
      </c>
      <c r="N276" s="32">
        <f>IF($B276&gt;0,(GETPIVOTDATA(" New Other",'$ Pivot Table'!$A$3,"State","LA","Category",7,"Category2","Two-Year"))/$B276)*100</f>
        <v>0</v>
      </c>
      <c r="O276" s="90">
        <f>IF($B276&gt;0,(GETPIVOTDATA(" New Total",'$ Pivot Table'!$A$3,"State","LA","Category",7,"Category2","Two-Year"))/$B276)*100</f>
        <v>25.855589819868403</v>
      </c>
    </row>
    <row r="277" spans="1:16">
      <c r="A277" s="149" t="s">
        <v>485</v>
      </c>
      <c r="B277" s="617">
        <f>+'[2]OLD Tables'!B48</f>
        <v>0</v>
      </c>
      <c r="C277" s="32">
        <f>IF($B277&gt;0,(GETPIVOTDATA(" New Retirement",'$ Pivot Table'!$A$3,"State","MD","Category",7,"Category2","Two-Year"))/$B277)*100</f>
        <v>0</v>
      </c>
      <c r="D277" s="32">
        <f>IF($B277&gt;0,(GETPIVOTDATA(" New Health",'$ Pivot Table'!$A$3,"State","MD","Category",7,"Category2","Two-Year"))/$B277)*100</f>
        <v>0</v>
      </c>
      <c r="E277" s="32">
        <f>IF($B277&gt;0,(GETPIVOTDATA(" New Disability",'$ Pivot Table'!$A$3,"State","MD","Category",7,"Category2","Two-Year"))/$B277)*100</f>
        <v>0</v>
      </c>
      <c r="F277" s="32"/>
      <c r="G277" s="32">
        <f>IF($B277&gt;0,(GETPIVOTDATA(" New Social Security",'$ Pivot Table'!$A$3,"State","MD","Category",7,"Category2","Two-Year"))/$B277)*100</f>
        <v>0</v>
      </c>
      <c r="H277" s="32"/>
      <c r="I277" s="32">
        <f>IF($B277&gt;0,(GETPIVOTDATA(" New Unemployment",'$ Pivot Table'!$A$3,"State","MD","Category",7,"Category2","Two-Year"))/$B277)*100</f>
        <v>0</v>
      </c>
      <c r="J277" s="32">
        <f>IF($B277&gt;0,(GETPIVOTDATA(" New Life Insurance",'$ Pivot Table'!$A$3,"State","MD","Category",7,"Category2","Two-Year"))/$B277)*100</f>
        <v>0</v>
      </c>
      <c r="K277" s="32"/>
      <c r="L277" s="32">
        <f>IF($B277&gt;0,(GETPIVOTDATA(" New Worker's Comp",'$ Pivot Table'!$A$3,"State","MD","Category",7,"Category2","Two-Year"))/$B277)*100</f>
        <v>0</v>
      </c>
      <c r="M277" s="32">
        <f>IF($B277&gt;0,(GETPIVOTDATA(" New Tuition Plans",'$ Pivot Table'!$A$3,"State","MD","Category",7,"Category2","Two-Year"))/$B277)*100</f>
        <v>0</v>
      </c>
      <c r="N277" s="32">
        <f>IF($B277&gt;0,(GETPIVOTDATA(" New Other",'$ Pivot Table'!$A$3,"State","MD","Category",7,"Category2","Two-Year"))/$B277)*100</f>
        <v>0</v>
      </c>
      <c r="O277" s="90">
        <f>IF($B277&gt;0,(GETPIVOTDATA(" New Total",'$ Pivot Table'!$A$3,"State","MD","Category",7,"Category2","Two-Year"))/$B277)*100</f>
        <v>0</v>
      </c>
    </row>
    <row r="278" spans="1:16" ht="15.75" customHeight="1">
      <c r="A278" s="149"/>
      <c r="B278" s="617">
        <f>+'[2]OLD Tables'!B49</f>
        <v>0</v>
      </c>
      <c r="C278" s="32"/>
      <c r="D278" s="34"/>
      <c r="E278" s="32"/>
      <c r="F278" s="32"/>
      <c r="G278" s="32"/>
      <c r="H278" s="32"/>
      <c r="I278" s="32"/>
      <c r="J278" s="32"/>
      <c r="K278" s="32"/>
      <c r="L278" s="32"/>
      <c r="M278" s="32"/>
      <c r="N278" s="32"/>
      <c r="O278" s="90"/>
    </row>
    <row r="279" spans="1:16" ht="15.75" customHeight="1">
      <c r="A279" s="149" t="s">
        <v>486</v>
      </c>
      <c r="B279" s="617">
        <f>+'[2]OLD Tables'!B50</f>
        <v>0</v>
      </c>
      <c r="C279" s="32">
        <f>IF($B279&gt;0,(GETPIVOTDATA(" New Retirement",'$ Pivot Table'!$A$3,"State","MS","Category",7,"Category2","Two-Year"))/$B279)*100</f>
        <v>0</v>
      </c>
      <c r="D279" s="32">
        <f>IF($B279&gt;0,(GETPIVOTDATA(" New Health",'$ Pivot Table'!$A$3,"State","MS","Category",7,"Category2","Two-Year"))/$B279)*100</f>
        <v>0</v>
      </c>
      <c r="E279" s="32">
        <f>IF($B279&gt;0,(GETPIVOTDATA(" New Disability",'$ Pivot Table'!$A$3,"State","MS","Category",7,"Category2","Two-Year"))/$B279)*100</f>
        <v>0</v>
      </c>
      <c r="F279" s="32"/>
      <c r="G279" s="32">
        <f>IF($B279&gt;0,(GETPIVOTDATA(" New Social Security",'$ Pivot Table'!$A$3,"State","MS","Category",7,"Category2","Two-Year"))/$B279)*100</f>
        <v>0</v>
      </c>
      <c r="H279" s="32"/>
      <c r="I279" s="32">
        <f>IF($B279&gt;0,(GETPIVOTDATA(" New Unemployment",'$ Pivot Table'!$A$3,"State","MS","Category",7,"Category2","Two-Year"))/$B279)*100</f>
        <v>0</v>
      </c>
      <c r="J279" s="32">
        <f>IF($B279&gt;0,(GETPIVOTDATA(" New Life Insurance",'$ Pivot Table'!$A$3,"State","MS","Category",7,"Category2","Two-Year"))/$B279)*100</f>
        <v>0</v>
      </c>
      <c r="K279" s="32"/>
      <c r="L279" s="32">
        <f>IF($B279&gt;0,(GETPIVOTDATA(" New Worker's Comp",'$ Pivot Table'!$A$3,"State","MS","Category",7,"Category2","Two-Year"))/$B279)*100</f>
        <v>0</v>
      </c>
      <c r="M279" s="32">
        <f>IF($B279&gt;0,(GETPIVOTDATA(" New Tuition Plans",'$ Pivot Table'!$A$3,"State","MS","Category",7,"Category2","Two-Year"))/$B279)*100</f>
        <v>0</v>
      </c>
      <c r="N279" s="32">
        <f>IF($B279&gt;0,(GETPIVOTDATA(" New Other",'$ Pivot Table'!$A$3,"State","MS","Category",7,"Category2","Two-Year"))/$B279)*100</f>
        <v>0</v>
      </c>
      <c r="O279" s="90">
        <f>IF($B279&gt;0,(GETPIVOTDATA(" New Total",'$ Pivot Table'!$A$3,"State","MS","Category",7,"Category2","Two-Year"))/$B279)*100</f>
        <v>0</v>
      </c>
    </row>
    <row r="280" spans="1:16" ht="15.75" customHeight="1">
      <c r="A280" s="149" t="s">
        <v>487</v>
      </c>
      <c r="B280" s="617">
        <f>+'[2]OLD Tables'!B51</f>
        <v>0</v>
      </c>
      <c r="C280" s="32">
        <f>IF($B280&gt;0,(GETPIVOTDATA(" New Retirement",'$ Pivot Table'!$A$3,"State","NC","Category",7,"Category2","Two-Year"))/$B280)*100</f>
        <v>0</v>
      </c>
      <c r="D280" s="32">
        <f>IF($B280&gt;0,(GETPIVOTDATA(" New Health",'$ Pivot Table'!$A$3,"State","NC","Category",7,"Category2","Two-Year"))/$B280)*100</f>
        <v>0</v>
      </c>
      <c r="E280" s="32">
        <f>IF($B280&gt;0,(GETPIVOTDATA(" New Disability",'$ Pivot Table'!$A$3,"State","NC","Category",7,"Category2","Two-Year"))/$B280)*100</f>
        <v>0</v>
      </c>
      <c r="F280" s="32"/>
      <c r="G280" s="32">
        <f>IF($B280&gt;0,(GETPIVOTDATA(" New Social Security",'$ Pivot Table'!$A$3,"State","NC","Category",7,"Category2","Two-Year"))/$B280)*100</f>
        <v>0</v>
      </c>
      <c r="H280" s="32"/>
      <c r="I280" s="32">
        <f>IF($B280&gt;0,(GETPIVOTDATA(" New Unemployment",'$ Pivot Table'!$A$3,"State","NC","Category",7,"Category2","Two-Year"))/$B280)*100</f>
        <v>0</v>
      </c>
      <c r="J280" s="32">
        <f>IF($B280&gt;0,(GETPIVOTDATA(" New Life Insurance",'$ Pivot Table'!$A$3,"State","NC","Category",7,"Category2","Two-Year"))/$B280)*100</f>
        <v>0</v>
      </c>
      <c r="K280" s="32"/>
      <c r="L280" s="32">
        <f>IF($B280&gt;0,(GETPIVOTDATA(" New Worker's Comp",'$ Pivot Table'!$A$3,"State","NC","Category",7,"Category2","Two-Year"))/$B280)*100</f>
        <v>0</v>
      </c>
      <c r="M280" s="32">
        <f>IF($B280&gt;0,(GETPIVOTDATA(" New Tuition Plans",'$ Pivot Table'!$A$3,"State","NC","Category",7,"Category2","Two-Year"))/$B280)*100</f>
        <v>0</v>
      </c>
      <c r="N280" s="32">
        <f>IF($B280&gt;0,(GETPIVOTDATA(" New Other",'$ Pivot Table'!$A$3,"State","NC","Category",7,"Category2","Two-Year"))/$B280)*100</f>
        <v>0</v>
      </c>
      <c r="O280" s="90">
        <f>IF($B280&gt;0,(GETPIVOTDATA(" New Total",'$ Pivot Table'!$A$3,"State","NC","Category",7,"Category2","Two-Year"))/$B280)*100</f>
        <v>0</v>
      </c>
    </row>
    <row r="281" spans="1:16" ht="15.75" customHeight="1">
      <c r="A281" s="149" t="s">
        <v>488</v>
      </c>
      <c r="B281" s="617">
        <f>+'[2]OLD Tables'!B52</f>
        <v>53446</v>
      </c>
      <c r="C281" s="32">
        <f>IF($B281&gt;0,(GETPIVOTDATA(" New Retirement",'$ Pivot Table'!$A$3,"State","OK","Category",7,"Category2","Two-Year"))/$B281)*100</f>
        <v>18.053534500580639</v>
      </c>
      <c r="D281" s="32">
        <f>IF($B281&gt;0,(GETPIVOTDATA(" New Health",'$ Pivot Table'!$A$3,"State","OK","Category",7,"Category2","Two-Year"))/$B281)*100</f>
        <v>8.1633798600456533</v>
      </c>
      <c r="E281" s="32">
        <f>IF($B281&gt;0,(GETPIVOTDATA(" New Disability",'$ Pivot Table'!$A$3,"State","OK","Category",7,"Category2","Two-Year"))/$B281)*100</f>
        <v>0</v>
      </c>
      <c r="F281" s="32"/>
      <c r="G281" s="32">
        <f>IF($B281&gt;0,(GETPIVOTDATA(" New Social Security",'$ Pivot Table'!$A$3,"State","OK","Category",7,"Category2","Two-Year"))/$B281)*100</f>
        <v>7.3566445770604671</v>
      </c>
      <c r="H281" s="32"/>
      <c r="I281" s="32">
        <f>IF($B281&gt;0,(GETPIVOTDATA(" New Unemployment",'$ Pivot Table'!$A$3,"State","OK","Category",7,"Category2","Two-Year"))/$B281)*100</f>
        <v>8.4197133555364304E-2</v>
      </c>
      <c r="J281" s="32">
        <f>IF($B281&gt;0,(GETPIVOTDATA(" New Life Insurance",'$ Pivot Table'!$A$3,"State","OK","Category",7,"Category2","Two-Year"))/$B281)*100</f>
        <v>0.64886416379823852</v>
      </c>
      <c r="K281" s="32"/>
      <c r="L281" s="32">
        <f>IF($B281&gt;0,(GETPIVOTDATA(" New Worker's Comp",'$ Pivot Table'!$A$3,"State","OK","Category",7,"Category2","Two-Year"))/$B281)*100</f>
        <v>0.6057296164720879</v>
      </c>
      <c r="M281" s="32">
        <f>IF($B281&gt;0,(GETPIVOTDATA(" New Tuition Plans",'$ Pivot Table'!$A$3,"State","OK","Category",7,"Category2","Two-Year"))/$B281)*100</f>
        <v>0</v>
      </c>
      <c r="N281" s="32">
        <f>IF($B281&gt;0,(GETPIVOTDATA(" New Other",'$ Pivot Table'!$A$3,"State","OK","Category",7,"Category2","Two-Year"))/$B281)*100</f>
        <v>0</v>
      </c>
      <c r="O281" s="90">
        <f>IF($B281&gt;0,(GETPIVOTDATA(" New Total",'$ Pivot Table'!$A$3,"State","OK","Category",7,"Category2","Two-Year"))/$B281)*100</f>
        <v>34.801674066608065</v>
      </c>
      <c r="P281" s="171"/>
    </row>
    <row r="282" spans="1:16" ht="15.75" customHeight="1">
      <c r="A282" s="149" t="s">
        <v>489</v>
      </c>
      <c r="B282" s="617">
        <f>+'[2]OLD Tables'!B53</f>
        <v>55680.701021052635</v>
      </c>
      <c r="C282" s="32">
        <f>IF($B282&gt;0,(GETPIVOTDATA(" New Retirement",'$ Pivot Table'!$A$3,"State","SC","Category",7,"Category2","Two-Year"))/$B282)*100</f>
        <v>13.308056739343254</v>
      </c>
      <c r="D282" s="32">
        <f>IF($B282&gt;0,(GETPIVOTDATA(" New Health",'$ Pivot Table'!$A$3,"State","SC","Category",7,"Category2","Two-Year"))/$B282)*100</f>
        <v>9.7430221806946999</v>
      </c>
      <c r="E282" s="32">
        <f>IF($B282&gt;0,(GETPIVOTDATA(" New Disability",'$ Pivot Table'!$A$3,"State","SC","Category",7,"Category2","Two-Year"))/$B282)*100</f>
        <v>0</v>
      </c>
      <c r="F282" s="32"/>
      <c r="G282" s="32">
        <f>IF($B282&gt;0,(GETPIVOTDATA(" New Social Security",'$ Pivot Table'!$A$3,"State","SC","Category",7,"Category2","Two-Year"))/$B282)*100</f>
        <v>6.2728623651172208</v>
      </c>
      <c r="H282" s="32"/>
      <c r="I282" s="32">
        <f>IF($B282&gt;0,(GETPIVOTDATA(" New Unemployment",'$ Pivot Table'!$A$3,"State","SC","Category",7,"Category2","Two-Year"))/$B282)*100</f>
        <v>0.15807442711481584</v>
      </c>
      <c r="J282" s="32">
        <f>IF($B282&gt;0,(GETPIVOTDATA(" New Life Insurance",'$ Pivot Table'!$A$3,"State","SC","Category",7,"Category2","Two-Year"))/$B282)*100</f>
        <v>0.15190957924916718</v>
      </c>
      <c r="K282" s="32"/>
      <c r="L282" s="32">
        <f>IF($B282&gt;0,(GETPIVOTDATA(" New Worker's Comp",'$ Pivot Table'!$A$3,"State","SC","Category",7,"Category2","Two-Year"))/$B282)*100</f>
        <v>1.114066305628981</v>
      </c>
      <c r="M282" s="32">
        <f>IF($B282&gt;0,(GETPIVOTDATA(" New Tuition Plans",'$ Pivot Table'!$A$3,"State","SC","Category",7,"Category2","Two-Year"))/$B282)*100</f>
        <v>0</v>
      </c>
      <c r="N282" s="32">
        <f>IF($B282&gt;0,(GETPIVOTDATA(" New Other",'$ Pivot Table'!$A$3,"State","SC","Category",7,"Category2","Two-Year"))/$B282)*100</f>
        <v>0</v>
      </c>
      <c r="O282" s="90">
        <f>IF($B282&gt;0,(GETPIVOTDATA(" New Total",'$ Pivot Table'!$A$3,"State","SC","Category",7,"Category2","Two-Year"))/$B282)*100</f>
        <v>30.471507099615554</v>
      </c>
    </row>
    <row r="283" spans="1:16" ht="15.75" customHeight="1">
      <c r="A283" s="149"/>
      <c r="B283" s="617">
        <f>+'[2]OLD Tables'!B54</f>
        <v>0</v>
      </c>
      <c r="C283" s="32"/>
      <c r="D283" s="34"/>
      <c r="E283" s="32"/>
      <c r="F283" s="32"/>
      <c r="G283" s="32"/>
      <c r="H283" s="32"/>
      <c r="I283" s="32"/>
      <c r="J283" s="32"/>
      <c r="K283" s="32"/>
      <c r="L283" s="32"/>
      <c r="M283" s="32"/>
      <c r="N283" s="32"/>
      <c r="O283" s="90"/>
    </row>
    <row r="284" spans="1:16" ht="15.75" customHeight="1">
      <c r="A284" s="149" t="s">
        <v>490</v>
      </c>
      <c r="B284" s="617">
        <f>+'[2]OLD Tables'!B55</f>
        <v>0</v>
      </c>
      <c r="C284" s="28">
        <f>IF($B284&gt;0,(GETPIVOTDATA(" New Retirement",'$ Pivot Table'!$A$3,"State","TN","Category",7,"Category2","Two-Year"))/$B284)*100</f>
        <v>0</v>
      </c>
      <c r="D284" s="28">
        <f>IF($B284&gt;0,(GETPIVOTDATA(" New Health",'$ Pivot Table'!$A$3,"State","TN","Category",7,"Category2","Two-Year"))/$B284)*100</f>
        <v>0</v>
      </c>
      <c r="E284" s="28">
        <f>IF($B284&gt;0,(GETPIVOTDATA(" New Disability",'$ Pivot Table'!$A$3,"State","TN","Category",7,"Category2","Two-Year"))/$B284)*100</f>
        <v>0</v>
      </c>
      <c r="F284" s="28"/>
      <c r="G284" s="28">
        <f>IF($B284&gt;0,(GETPIVOTDATA(" New Social Security",'$ Pivot Table'!$A$3,"State","TN","Category",7,"Category2","Two-Year"))/$B284)*100</f>
        <v>0</v>
      </c>
      <c r="H284" s="28"/>
      <c r="I284" s="28">
        <f>IF($B284&gt;0,(GETPIVOTDATA(" New Unemployment",'$ Pivot Table'!$A$3,"State","TN","Category",7,"Category2","Two-Year"))/$B284)*100</f>
        <v>0</v>
      </c>
      <c r="J284" s="28">
        <f>IF($B284&gt;0,(GETPIVOTDATA(" New Life Insurance",'$ Pivot Table'!$A$3,"State","TN","Category",7,"Category2","Two-Year"))/$B284)*100</f>
        <v>0</v>
      </c>
      <c r="K284" s="28"/>
      <c r="L284" s="28">
        <f>IF($B284&gt;0,(GETPIVOTDATA(" New Worker's Comp",'$ Pivot Table'!$A$3,"State","TN","Category",7,"Category2","Two-Year"))/$B284)*100</f>
        <v>0</v>
      </c>
      <c r="M284" s="28">
        <f>IF($B284&gt;0,(GETPIVOTDATA(" New Tuition Plans",'$ Pivot Table'!$A$3,"State","TN","Category",7,"Category2","Two-Year"))/$B284)*100</f>
        <v>0</v>
      </c>
      <c r="N284" s="28">
        <f>IF($B284&gt;0,(GETPIVOTDATA(" New Other",'$ Pivot Table'!$A$3,"State","TN","Category",7,"Category2","Two-Year"))/$B284)*100</f>
        <v>0</v>
      </c>
      <c r="O284" s="86">
        <f>IF($B284&gt;0,(GETPIVOTDATA(" New Total",'$ Pivot Table'!$A$3,"State","TN","Category",7,"Category2","Two-Year"))/$B284)*100</f>
        <v>0</v>
      </c>
    </row>
    <row r="285" spans="1:16" ht="15.75" customHeight="1">
      <c r="A285" s="149" t="s">
        <v>491</v>
      </c>
      <c r="B285" s="617">
        <f>+'[2]OLD Tables'!B56</f>
        <v>51563.563213241381</v>
      </c>
      <c r="C285" s="28">
        <f>IF($B285&gt;0,(GETPIVOTDATA(" New Retirement",'$ Pivot Table'!$A$3,"State","TX","Category",7,"Category2","Two-Year"))/$B285)*100</f>
        <v>7.5558326870725887</v>
      </c>
      <c r="D285" s="28">
        <f>IF($B285&gt;0,(GETPIVOTDATA(" New Health",'$ Pivot Table'!$A$3,"State","TX","Category",7,"Category2","Two-Year"))/$B285)*100</f>
        <v>12.749364279551397</v>
      </c>
      <c r="E285" s="28">
        <f>IF($B285&gt;0,(GETPIVOTDATA(" New Disability",'$ Pivot Table'!$A$3,"State","TX","Category",7,"Category2","Two-Year"))/$B285)*100</f>
        <v>0.84475274445882065</v>
      </c>
      <c r="F285" s="28"/>
      <c r="G285" s="28">
        <f>IF($B285&gt;0,(GETPIVOTDATA(" New Social Security",'$ Pivot Table'!$A$3,"State","TX","Category",7,"Category2","Two-Year"))/$B285)*100</f>
        <v>6.5086985353958804</v>
      </c>
      <c r="H285" s="28"/>
      <c r="I285" s="28">
        <f>IF($B285&gt;0,(GETPIVOTDATA(" New Unemployment",'$ Pivot Table'!$A$3,"State","TX","Category",7,"Category2","Two-Year"))/$B285)*100</f>
        <v>0.75076567296882502</v>
      </c>
      <c r="J285" s="28">
        <f>IF($B285&gt;0,(GETPIVOTDATA(" New Life Insurance",'$ Pivot Table'!$A$3,"State","TX","Category",7,"Category2","Two-Year"))/$B285)*100</f>
        <v>0.33841079343875757</v>
      </c>
      <c r="K285" s="28"/>
      <c r="L285" s="28">
        <f>IF($B285&gt;0,(GETPIVOTDATA(" New Worker's Comp",'$ Pivot Table'!$A$3,"State","TX","Category",7,"Category2","Two-Year"))/$B285)*100</f>
        <v>0.8380551155341176</v>
      </c>
      <c r="M285" s="28">
        <f>IF($B285&gt;0,(GETPIVOTDATA(" New Tuition Plans",'$ Pivot Table'!$A$3,"State","TX","Category",7,"Category2","Two-Year"))/$B285)*100</f>
        <v>1.6501028998580833</v>
      </c>
      <c r="N285" s="28">
        <f>IF($B285&gt;0,(GETPIVOTDATA(" New Other",'$ Pivot Table'!$A$3,"State","TX","Category",7,"Category2","Two-Year"))/$B285)*100</f>
        <v>0</v>
      </c>
      <c r="O285" s="86">
        <f>IF($B285&gt;0,(GETPIVOTDATA(" New Total",'$ Pivot Table'!$A$3,"State","TX","Category",7,"Category2","Two-Year"))/$B285)*100</f>
        <v>22.866888968508832</v>
      </c>
    </row>
    <row r="286" spans="1:16" ht="15.75" customHeight="1">
      <c r="A286" s="149" t="s">
        <v>492</v>
      </c>
      <c r="B286" s="617">
        <f>+'[2]OLD Tables'!B57</f>
        <v>0</v>
      </c>
      <c r="C286" s="28">
        <f>IF($B286&gt;0,(GETPIVOTDATA(" New Retirement",'$ Pivot Table'!$A$3,"State","VA","Category",7,"Category2","Two-Year"))/$B286)*100</f>
        <v>0</v>
      </c>
      <c r="D286" s="28">
        <f>IF($B286&gt;0,(GETPIVOTDATA(" New Health",'$ Pivot Table'!$A$3,"State","VA","Category",7,"Category2","Two-Year"))/$B286)*100</f>
        <v>0</v>
      </c>
      <c r="E286" s="28">
        <f>IF($B286&gt;0,(GETPIVOTDATA(" New Disability",'$ Pivot Table'!$A$3,"State","VA","Category",7,"Category2","Two-Year"))/$B286)*100</f>
        <v>0</v>
      </c>
      <c r="F286" s="28"/>
      <c r="G286" s="28">
        <f>IF($B286&gt;0,(GETPIVOTDATA(" New Social Security",'$ Pivot Table'!$A$3,"State","VA","Category",7,"Category2","Two-Year"))/$B286)*100</f>
        <v>0</v>
      </c>
      <c r="H286" s="28"/>
      <c r="I286" s="28">
        <f>IF($B286&gt;0,(GETPIVOTDATA(" New Unemployment",'$ Pivot Table'!$A$3,"State","VA","Category",7,"Category2","Two-Year"))/$B286)*100</f>
        <v>0</v>
      </c>
      <c r="J286" s="28">
        <f>IF($B286&gt;0,(GETPIVOTDATA(" New Life Insurance",'$ Pivot Table'!$A$3,"State","VA","Category",7,"Category2","Two-Year"))/$B286)*100</f>
        <v>0</v>
      </c>
      <c r="K286" s="28"/>
      <c r="L286" s="28">
        <f>IF($B286&gt;0,(GETPIVOTDATA(" New Worker's Comp",'$ Pivot Table'!$A$3,"State","VA","Category",7,"Category2","Two-Year"))/$B286)*100</f>
        <v>0</v>
      </c>
      <c r="M286" s="28">
        <f>IF($B286&gt;0,(GETPIVOTDATA(" New Tuition Plans",'$ Pivot Table'!$A$3,"State","VA","Category",7,"Category2","Two-Year"))/$B286)*100</f>
        <v>0</v>
      </c>
      <c r="N286" s="28">
        <f>IF($B286&gt;0,(GETPIVOTDATA(" New Other",'$ Pivot Table'!$A$3,"State","VA","Category",7,"Category2","Two-Year"))/$B286)*100</f>
        <v>0</v>
      </c>
      <c r="O286" s="86">
        <f>IF($B286&gt;0,(GETPIVOTDATA(" New Total",'$ Pivot Table'!$A$3,"State","VA","Category",7,"Category2","Two-Year"))/$B286)*100</f>
        <v>0</v>
      </c>
    </row>
    <row r="287" spans="1:16" ht="15.75" customHeight="1">
      <c r="A287" s="630" t="s">
        <v>493</v>
      </c>
      <c r="B287" s="618">
        <f>+'[2]OLD Tables'!B58</f>
        <v>47120.757516535428</v>
      </c>
      <c r="C287" s="30">
        <f>IF($B287&gt;0,(GETPIVOTDATA(" New Retirement",'$ Pivot Table'!$A$3,"State","WV","Category",7,"Category2","Two-Year"))/$B287)*100</f>
        <v>6.3081144062465651</v>
      </c>
      <c r="D287" s="30">
        <f>IF($B287&gt;0,(GETPIVOTDATA(" New Health",'$ Pivot Table'!$A$3,"State","WV","Category",7,"Category2","Two-Year"))/$B287)*100</f>
        <v>10.129437472430247</v>
      </c>
      <c r="E287" s="30">
        <f>IF($B287&gt;0,(GETPIVOTDATA(" New Disability",'$ Pivot Table'!$A$3,"State","WV","Category",7,"Category2","Two-Year"))/$B287)*100</f>
        <v>0</v>
      </c>
      <c r="F287" s="30"/>
      <c r="G287" s="30">
        <f>IF($B287&gt;0,(GETPIVOTDATA(" New Social Security",'$ Pivot Table'!$A$3,"State","WV","Category",7,"Category2","Two-Year"))/$B287)*100</f>
        <v>7.6128325909063266</v>
      </c>
      <c r="H287" s="30"/>
      <c r="I287" s="30">
        <f>IF($B287&gt;0,(GETPIVOTDATA(" New Unemployment",'$ Pivot Table'!$A$3,"State","WV","Category",7,"Category2","Two-Year"))/$B287)*100</f>
        <v>0</v>
      </c>
      <c r="J287" s="30">
        <f>IF($B287&gt;0,(GETPIVOTDATA(" New Life Insurance",'$ Pivot Table'!$A$3,"State","WV","Category",7,"Category2","Two-Year"))/$B287)*100</f>
        <v>0.13544648751661464</v>
      </c>
      <c r="K287" s="30"/>
      <c r="L287" s="30">
        <f>IF($B287&gt;0,(GETPIVOTDATA(" New Worker's Comp",'$ Pivot Table'!$A$3,"State","WV","Category",7,"Category2","Two-Year"))/$B287)*100</f>
        <v>0.56723066363615748</v>
      </c>
      <c r="M287" s="30">
        <f>IF($B287&gt;0,(GETPIVOTDATA(" New Tuition Plans",'$ Pivot Table'!$A$3,"State","WV","Category",7,"Category2","Two-Year"))/$B287)*100</f>
        <v>0</v>
      </c>
      <c r="N287" s="30">
        <f>IF($B287&gt;0,(GETPIVOTDATA(" New Other",'$ Pivot Table'!$A$3,"State","WV","Category",7,"Category2","Two-Year"))/$B287)*100</f>
        <v>0</v>
      </c>
      <c r="O287" s="115">
        <f>IF($B287&gt;0,(GETPIVOTDATA(" New Total",'$ Pivot Table'!$A$3,"State","WV","Category",7,"Category2","Two-Year"))/$B287)*100</f>
        <v>24.679034397042209</v>
      </c>
    </row>
    <row r="288" spans="1:16" ht="18" customHeight="1">
      <c r="A288" s="628" t="s">
        <v>14</v>
      </c>
      <c r="B288" s="45"/>
      <c r="C288" s="47"/>
      <c r="D288" s="47"/>
      <c r="E288" s="47"/>
      <c r="F288" s="47"/>
      <c r="G288" s="47"/>
      <c r="H288" s="47"/>
      <c r="I288" s="47"/>
      <c r="J288" s="47"/>
      <c r="K288" s="47"/>
      <c r="L288" s="47"/>
      <c r="M288" s="47"/>
      <c r="N288" s="47"/>
      <c r="O288" s="77"/>
    </row>
    <row r="289" spans="1:15">
      <c r="A289" s="629"/>
      <c r="B289" s="55"/>
      <c r="C289" s="38"/>
      <c r="D289" s="38"/>
      <c r="E289" s="38"/>
      <c r="F289" s="38"/>
      <c r="G289" s="38"/>
      <c r="H289" s="38"/>
      <c r="I289" s="38"/>
      <c r="J289" s="38"/>
      <c r="K289" s="38"/>
      <c r="L289" s="38"/>
      <c r="M289" s="38"/>
      <c r="N289" s="38"/>
      <c r="O289" s="637" t="s">
        <v>1321</v>
      </c>
    </row>
    <row r="290" spans="1:15" ht="18">
      <c r="A290" s="595" t="s">
        <v>1109</v>
      </c>
      <c r="B290" s="48"/>
      <c r="C290" s="48"/>
      <c r="D290" s="48"/>
      <c r="E290" s="48"/>
      <c r="F290" s="48"/>
      <c r="G290" s="48"/>
      <c r="H290" s="48"/>
      <c r="I290" s="48"/>
      <c r="J290" s="48"/>
      <c r="K290" s="48"/>
      <c r="L290" s="48"/>
      <c r="M290" s="48"/>
      <c r="N290" s="48"/>
      <c r="O290" s="48"/>
    </row>
    <row r="291" spans="1:15">
      <c r="A291" s="622"/>
      <c r="B291" s="50"/>
      <c r="C291" s="49"/>
      <c r="D291" s="49"/>
      <c r="E291" s="49"/>
      <c r="F291" s="49"/>
      <c r="G291" s="49"/>
      <c r="H291" s="49"/>
      <c r="I291" s="49"/>
      <c r="J291" s="49"/>
      <c r="K291" s="49"/>
      <c r="L291" s="49"/>
      <c r="M291" s="49"/>
      <c r="N291" s="49"/>
      <c r="O291" s="148"/>
    </row>
    <row r="292" spans="1:15" ht="15.75">
      <c r="A292" s="633" t="s">
        <v>466</v>
      </c>
      <c r="B292" s="48"/>
      <c r="C292" s="48"/>
      <c r="D292" s="48"/>
      <c r="E292" s="48"/>
      <c r="F292" s="48"/>
      <c r="G292" s="48"/>
      <c r="H292" s="48"/>
      <c r="I292" s="48"/>
      <c r="J292" s="48"/>
      <c r="K292" s="48"/>
      <c r="L292" s="48"/>
      <c r="M292" s="48"/>
      <c r="N292" s="48"/>
      <c r="O292" s="147"/>
    </row>
    <row r="293" spans="1:15" ht="15.75">
      <c r="A293" s="633" t="s">
        <v>1077</v>
      </c>
      <c r="B293" s="48"/>
      <c r="C293" s="48"/>
      <c r="D293" s="48"/>
      <c r="E293" s="48"/>
      <c r="F293" s="48"/>
      <c r="G293" s="48"/>
      <c r="H293" s="48"/>
      <c r="I293" s="48"/>
      <c r="J293" s="48"/>
      <c r="K293" s="48"/>
      <c r="L293" s="48"/>
      <c r="M293" s="48"/>
      <c r="N293" s="48"/>
      <c r="O293" s="147"/>
    </row>
    <row r="294" spans="1:15">
      <c r="A294" s="148"/>
      <c r="B294" s="45"/>
      <c r="C294" s="54"/>
      <c r="D294" s="54"/>
      <c r="E294" s="54"/>
      <c r="F294" s="54"/>
      <c r="G294" s="54"/>
      <c r="H294" s="54"/>
      <c r="I294" s="54"/>
      <c r="J294" s="54"/>
      <c r="K294" s="54"/>
      <c r="L294" s="54"/>
      <c r="M294" s="54"/>
      <c r="N294" s="54"/>
      <c r="O294" s="145"/>
    </row>
    <row r="295" spans="1:15">
      <c r="A295" s="634"/>
      <c r="B295" s="2" t="s">
        <v>473</v>
      </c>
      <c r="C295" s="63" t="s">
        <v>593</v>
      </c>
      <c r="D295" s="63"/>
      <c r="E295" s="63"/>
      <c r="F295" s="63"/>
      <c r="G295" s="63"/>
      <c r="H295" s="63"/>
      <c r="I295" s="63"/>
      <c r="J295" s="63"/>
      <c r="K295" s="63"/>
      <c r="L295" s="63"/>
      <c r="M295" s="63"/>
      <c r="N295" s="63"/>
      <c r="O295" s="136"/>
    </row>
    <row r="296" spans="1:15">
      <c r="A296" s="635"/>
      <c r="B296" s="4" t="s">
        <v>474</v>
      </c>
      <c r="C296" s="3" t="s">
        <v>660</v>
      </c>
      <c r="D296" s="3"/>
      <c r="E296" s="57"/>
      <c r="F296" s="57"/>
      <c r="G296" s="3" t="s">
        <v>661</v>
      </c>
      <c r="H296" s="3"/>
      <c r="I296" s="3" t="s">
        <v>662</v>
      </c>
      <c r="J296" s="3" t="s">
        <v>663</v>
      </c>
      <c r="K296" s="3"/>
      <c r="L296" s="3" t="s">
        <v>664</v>
      </c>
      <c r="M296" s="3" t="s">
        <v>665</v>
      </c>
      <c r="N296" s="3"/>
      <c r="O296" s="124" t="s">
        <v>475</v>
      </c>
    </row>
    <row r="297" spans="1:15">
      <c r="A297" s="636"/>
      <c r="B297" s="15" t="s">
        <v>476</v>
      </c>
      <c r="C297" s="16" t="s">
        <v>667</v>
      </c>
      <c r="D297" s="16" t="s">
        <v>708</v>
      </c>
      <c r="E297" s="17" t="s">
        <v>709</v>
      </c>
      <c r="F297" s="17"/>
      <c r="G297" s="16" t="s">
        <v>668</v>
      </c>
      <c r="H297" s="16"/>
      <c r="I297" s="16" t="s">
        <v>667</v>
      </c>
      <c r="J297" s="16" t="s">
        <v>669</v>
      </c>
      <c r="K297" s="16"/>
      <c r="L297" s="16" t="s">
        <v>670</v>
      </c>
      <c r="M297" s="16" t="s">
        <v>671</v>
      </c>
      <c r="N297" s="16" t="s">
        <v>701</v>
      </c>
      <c r="O297" s="146" t="s">
        <v>15</v>
      </c>
    </row>
    <row r="298" spans="1:15">
      <c r="A298" s="149" t="s">
        <v>600</v>
      </c>
      <c r="B298" s="33">
        <f>+'[2]OLD Tables'!D38</f>
        <v>53785.728975032594</v>
      </c>
      <c r="C298" s="32">
        <f>IF($B298&gt;0,(GETPIVOTDATA(" New Retirement",'$ Pivot Table'!$A$3,"Category",8,"Category2","Two-Year"))/$B298)*100</f>
        <v>9.9726615342380995</v>
      </c>
      <c r="D298" s="32">
        <f>IF($B298&gt;0,(GETPIVOTDATA(" New Health",'$ Pivot Table'!$A$3,"Category",8,"Category2","Two-Year"))/$B298)*100</f>
        <v>10.715508448716736</v>
      </c>
      <c r="E298" s="32">
        <f>IF($B298&gt;0,(GETPIVOTDATA(" New Disability",'$ Pivot Table'!$A$3,"Category",8,"Category2","Two-Year"))/$B298)*100</f>
        <v>0.57606164484687505</v>
      </c>
      <c r="F298" s="32"/>
      <c r="G298" s="32">
        <f>IF($B298&gt;0,(GETPIVOTDATA(" New Social Security",'$ Pivot Table'!$A$3,"Category",8,"Category2","Two-Year"))/$B298)*100</f>
        <v>6.5133944570564273</v>
      </c>
      <c r="H298" s="32"/>
      <c r="I298" s="32">
        <f>IF($B298&gt;0,(GETPIVOTDATA(" New Unemployment",'$ Pivot Table'!$A$3,"Category",8,"Category2","Two-Year"))/$B298)*100</f>
        <v>0.28571290134741112</v>
      </c>
      <c r="J298" s="32">
        <f>IF($B298&gt;0,(GETPIVOTDATA(" New Life Insurance",'$ Pivot Table'!$A$3,"Category",8,"Category2","Two-Year"))/$B298)*100</f>
        <v>0.28214577383989309</v>
      </c>
      <c r="K298" s="32"/>
      <c r="L298" s="32">
        <f>IF($B298&gt;0,(GETPIVOTDATA(" New Worker's Comp",'$ Pivot Table'!$A$3,"Category",8,"Category2","Two-Year"))/$B298)*100</f>
        <v>0.51097804809235414</v>
      </c>
      <c r="M298" s="32">
        <f>IF($B298&gt;0,(GETPIVOTDATA(" New Tuition Plans",'$ Pivot Table'!$A$3,"Category",8,"Category2","Two-Year"))/$B298)*100</f>
        <v>0.76829229144743327</v>
      </c>
      <c r="N298" s="32">
        <f>IF($B298&gt;0,(GETPIVOTDATA(" New Other",'$ Pivot Table'!$A$3,"Category",8,"Category2","Two-Year"))/$B298)*100</f>
        <v>0.69618805048926613</v>
      </c>
      <c r="O298" s="90">
        <f>IF($B298&gt;0,(GETPIVOTDATA(" New Total",'$ Pivot Table'!$A$3,"Category",8,"Category2","Two-Year"))/$B298)*100</f>
        <v>24.875108937982805</v>
      </c>
    </row>
    <row r="299" spans="1:15">
      <c r="A299" s="149"/>
      <c r="B299" s="31">
        <f>+'[3]OLD Tables 107-126'!D39</f>
        <v>0</v>
      </c>
      <c r="C299" s="32"/>
      <c r="D299" s="34"/>
      <c r="E299" s="32"/>
      <c r="F299" s="32"/>
      <c r="G299" s="32"/>
      <c r="H299" s="32"/>
      <c r="I299" s="32"/>
      <c r="J299" s="32"/>
      <c r="K299" s="32"/>
      <c r="L299" s="32"/>
      <c r="M299" s="32"/>
      <c r="N299" s="32"/>
      <c r="O299" s="90"/>
    </row>
    <row r="300" spans="1:15">
      <c r="A300" s="149" t="s">
        <v>479</v>
      </c>
      <c r="B300" s="617">
        <f>+'[2]OLD Tables'!D40</f>
        <v>53891.246937627118</v>
      </c>
      <c r="C300" s="32">
        <f>IF($B300&gt;0,(GETPIVOTDATA(" New Retirement",'$ Pivot Table'!$A$3,"State","AL","Category",8,"Category2","Two-Year"))/$B300)*100</f>
        <v>12.409120955805268</v>
      </c>
      <c r="D300" s="32">
        <f>IF($B300&gt;0,(GETPIVOTDATA(" New Health",'$ Pivot Table'!$A$3,"State","AL","Category",8,"Category2","Two-Year"))/$B300)*100</f>
        <v>16.74483429645678</v>
      </c>
      <c r="E300" s="32">
        <f>IF($B300&gt;0,(GETPIVOTDATA(" New Disability",'$ Pivot Table'!$A$3,"State","AL","Category",8,"Category2","Two-Year"))/$B300)*100</f>
        <v>0</v>
      </c>
      <c r="F300" s="32"/>
      <c r="G300" s="32">
        <f>IF($B300&gt;0,(GETPIVOTDATA(" New Social Security",'$ Pivot Table'!$A$3,"State","AL","Category",8,"Category2","Two-Year"))/$B300)*100</f>
        <v>7.5883067417018699</v>
      </c>
      <c r="H300" s="32"/>
      <c r="I300" s="56">
        <f>IF($B300&gt;0,(GETPIVOTDATA(" New Unemployment",'$ Pivot Table'!$A$3,"State","AL","Category",8,"Category2","Two-Year"))/$B300)*100</f>
        <v>0.31075656577240074</v>
      </c>
      <c r="J300" s="32">
        <f>IF($B300&gt;0,(GETPIVOTDATA(" New Life Insurance",'$ Pivot Table'!$A$3,"State","AL","Category",8,"Category2","Two-Year"))/$B300)*100</f>
        <v>0</v>
      </c>
      <c r="K300" s="32"/>
      <c r="L300" s="32">
        <f>IF($B300&gt;0,(GETPIVOTDATA(" New Worker's Comp",'$ Pivot Table'!$A$3,"State","AL","Category",8,"Category2","Two-Year"))/$B300)*100</f>
        <v>0</v>
      </c>
      <c r="M300" s="32">
        <f>IF($B300&gt;0,(GETPIVOTDATA(" New Tuition Plans",'$ Pivot Table'!$A$3,"State","AL","Category",8,"Category2","Two-Year"))/$B300)*100</f>
        <v>2.3601477341030037</v>
      </c>
      <c r="N300" s="32">
        <f>IF($B300&gt;0,(GETPIVOTDATA(" New Other",'$ Pivot Table'!$A$3,"State","AL","Category",8,"Category2","Two-Year"))/$B300)*100</f>
        <v>0</v>
      </c>
      <c r="O300" s="90">
        <f>IF($B300&gt;0,(GETPIVOTDATA(" New Total",'$ Pivot Table'!$A$3,"State","AL","Category",8,"Category2","Two-Year"))/$B300)*100</f>
        <v>36.905503468055784</v>
      </c>
    </row>
    <row r="301" spans="1:15">
      <c r="A301" s="149" t="s">
        <v>480</v>
      </c>
      <c r="B301" s="617">
        <f>+'[2]OLD Tables'!D41</f>
        <v>46162.602924050632</v>
      </c>
      <c r="C301" s="32">
        <f>IF($B301&gt;0,(GETPIVOTDATA(" New Retirement",'$ Pivot Table'!$A$3,"State","AR","Category",8,"Category2","Two-Year"))/$B301)*100</f>
        <v>10.268948743093494</v>
      </c>
      <c r="D301" s="32">
        <f>IF($B301&gt;0,(GETPIVOTDATA(" New Health",'$ Pivot Table'!$A$3,"State","AR","Category",8,"Category2","Two-Year"))/$B301)*100</f>
        <v>10.894619123527905</v>
      </c>
      <c r="E301" s="32">
        <f>IF($B301&gt;0,(GETPIVOTDATA(" New Disability",'$ Pivot Table'!$A$3,"State","AR","Category",8,"Category2","Two-Year"))/$B301)*100</f>
        <v>0.30340247442848056</v>
      </c>
      <c r="F301" s="32"/>
      <c r="G301" s="32">
        <f>IF($B301&gt;0,(GETPIVOTDATA(" New Social Security",'$ Pivot Table'!$A$3,"State","AR","Category",8,"Category2","Two-Year"))/$B301)*100</f>
        <v>7.8557376923203446</v>
      </c>
      <c r="H301" s="32"/>
      <c r="I301" s="32">
        <f>IF($B301&gt;0,(GETPIVOTDATA(" New Unemployment",'$ Pivot Table'!$A$3,"State","AR","Category",8,"Category2","Two-Year"))/$B301)*100</f>
        <v>0.71143129692814355</v>
      </c>
      <c r="J301" s="32">
        <f>IF($B301&gt;0,(GETPIVOTDATA(" New Life Insurance",'$ Pivot Table'!$A$3,"State","AR","Category",8,"Category2","Two-Year"))/$B301)*100</f>
        <v>0.10819432569960848</v>
      </c>
      <c r="K301" s="32"/>
      <c r="L301" s="32">
        <f>IF($B301&gt;0,(GETPIVOTDATA(" New Worker's Comp",'$ Pivot Table'!$A$3,"State","AR","Category",8,"Category2","Two-Year"))/$B301)*100</f>
        <v>0</v>
      </c>
      <c r="M301" s="32">
        <f>IF($B301&gt;0,(GETPIVOTDATA(" New Tuition Plans",'$ Pivot Table'!$A$3,"State","AR","Category",8,"Category2","Two-Year"))/$B301)*100</f>
        <v>3.7307255027049977</v>
      </c>
      <c r="N301" s="32">
        <f>IF($B301&gt;0,(GETPIVOTDATA(" New Other",'$ Pivot Table'!$A$3,"State","AR","Category",8,"Category2","Two-Year"))/$B301)*100</f>
        <v>0</v>
      </c>
      <c r="O301" s="90">
        <f>IF($B301&gt;0,(GETPIVOTDATA(" New Total",'$ Pivot Table'!$A$3,"State","AR","Category",8,"Category2","Two-Year"))/$B301)*100</f>
        <v>30.504321361521058</v>
      </c>
    </row>
    <row r="302" spans="1:15">
      <c r="A302" s="149" t="s">
        <v>494</v>
      </c>
      <c r="B302" s="617">
        <f>+'[2]OLD Tables'!D42</f>
        <v>0</v>
      </c>
      <c r="C302" s="32">
        <f>IF($B302&gt;0,(GETPIVOTDATA(" New Retirement",'$ Pivot Table'!$A$3,"State","DE","Category",8,"Category2","Two-Year"))/$B302)*100</f>
        <v>0</v>
      </c>
      <c r="D302" s="32">
        <f>IF($B302&gt;0,(GETPIVOTDATA(" New Health",'$ Pivot Table'!$A$3,"State","DE","Category",8,"Category2","Two-Year"))/$B302)*100</f>
        <v>0</v>
      </c>
      <c r="E302" s="32">
        <f>IF($B302&gt;0,(GETPIVOTDATA(" New Disability",'$ Pivot Table'!$A$3,"State","DE","Category",8,"Category2","Two-Year"))/$B302)*100</f>
        <v>0</v>
      </c>
      <c r="F302" s="32"/>
      <c r="G302" s="32">
        <f>IF($B302&gt;0,(GETPIVOTDATA(" New Social Security",'$ Pivot Table'!$A$3,"State","DE","Category",8,"Category2","Two-Year"))/$B302)*100</f>
        <v>0</v>
      </c>
      <c r="H302" s="32"/>
      <c r="I302" s="32">
        <f>IF($B302&gt;0,(GETPIVOTDATA(" New Unemployment",'$ Pivot Table'!$A$3,"State","DE","Category",8,"Category2","Two-Year"))/$B302)*100</f>
        <v>0</v>
      </c>
      <c r="J302" s="32">
        <f>IF($B302&gt;0,(GETPIVOTDATA(" New Life Insurance",'$ Pivot Table'!$A$3,"State","DE","Category",8,"Category2","Two-Year"))/$B302)*100</f>
        <v>0</v>
      </c>
      <c r="K302" s="32"/>
      <c r="L302" s="32">
        <f>IF($B302&gt;0,(GETPIVOTDATA(" New Worker's Comp",'$ Pivot Table'!$A$3,"State","DE","Category",8,"Category2","Two-Year"))/$B302)*100</f>
        <v>0</v>
      </c>
      <c r="M302" s="32">
        <f>IF($B302&gt;0,(GETPIVOTDATA(" New Tuition Plans",'$ Pivot Table'!$A$3,"State","DE","Category",8,"Category2","Two-Year"))/$B302)*100</f>
        <v>0</v>
      </c>
      <c r="N302" s="32">
        <f>IF($B302&gt;0,(GETPIVOTDATA(" New Other",'$ Pivot Table'!$A$3,"State","DE","Category",8,"Category2","Two-Year"))/$B302)*100</f>
        <v>0</v>
      </c>
      <c r="O302" s="90">
        <f>IF($B302&gt;0,(GETPIVOTDATA(" New Total",'$ Pivot Table'!$A$3,"State","DE","Category",8,"Category2","Two-Year"))/$B302)*100</f>
        <v>0</v>
      </c>
    </row>
    <row r="303" spans="1:15">
      <c r="A303" s="149" t="s">
        <v>481</v>
      </c>
      <c r="B303" s="617">
        <f>+'[2]OLD Tables'!D43</f>
        <v>52851.372625866745</v>
      </c>
      <c r="C303" s="32">
        <f>IF($B303&gt;0,(GETPIVOTDATA(" New Retirement",'$ Pivot Table'!$A$3,"State","FL","Category",8,"Category2","Two-Year"))/$B303)*100</f>
        <v>11.008168671284169</v>
      </c>
      <c r="D303" s="32">
        <f>IF($B303&gt;0,(GETPIVOTDATA(" New Health",'$ Pivot Table'!$A$3,"State","FL","Category",8,"Category2","Two-Year"))/$B303)*100</f>
        <v>11.465765945541389</v>
      </c>
      <c r="E303" s="32">
        <f>IF($B303&gt;0,(GETPIVOTDATA(" New Disability",'$ Pivot Table'!$A$3,"State","FL","Category",8,"Category2","Two-Year"))/$B303)*100</f>
        <v>0.33663816984321143</v>
      </c>
      <c r="F303" s="32"/>
      <c r="G303" s="32">
        <f>IF($B303&gt;0,(GETPIVOTDATA(" New Social Security",'$ Pivot Table'!$A$3,"State","FL","Category",8,"Category2","Two-Year"))/$B303)*100</f>
        <v>7.9457904367017012</v>
      </c>
      <c r="H303" s="32"/>
      <c r="I303" s="32">
        <f>IF($B303&gt;0,(GETPIVOTDATA(" New Unemployment",'$ Pivot Table'!$A$3,"State","FL","Category",8,"Category2","Two-Year"))/$B303)*100</f>
        <v>0.24693135960692458</v>
      </c>
      <c r="J303" s="32">
        <f>IF($B303&gt;0,(GETPIVOTDATA(" New Life Insurance",'$ Pivot Table'!$A$3,"State","FL","Category",8,"Category2","Two-Year"))/$B303)*100</f>
        <v>0.24488618408922322</v>
      </c>
      <c r="K303" s="32"/>
      <c r="L303" s="32">
        <f>IF($B303&gt;0,(GETPIVOTDATA(" New Worker's Comp",'$ Pivot Table'!$A$3,"State","FL","Category",8,"Category2","Two-Year"))/$B303)*100</f>
        <v>0.95029784308072274</v>
      </c>
      <c r="M303" s="32">
        <f>IF($B303&gt;0,(GETPIVOTDATA(" New Tuition Plans",'$ Pivot Table'!$A$3,"State","FL","Category",8,"Category2","Two-Year"))/$B303)*100</f>
        <v>0.68461873745718271</v>
      </c>
      <c r="N303" s="32">
        <f>IF($B303&gt;0,(GETPIVOTDATA(" New Other",'$ Pivot Table'!$A$3,"State","FL","Category",8,"Category2","Two-Year"))/$B303)*100</f>
        <v>0.28890385923048617</v>
      </c>
      <c r="O303" s="90">
        <f>IF($B303&gt;0,(GETPIVOTDATA(" New Total",'$ Pivot Table'!$A$3,"State","FL","Category",8,"Category2","Two-Year"))/$B303)*100</f>
        <v>31.259289086768039</v>
      </c>
    </row>
    <row r="304" spans="1:15">
      <c r="A304" s="149"/>
      <c r="B304" s="617">
        <f>+'[2]OLD Tables'!D44</f>
        <v>0</v>
      </c>
      <c r="C304" s="32"/>
      <c r="D304" s="34"/>
      <c r="E304" s="32"/>
      <c r="F304" s="32"/>
      <c r="G304" s="32"/>
      <c r="H304" s="32"/>
      <c r="I304" s="32"/>
      <c r="J304" s="32"/>
      <c r="K304" s="32"/>
      <c r="L304" s="32"/>
      <c r="M304" s="32"/>
      <c r="N304" s="32"/>
      <c r="O304" s="90"/>
    </row>
    <row r="305" spans="1:29">
      <c r="A305" s="149" t="s">
        <v>482</v>
      </c>
      <c r="B305" s="617">
        <f>+'[2]OLD Tables'!D45</f>
        <v>50094.771843216076</v>
      </c>
      <c r="C305" s="32">
        <f>IF($B305&gt;0,(GETPIVOTDATA(" New Retirement",'$ Pivot Table'!$A$3,"State","GA","Category",8,"Category2","Two-Year"))/$B305)*100</f>
        <v>9.7053121855391797</v>
      </c>
      <c r="D305" s="32">
        <f>IF($B305&gt;0,(GETPIVOTDATA(" New Health",'$ Pivot Table'!$A$3,"State","GA","Category",8,"Category2","Two-Year"))/$B305)*100</f>
        <v>10.63710794497575</v>
      </c>
      <c r="E305" s="32">
        <f>IF($B305&gt;0,(GETPIVOTDATA(" New Disability",'$ Pivot Table'!$A$3,"State","GA","Category",8,"Category2","Two-Year"))/$B305)*100</f>
        <v>0</v>
      </c>
      <c r="F305" s="32"/>
      <c r="G305" s="32">
        <f>IF($B305&gt;0,(GETPIVOTDATA(" New Social Security",'$ Pivot Table'!$A$3,"State","GA","Category",8,"Category2","Two-Year"))/$B305)*100</f>
        <v>7.7102582091710596</v>
      </c>
      <c r="H305" s="32"/>
      <c r="I305" s="32">
        <f>IF($B305&gt;0,(GETPIVOTDATA(" New Unemployment",'$ Pivot Table'!$A$3,"State","GA","Category",8,"Category2","Two-Year"))/$B305)*100</f>
        <v>0.28146649802357465</v>
      </c>
      <c r="J305" s="32">
        <f>IF($B305&gt;0,(GETPIVOTDATA(" New Life Insurance",'$ Pivot Table'!$A$3,"State","GA","Category",8,"Category2","Two-Year"))/$B305)*100</f>
        <v>0.34987075358034064</v>
      </c>
      <c r="K305" s="32"/>
      <c r="L305" s="32">
        <f>IF($B305&gt;0,(GETPIVOTDATA(" New Worker's Comp",'$ Pivot Table'!$A$3,"State","GA","Category",8,"Category2","Two-Year"))/$B305)*100</f>
        <v>0.25088313588216105</v>
      </c>
      <c r="M305" s="32">
        <f>IF($B305&gt;0,(GETPIVOTDATA(" New Tuition Plans",'$ Pivot Table'!$A$3,"State","GA","Category",8,"Category2","Two-Year"))/$B305)*100</f>
        <v>0</v>
      </c>
      <c r="N305" s="32">
        <f>IF($B305&gt;0,(GETPIVOTDATA(" New Other",'$ Pivot Table'!$A$3,"State","GA","Category",8,"Category2","Two-Year"))/$B305)*100</f>
        <v>0</v>
      </c>
      <c r="O305" s="90">
        <f>IF($B305&gt;0,(GETPIVOTDATA(" New Total",'$ Pivot Table'!$A$3,"State","GA","Category",8,"Category2","Two-Year"))/$B305)*100</f>
        <v>28.61325844866786</v>
      </c>
    </row>
    <row r="306" spans="1:29">
      <c r="A306" s="149" t="s">
        <v>483</v>
      </c>
      <c r="B306" s="617">
        <f>+'[2]OLD Tables'!D46</f>
        <v>49613.464754477616</v>
      </c>
      <c r="C306" s="32">
        <f>IF($B306&gt;0,(GETPIVOTDATA(" New Retirement",'$ Pivot Table'!$A$3,"State","KY","Category",8,"Category2","Two-Year"))/$B306)*100</f>
        <v>11.015285392358635</v>
      </c>
      <c r="D306" s="32">
        <f>IF($B306&gt;0,(GETPIVOTDATA(" New Health",'$ Pivot Table'!$A$3,"State","KY","Category",8,"Category2","Two-Year"))/$B306)*100</f>
        <v>14.95488130559432</v>
      </c>
      <c r="E306" s="32">
        <f>IF($B306&gt;0,(GETPIVOTDATA(" New Disability",'$ Pivot Table'!$A$3,"State","KY","Category",8,"Category2","Two-Year"))/$B306)*100</f>
        <v>0</v>
      </c>
      <c r="F306" s="32"/>
      <c r="G306" s="32">
        <f>IF($B306&gt;0,(GETPIVOTDATA(" New Social Security",'$ Pivot Table'!$A$3,"State","KY","Category",8,"Category2","Two-Year"))/$B306)*100</f>
        <v>6.4057913293601869</v>
      </c>
      <c r="H306" s="32"/>
      <c r="I306" s="32">
        <f>IF($B306&gt;0,(GETPIVOTDATA(" New Unemployment",'$ Pivot Table'!$A$3,"State","KY","Category",8,"Category2","Two-Year"))/$B306)*100</f>
        <v>0</v>
      </c>
      <c r="J306" s="56">
        <f>IF($B306&gt;0,(GETPIVOTDATA(" New Life Insurance",'$ Pivot Table'!$A$3,"State","KY","Category",8,"Category2","Two-Year"))/$B306)*100</f>
        <v>3.3753571715103091E-2</v>
      </c>
      <c r="K306" s="32"/>
      <c r="L306" s="32">
        <f>IF($B306&gt;0,(GETPIVOTDATA(" New Worker's Comp",'$ Pivot Table'!$A$3,"State","KY","Category",8,"Category2","Two-Year"))/$B306)*100</f>
        <v>0</v>
      </c>
      <c r="M306" s="32">
        <f>IF($B306&gt;0,(GETPIVOTDATA(" New Tuition Plans",'$ Pivot Table'!$A$3,"State","KY","Category",8,"Category2","Two-Year"))/$B306)*100</f>
        <v>1.980552445828712</v>
      </c>
      <c r="N306" s="32">
        <f>IF($B306&gt;0,(GETPIVOTDATA(" New Other",'$ Pivot Table'!$A$3,"State","KY","Category",8,"Category2","Two-Year"))/$B306)*100</f>
        <v>0</v>
      </c>
      <c r="O306" s="90">
        <f>IF($B306&gt;0,(GETPIVOTDATA(" New Total",'$ Pivot Table'!$A$3,"State","KY","Category",8,"Category2","Two-Year"))/$B306)*100</f>
        <v>31.959293266719591</v>
      </c>
    </row>
    <row r="307" spans="1:29">
      <c r="A307" s="149" t="s">
        <v>484</v>
      </c>
      <c r="B307" s="617">
        <f>+'[2]OLD Tables'!D47</f>
        <v>55918.044931724144</v>
      </c>
      <c r="C307" s="32">
        <f>IF($B307&gt;0,(GETPIVOTDATA(" New Retirement",'$ Pivot Table'!$A$3,"State","LA","Category",8,"Category2","Two-Year"))/$B307)*100</f>
        <v>12.575750393615603</v>
      </c>
      <c r="D307" s="32">
        <f>IF($B307&gt;0,(GETPIVOTDATA(" New Health",'$ Pivot Table'!$A$3,"State","LA","Category",8,"Category2","Two-Year"))/$B307)*100</f>
        <v>4.9856383010164551</v>
      </c>
      <c r="E307" s="32">
        <f>IF($B307&gt;0,(GETPIVOTDATA(" New Disability",'$ Pivot Table'!$A$3,"State","LA","Category",8,"Category2","Two-Year"))/$B307)*100</f>
        <v>0</v>
      </c>
      <c r="F307" s="32"/>
      <c r="G307" s="32">
        <f>IF($B307&gt;0,(GETPIVOTDATA(" New Social Security",'$ Pivot Table'!$A$3,"State","LA","Category",8,"Category2","Two-Year"))/$B307)*100</f>
        <v>1.1173270703297176</v>
      </c>
      <c r="H307" s="32"/>
      <c r="I307" s="32">
        <f>IF($B307&gt;0,(GETPIVOTDATA(" New Unemployment",'$ Pivot Table'!$A$3,"State","LA","Category",8,"Category2","Two-Year"))/$B307)*100</f>
        <v>0</v>
      </c>
      <c r="J307" s="32">
        <f>IF($B307&gt;0,(GETPIVOTDATA(" New Life Insurance",'$ Pivot Table'!$A$3,"State","LA","Category",8,"Category2","Two-Year"))/$B307)*100</f>
        <v>0.18634577416417075</v>
      </c>
      <c r="K307" s="32"/>
      <c r="L307" s="32">
        <f>IF($B307&gt;0,(GETPIVOTDATA(" New Worker's Comp",'$ Pivot Table'!$A$3,"State","LA","Category",8,"Category2","Two-Year"))/$B307)*100</f>
        <v>0</v>
      </c>
      <c r="M307" s="32">
        <f>IF($B307&gt;0,(GETPIVOTDATA(" New Tuition Plans",'$ Pivot Table'!$A$3,"State","LA","Category",8,"Category2","Two-Year"))/$B307)*100</f>
        <v>0</v>
      </c>
      <c r="N307" s="32">
        <f>IF($B307&gt;0,(GETPIVOTDATA(" New Other",'$ Pivot Table'!$A$3,"State","LA","Category",8,"Category2","Two-Year"))/$B307)*100</f>
        <v>0</v>
      </c>
      <c r="O307" s="90">
        <f>IF($B307&gt;0,(GETPIVOTDATA(" New Total",'$ Pivot Table'!$A$3,"State","LA","Category",8,"Category2","Two-Year"))/$B307)*100</f>
        <v>17.549985306165976</v>
      </c>
    </row>
    <row r="308" spans="1:29">
      <c r="A308" s="149" t="s">
        <v>485</v>
      </c>
      <c r="B308" s="617">
        <f>+'[2]OLD Tables'!D48</f>
        <v>68555.176708086467</v>
      </c>
      <c r="C308" s="32">
        <f>IF($B308&gt;0,(GETPIVOTDATA(" New Retirement",'$ Pivot Table'!$A$3,"State","MD","Category",8,"Category2","Two-Year"))/$B308)*100</f>
        <v>8.6172360258819616</v>
      </c>
      <c r="D308" s="32">
        <f>IF($B308&gt;0,(GETPIVOTDATA(" New Health",'$ Pivot Table'!$A$3,"State","MD","Category",8,"Category2","Two-Year"))/$B308)*100</f>
        <v>9.1175566841047502</v>
      </c>
      <c r="E308" s="32">
        <f>IF($B308&gt;0,(GETPIVOTDATA(" New Disability",'$ Pivot Table'!$A$3,"State","MD","Category",8,"Category2","Two-Year"))/$B308)*100</f>
        <v>0.61946400949855718</v>
      </c>
      <c r="F308" s="32"/>
      <c r="G308" s="32">
        <f>IF($B308&gt;0,(GETPIVOTDATA(" New Social Security",'$ Pivot Table'!$A$3,"State","MD","Category",8,"Category2","Two-Year"))/$B308)*100</f>
        <v>7.6477405986261777</v>
      </c>
      <c r="H308" s="32"/>
      <c r="I308" s="32">
        <f>IF($B308&gt;0,(GETPIVOTDATA(" New Unemployment",'$ Pivot Table'!$A$3,"State","MD","Category",8,"Category2","Two-Year"))/$B308)*100</f>
        <v>0</v>
      </c>
      <c r="J308" s="32">
        <f>IF($B308&gt;0,(GETPIVOTDATA(" New Life Insurance",'$ Pivot Table'!$A$3,"State","MD","Category",8,"Category2","Two-Year"))/$B308)*100</f>
        <v>0.33515777716254408</v>
      </c>
      <c r="K308" s="32"/>
      <c r="L308" s="32">
        <f>IF($B308&gt;0,(GETPIVOTDATA(" New Worker's Comp",'$ Pivot Table'!$A$3,"State","MD","Category",8,"Category2","Two-Year"))/$B308)*100</f>
        <v>0.41485934226638127</v>
      </c>
      <c r="M308" s="32">
        <f>IF($B308&gt;0,(GETPIVOTDATA(" New Tuition Plans",'$ Pivot Table'!$A$3,"State","MD","Category",8,"Category2","Two-Year"))/$B308)*100</f>
        <v>0</v>
      </c>
      <c r="N308" s="32">
        <f>IF($B308&gt;0,(GETPIVOTDATA(" New Other",'$ Pivot Table'!$A$3,"State","MD","Category",8,"Category2","Two-Year"))/$B308)*100</f>
        <v>0</v>
      </c>
      <c r="O308" s="90">
        <f>IF($B308&gt;0,(GETPIVOTDATA(" New Total",'$ Pivot Table'!$A$3,"State","MD","Category",8,"Category2","Two-Year"))/$B308)*100</f>
        <v>23.351232527714821</v>
      </c>
    </row>
    <row r="309" spans="1:29">
      <c r="A309" s="149"/>
      <c r="B309" s="617">
        <f>+'[2]OLD Tables'!D49</f>
        <v>0</v>
      </c>
      <c r="C309" s="32"/>
      <c r="D309" s="34"/>
      <c r="E309" s="32"/>
      <c r="F309" s="32"/>
      <c r="G309" s="32"/>
      <c r="H309" s="32"/>
      <c r="I309" s="32"/>
      <c r="J309" s="32"/>
      <c r="K309" s="32"/>
      <c r="L309" s="32"/>
      <c r="M309" s="32"/>
      <c r="N309" s="32"/>
      <c r="O309" s="90"/>
    </row>
    <row r="310" spans="1:29">
      <c r="A310" s="149" t="s">
        <v>486</v>
      </c>
      <c r="B310" s="617">
        <f>+'[2]OLD Tables'!D50</f>
        <v>47489.630033670037</v>
      </c>
      <c r="C310" s="32">
        <f>IF($B310&gt;0,(GETPIVOTDATA(" New Retirement",'$ Pivot Table'!$A$3,"State","MS","Category",8,"Category2","Two-Year"))/$B310)*100</f>
        <v>12.263580050786102</v>
      </c>
      <c r="D310" s="32">
        <f>IF($B310&gt;0,(GETPIVOTDATA(" New Health",'$ Pivot Table'!$A$3,"State","MS","Category",8,"Category2","Two-Year"))/$B310)*100</f>
        <v>8.8726001992435179</v>
      </c>
      <c r="E310" s="32">
        <f>IF($B310&gt;0,(GETPIVOTDATA(" New Disability",'$ Pivot Table'!$A$3,"State","MS","Category",8,"Category2","Two-Year"))/$B310)*100</f>
        <v>0</v>
      </c>
      <c r="F310" s="32"/>
      <c r="G310" s="32">
        <f>IF($B310&gt;0,(GETPIVOTDATA(" New Social Security",'$ Pivot Table'!$A$3,"State","MS","Category",8,"Category2","Two-Year"))/$B310)*100</f>
        <v>7.8180332655034155</v>
      </c>
      <c r="H310" s="32"/>
      <c r="I310" s="32">
        <f>IF($B310&gt;0,(GETPIVOTDATA(" New Unemployment",'$ Pivot Table'!$A$3,"State","MS","Category",8,"Category2","Two-Year"))/$B310)*100</f>
        <v>9.9295979824355646E-2</v>
      </c>
      <c r="J310" s="32">
        <f>IF($B310&gt;0,(GETPIVOTDATA(" New Life Insurance",'$ Pivot Table'!$A$3,"State","MS","Category",8,"Category2","Two-Year"))/$B310)*100</f>
        <v>0.25549250725820549</v>
      </c>
      <c r="K310" s="32"/>
      <c r="L310" s="32">
        <f>IF($B310&gt;0,(GETPIVOTDATA(" New Worker's Comp",'$ Pivot Table'!$A$3,"State","MS","Category",8,"Category2","Two-Year"))/$B310)*100</f>
        <v>0.81057176346547821</v>
      </c>
      <c r="M310" s="32">
        <f>IF($B310&gt;0,(GETPIVOTDATA(" New Tuition Plans",'$ Pivot Table'!$A$3,"State","MS","Category",8,"Category2","Two-Year"))/$B310)*100</f>
        <v>0</v>
      </c>
      <c r="N310" s="32">
        <f>IF($B310&gt;0,(GETPIVOTDATA(" New Other",'$ Pivot Table'!$A$3,"State","MS","Category",8,"Category2","Two-Year"))/$B310)*100</f>
        <v>0.69606964131228344</v>
      </c>
      <c r="O310" s="90">
        <f>IF($B310&gt;0,(GETPIVOTDATA(" New Total",'$ Pivot Table'!$A$3,"State","MS","Category",8,"Category2","Two-Year"))/$B310)*100</f>
        <v>29.98040480312013</v>
      </c>
    </row>
    <row r="311" spans="1:29">
      <c r="A311" s="149" t="s">
        <v>487</v>
      </c>
      <c r="B311" s="617">
        <f>+'[2]OLD Tables'!D51</f>
        <v>48064.402660217653</v>
      </c>
      <c r="C311" s="32">
        <f>IF($B311&gt;0,(GETPIVOTDATA(" New Retirement",'$ Pivot Table'!$A$3,"State","NC","Category",8,"Category2","Two-Year"))/$B311)*100</f>
        <v>10.632838110516241</v>
      </c>
      <c r="D311" s="32">
        <f>IF($B311&gt;0,(GETPIVOTDATA(" New Health",'$ Pivot Table'!$A$3,"State","NC","Category",8,"Category2","Two-Year"))/$B311)*100</f>
        <v>9.7747711602766447</v>
      </c>
      <c r="E311" s="32">
        <f>IF($B311&gt;0,(GETPIVOTDATA(" New Disability",'$ Pivot Table'!$A$3,"State","NC","Category",8,"Category2","Two-Year"))/$B311)*100</f>
        <v>0.47836744150494537</v>
      </c>
      <c r="F311" s="32"/>
      <c r="G311" s="32">
        <f>IF($B311&gt;0,(GETPIVOTDATA(" New Social Security",'$ Pivot Table'!$A$3,"State","NC","Category",8,"Category2","Two-Year"))/$B311)*100</f>
        <v>7.7027961134867668</v>
      </c>
      <c r="H311" s="32"/>
      <c r="I311" s="32">
        <f>IF($B311&gt;0,(GETPIVOTDATA(" New Unemployment",'$ Pivot Table'!$A$3,"State","NC","Category",8,"Category2","Two-Year"))/$B311)*100</f>
        <v>0.64070851114729821</v>
      </c>
      <c r="J311" s="32">
        <f>IF($B311&gt;0,(GETPIVOTDATA(" New Life Insurance",'$ Pivot Table'!$A$3,"State","NC","Category",8,"Category2","Two-Year"))/$B311)*100</f>
        <v>0.15275211412765938</v>
      </c>
      <c r="K311" s="32"/>
      <c r="L311" s="32">
        <f>IF($B311&gt;0,(GETPIVOTDATA(" New Worker's Comp",'$ Pivot Table'!$A$3,"State","NC","Category",8,"Category2","Two-Year"))/$B311)*100</f>
        <v>0.15439026667600728</v>
      </c>
      <c r="M311" s="32">
        <f>IF($B311&gt;0,(GETPIVOTDATA(" New Tuition Plans",'$ Pivot Table'!$A$3,"State","NC","Category",8,"Category2","Two-Year"))/$B311)*100</f>
        <v>0</v>
      </c>
      <c r="N311" s="32">
        <f>IF($B311&gt;0,(GETPIVOTDATA(" New Other",'$ Pivot Table'!$A$3,"State","NC","Category",8,"Category2","Two-Year"))/$B311)*100</f>
        <v>0.46812191049287682</v>
      </c>
      <c r="O311" s="90">
        <f>IF($B311&gt;0,(GETPIVOTDATA(" New Total",'$ Pivot Table'!$A$3,"State","NC","Category",8,"Category2","Two-Year"))/$B311)*100</f>
        <v>27.842220298543896</v>
      </c>
    </row>
    <row r="312" spans="1:29">
      <c r="A312" s="149" t="s">
        <v>488</v>
      </c>
      <c r="B312" s="617">
        <f>+'[2]OLD Tables'!D52</f>
        <v>53778.978769506728</v>
      </c>
      <c r="C312" s="32">
        <f>IF($B312&gt;0,(GETPIVOTDATA(" New Retirement",'$ Pivot Table'!$A$3,"State","OK","Category",8,"Category2","Two-Year"))/$B312)*100</f>
        <v>23.444490980509318</v>
      </c>
      <c r="D312" s="32">
        <f>IF($B312&gt;0,(GETPIVOTDATA(" New Health",'$ Pivot Table'!$A$3,"State","OK","Category",8,"Category2","Two-Year"))/$B312)*100</f>
        <v>10.969430589285727</v>
      </c>
      <c r="E312" s="32">
        <f>IF($B312&gt;0,(GETPIVOTDATA(" New Disability",'$ Pivot Table'!$A$3,"State","OK","Category",8,"Category2","Two-Year"))/$B312)*100</f>
        <v>0</v>
      </c>
      <c r="F312" s="32"/>
      <c r="G312" s="32">
        <f>IF($B312&gt;0,(GETPIVOTDATA(" New Social Security",'$ Pivot Table'!$A$3,"State","OK","Category",8,"Category2","Two-Year"))/$B312)*100</f>
        <v>7.043450613193289</v>
      </c>
      <c r="H312" s="32"/>
      <c r="I312" s="56">
        <f>IF($B312&gt;0,(GETPIVOTDATA(" New Unemployment",'$ Pivot Table'!$A$3,"State","OK","Category",8,"Category2","Two-Year"))/$B312)*100</f>
        <v>4.7081258140544008E-2</v>
      </c>
      <c r="J312" s="32">
        <f>IF($B312&gt;0,(GETPIVOTDATA(" New Life Insurance",'$ Pivot Table'!$A$3,"State","OK","Category",8,"Category2","Two-Year"))/$B312)*100</f>
        <v>0.52644159984820216</v>
      </c>
      <c r="K312" s="32"/>
      <c r="L312" s="32">
        <f>IF($B312&gt;0,(GETPIVOTDATA(" New Worker's Comp",'$ Pivot Table'!$A$3,"State","OK","Category",8,"Category2","Two-Year"))/$B312)*100</f>
        <v>0.39468012650659023</v>
      </c>
      <c r="M312" s="32">
        <f>IF($B312&gt;0,(GETPIVOTDATA(" New Tuition Plans",'$ Pivot Table'!$A$3,"State","OK","Category",8,"Category2","Two-Year"))/$B312)*100</f>
        <v>0</v>
      </c>
      <c r="N312" s="32">
        <f>IF($B312&gt;0,(GETPIVOTDATA(" New Other",'$ Pivot Table'!$A$3,"State","OK","Category",8,"Category2","Two-Year"))/$B312)*100</f>
        <v>0.66883697296543676</v>
      </c>
      <c r="O312" s="90">
        <f>IF($B312&gt;0,(GETPIVOTDATA(" New Total",'$ Pivot Table'!$A$3,"State","OK","Category",8,"Category2","Two-Year"))/$B312)*100</f>
        <v>42.887168696285691</v>
      </c>
    </row>
    <row r="313" spans="1:29">
      <c r="A313" s="149" t="s">
        <v>489</v>
      </c>
      <c r="B313" s="617">
        <f>+'[2]OLD Tables'!D53</f>
        <v>46918.906508875742</v>
      </c>
      <c r="C313" s="32">
        <f>IF($B313&gt;0,(GETPIVOTDATA(" New Retirement",'$ Pivot Table'!$A$3,"State","SC","Category",8,"Category2","Two-Year"))/$B313)*100</f>
        <v>13.332029579681299</v>
      </c>
      <c r="D313" s="32">
        <f>IF($B313&gt;0,(GETPIVOTDATA(" New Health",'$ Pivot Table'!$A$3,"State","SC","Category",8,"Category2","Two-Year"))/$B313)*100</f>
        <v>9.9050974793003235</v>
      </c>
      <c r="E313" s="32">
        <f>IF($B313&gt;0,(GETPIVOTDATA(" New Disability",'$ Pivot Table'!$A$3,"State","SC","Category",8,"Category2","Two-Year"))/$B313)*100</f>
        <v>6.1956184463997713E-2</v>
      </c>
      <c r="F313" s="32"/>
      <c r="G313" s="32">
        <f>IF($B313&gt;0,(GETPIVOTDATA(" New Social Security",'$ Pivot Table'!$A$3,"State","SC","Category",8,"Category2","Two-Year"))/$B313)*100</f>
        <v>7.6741937822516757</v>
      </c>
      <c r="H313" s="32"/>
      <c r="I313" s="32">
        <f>IF($B313&gt;0,(GETPIVOTDATA(" New Unemployment",'$ Pivot Table'!$A$3,"State","SC","Category",8,"Category2","Two-Year"))/$B313)*100</f>
        <v>0.24075739917053285</v>
      </c>
      <c r="J313" s="32">
        <f>IF($B313&gt;0,(GETPIVOTDATA(" New Life Insurance",'$ Pivot Table'!$A$3,"State","SC","Category",8,"Category2","Two-Year"))/$B313)*100</f>
        <v>9.8725694209261083E-2</v>
      </c>
      <c r="K313" s="32"/>
      <c r="L313" s="32">
        <f>IF($B313&gt;0,(GETPIVOTDATA(" New Worker's Comp",'$ Pivot Table'!$A$3,"State","SC","Category",8,"Category2","Two-Year"))/$B313)*100</f>
        <v>0.7676898562077572</v>
      </c>
      <c r="M313" s="32">
        <f>IF($B313&gt;0,(GETPIVOTDATA(" New Tuition Plans",'$ Pivot Table'!$A$3,"State","SC","Category",8,"Category2","Two-Year"))/$B313)*100</f>
        <v>0</v>
      </c>
      <c r="N313" s="32">
        <f>IF($B313&gt;0,(GETPIVOTDATA(" New Other",'$ Pivot Table'!$A$3,"State","SC","Category",8,"Category2","Two-Year"))/$B313)*100</f>
        <v>0</v>
      </c>
      <c r="O313" s="90">
        <f>IF($B313&gt;0,(GETPIVOTDATA(" New Total",'$ Pivot Table'!$A$3,"State","SC","Category",8,"Category2","Two-Year"))/$B313)*100</f>
        <v>32.020443676560348</v>
      </c>
    </row>
    <row r="314" spans="1:29">
      <c r="A314" s="149"/>
      <c r="B314" s="617">
        <f>+'[2]OLD Tables'!D54</f>
        <v>0</v>
      </c>
      <c r="C314" s="32"/>
      <c r="D314" s="34"/>
      <c r="E314" s="32"/>
      <c r="F314" s="32"/>
      <c r="G314" s="32"/>
      <c r="H314" s="32"/>
      <c r="I314" s="32"/>
      <c r="J314" s="32"/>
      <c r="K314" s="32"/>
      <c r="L314" s="32"/>
      <c r="M314" s="32"/>
      <c r="N314" s="32"/>
      <c r="O314" s="90"/>
    </row>
    <row r="315" spans="1:29">
      <c r="A315" s="149" t="s">
        <v>490</v>
      </c>
      <c r="B315" s="617">
        <f>+'[2]OLD Tables'!D55</f>
        <v>47600.536504566924</v>
      </c>
      <c r="C315" s="28">
        <f>IF($B315&gt;0,(GETPIVOTDATA(" New Retirement",'$ Pivot Table'!$A$3,"State","TN","Category",8,"Category2","Two-Year"))/$B315)*100</f>
        <v>12.546694257103983</v>
      </c>
      <c r="D315" s="28">
        <f>IF($B315&gt;0,(GETPIVOTDATA(" New Health",'$ Pivot Table'!$A$3,"State","TN","Category",8,"Category2","Two-Year"))/$B315)*100</f>
        <v>17.905339153440586</v>
      </c>
      <c r="E315" s="28">
        <f>IF($B315&gt;0,(GETPIVOTDATA(" New Disability",'$ Pivot Table'!$A$3,"State","TN","Category",8,"Category2","Two-Year"))/$B315)*100</f>
        <v>0</v>
      </c>
      <c r="F315" s="28"/>
      <c r="G315" s="28">
        <f>IF($B315&gt;0,(GETPIVOTDATA(" New Social Security",'$ Pivot Table'!$A$3,"State","TN","Category",8,"Category2","Two-Year"))/$B315)*100</f>
        <v>7.947135161077072</v>
      </c>
      <c r="H315" s="28"/>
      <c r="I315" s="28">
        <f>IF($B315&gt;0,(GETPIVOTDATA(" New Unemployment",'$ Pivot Table'!$A$3,"State","TN","Category",8,"Category2","Two-Year"))/$B315)*100</f>
        <v>0.56592768730404941</v>
      </c>
      <c r="J315" s="28">
        <f>IF($B315&gt;0,(GETPIVOTDATA(" New Life Insurance",'$ Pivot Table'!$A$3,"State","TN","Category",8,"Category2","Two-Year"))/$B315)*100</f>
        <v>0.10813090944535375</v>
      </c>
      <c r="K315" s="28"/>
      <c r="L315" s="28">
        <f>IF($B315&gt;0,(GETPIVOTDATA(" New Worker's Comp",'$ Pivot Table'!$A$3,"State","TN","Category",8,"Category2","Two-Year"))/$B315)*100</f>
        <v>0.33090868141201596</v>
      </c>
      <c r="M315" s="28">
        <f>IF($B315&gt;0,(GETPIVOTDATA(" New Tuition Plans",'$ Pivot Table'!$A$3,"State","TN","Category",8,"Category2","Two-Year"))/$B315)*100</f>
        <v>2.0198895463653406</v>
      </c>
      <c r="N315" s="58">
        <f>IF($B315&gt;0,(GETPIVOTDATA(" New Other",'$ Pivot Table'!$A$3,"State","TN","Category",8,"Category2","Two-Year"))/$B315)*100</f>
        <v>1.1878641062076079</v>
      </c>
      <c r="O315" s="86">
        <f>IF($B315&gt;0,(GETPIVOTDATA(" New Total",'$ Pivot Table'!$A$3,"State","TN","Category",8,"Category2","Two-Year"))/$B315)*100</f>
        <v>36.873248683092314</v>
      </c>
    </row>
    <row r="316" spans="1:29">
      <c r="A316" s="149" t="s">
        <v>491</v>
      </c>
      <c r="B316" s="617">
        <f>+'[2]OLD Tables'!D56</f>
        <v>55893.740439594279</v>
      </c>
      <c r="C316" s="28">
        <f>IF($B316&gt;0,(GETPIVOTDATA(" New Retirement",'$ Pivot Table'!$A$3,"State","TX","Category",8,"Category2","Two-Year"))/$B316)*100</f>
        <v>8.2617561984083245</v>
      </c>
      <c r="D316" s="28">
        <f>IF($B316&gt;0,(GETPIVOTDATA(" New Health",'$ Pivot Table'!$A$3,"State","TX","Category",8,"Category2","Two-Year"))/$B316)*100</f>
        <v>10.747108791559763</v>
      </c>
      <c r="E316" s="28">
        <f>IF($B316&gt;0,(GETPIVOTDATA(" New Disability",'$ Pivot Table'!$A$3,"State","TX","Category",8,"Category2","Two-Year"))/$B316)*100</f>
        <v>0.65239166718553443</v>
      </c>
      <c r="F316" s="28"/>
      <c r="G316" s="28">
        <f>IF($B316&gt;0,(GETPIVOTDATA(" New Social Security",'$ Pivot Table'!$A$3,"State","TX","Category",8,"Category2","Two-Year"))/$B316)*100</f>
        <v>4.6658198997063627</v>
      </c>
      <c r="H316" s="28"/>
      <c r="I316" s="28">
        <f>IF($B316&gt;0,(GETPIVOTDATA(" New Unemployment",'$ Pivot Table'!$A$3,"State","TX","Category",8,"Category2","Two-Year"))/$B316)*100</f>
        <v>0.29072177505428487</v>
      </c>
      <c r="J316" s="28">
        <f>IF($B316&gt;0,(GETPIVOTDATA(" New Life Insurance",'$ Pivot Table'!$A$3,"State","TX","Category",8,"Category2","Two-Year"))/$B316)*100</f>
        <v>0.32878106844951255</v>
      </c>
      <c r="K316" s="28"/>
      <c r="L316" s="28">
        <f>IF($B316&gt;0,(GETPIVOTDATA(" New Worker's Comp",'$ Pivot Table'!$A$3,"State","TX","Category",8,"Category2","Two-Year"))/$B316)*100</f>
        <v>0.36125076991515698</v>
      </c>
      <c r="M316" s="28">
        <f>IF($B316&gt;0,(GETPIVOTDATA(" New Tuition Plans",'$ Pivot Table'!$A$3,"State","TX","Category",8,"Category2","Two-Year"))/$B316)*100</f>
        <v>0.54860617323007255</v>
      </c>
      <c r="N316" s="58">
        <f>IF($B316&gt;0,(GETPIVOTDATA(" New Other",'$ Pivot Table'!$A$3,"State","TX","Category",8,"Category2","Two-Year"))/$B316)*100</f>
        <v>0</v>
      </c>
      <c r="O316" s="86">
        <f>IF($B316&gt;0,(GETPIVOTDATA(" New Total",'$ Pivot Table'!$A$3,"State","TX","Category",8,"Category2","Two-Year"))/$B316)*100</f>
        <v>19.531961083239381</v>
      </c>
    </row>
    <row r="317" spans="1:29">
      <c r="A317" s="149" t="s">
        <v>492</v>
      </c>
      <c r="B317" s="617">
        <f>+'[2]OLD Tables'!D57</f>
        <v>0</v>
      </c>
      <c r="C317" s="28">
        <f>IF($B317&gt;0,(GETPIVOTDATA(" New Retirement",'$ Pivot Table'!$A$3,"State","VA","Category",8,"Category2","Two-Year"))/$B317)*100</f>
        <v>0</v>
      </c>
      <c r="D317" s="28">
        <f>IF($B317&gt;0,(GETPIVOTDATA(" New Health",'$ Pivot Table'!$A$3,"State","VA","Category",8,"Category2","Two-Year"))/$B317)*100</f>
        <v>0</v>
      </c>
      <c r="E317" s="28">
        <f>IF($B317&gt;0,(GETPIVOTDATA(" New Disability",'$ Pivot Table'!$A$3,"State","VA","Category",8,"Category2","Two-Year"))/$B317)*100</f>
        <v>0</v>
      </c>
      <c r="F317" s="28"/>
      <c r="G317" s="28">
        <f>IF($B317&gt;0,(GETPIVOTDATA(" New Social Security",'$ Pivot Table'!$A$3,"State","VA","Category",8,"Category2","Two-Year"))/$B317)*100</f>
        <v>0</v>
      </c>
      <c r="H317" s="28"/>
      <c r="I317" s="28">
        <f>IF($B317&gt;0,(GETPIVOTDATA(" New Unemployment",'$ Pivot Table'!$A$3,"State","VA","Category",8,"Category2","Two-Year"))/$B317)*100</f>
        <v>0</v>
      </c>
      <c r="J317" s="28">
        <f>IF($B317&gt;0,(GETPIVOTDATA(" New Life Insurance",'$ Pivot Table'!$A$3,"State","VA","Category",8,"Category2","Two-Year"))/$B317)*100</f>
        <v>0</v>
      </c>
      <c r="K317" s="28"/>
      <c r="L317" s="28">
        <f>IF($B317&gt;0,(GETPIVOTDATA(" New Worker's Comp",'$ Pivot Table'!$A$3,"State","VA","Category",8,"Category2","Two-Year"))/$B317)*100</f>
        <v>0</v>
      </c>
      <c r="M317" s="28">
        <f>IF($B317&gt;0,(GETPIVOTDATA(" New Tuition Plans",'$ Pivot Table'!$A$3,"State","VA","Category",8,"Category2","Two-Year"))/$B317)*100</f>
        <v>0</v>
      </c>
      <c r="N317" s="28">
        <f>IF($B317&gt;0,(GETPIVOTDATA(" New Other",'$ Pivot Table'!$A$3,"State","VA","Category",8,"Category2","Two-Year"))/$B317)*100</f>
        <v>0</v>
      </c>
      <c r="O317" s="86">
        <f>IF($B317&gt;0,(GETPIVOTDATA(" New Total",'$ Pivot Table'!$A$3,"State","VA","Category",8,"Category2","Two-Year"))/$B317)*100</f>
        <v>0</v>
      </c>
    </row>
    <row r="318" spans="1:29">
      <c r="A318" s="630" t="s">
        <v>493</v>
      </c>
      <c r="B318" s="618">
        <f>+'[2]OLD Tables'!D58</f>
        <v>0</v>
      </c>
      <c r="C318" s="30">
        <f>IF($B318&gt;0,(GETPIVOTDATA(" New Retirement",'$ Pivot Table'!$A$3,"State","WV","Category",8,"Category2","Two-Year"))/$B318)*100</f>
        <v>0</v>
      </c>
      <c r="D318" s="30">
        <f>IF($B318&gt;0,(GETPIVOTDATA(" New Health",'$ Pivot Table'!$A$3,"State","WV","Category",8,"Category2","Two-Year"))/$B318)*100</f>
        <v>0</v>
      </c>
      <c r="E318" s="30">
        <f>IF($B318&gt;0,(GETPIVOTDATA(" New Disability",'$ Pivot Table'!$A$3,"State","WV","Category",8,"Category2","Two-Year"))/$B318)*100</f>
        <v>0</v>
      </c>
      <c r="F318" s="30"/>
      <c r="G318" s="30">
        <f>IF($B318&gt;0,(GETPIVOTDATA(" New Social Security",'$ Pivot Table'!$A$3,"State","WV","Category",8,"Category2","Two-Year"))/$B318)*100</f>
        <v>0</v>
      </c>
      <c r="H318" s="30"/>
      <c r="I318" s="30">
        <f>IF($B318&gt;0,(GETPIVOTDATA(" New Unemployment",'$ Pivot Table'!$A$3,"State","WV","Category",8,"Category2","Two-Year"))/$B318)*100</f>
        <v>0</v>
      </c>
      <c r="J318" s="30">
        <f>IF($B318&gt;0,(GETPIVOTDATA(" New Life Insurance",'$ Pivot Table'!$A$3,"State","WV","Category",8,"Category2","Two-Year"))/$B318)*100</f>
        <v>0</v>
      </c>
      <c r="K318" s="30"/>
      <c r="L318" s="30">
        <f>IF($B318&gt;0,(GETPIVOTDATA(" New Worker's Comp",'$ Pivot Table'!$A$3,"State","WV","Category",8,"Category2","Two-Year"))/$B318)*100</f>
        <v>0</v>
      </c>
      <c r="M318" s="30">
        <f>IF($B318&gt;0,(GETPIVOTDATA(" New Tuition Plans",'$ Pivot Table'!$A$3,"State","WV","Category",8,"Category2","Two-Year"))/$B318)*100</f>
        <v>0</v>
      </c>
      <c r="N318" s="30">
        <f>IF($B318&gt;0,(GETPIVOTDATA(" New Other",'$ Pivot Table'!$A$3,"State","WV","Category",8,"Category2","Two-Year"))/$B318)*100</f>
        <v>0</v>
      </c>
      <c r="O318" s="115">
        <f>IF($B318&gt;0,(GETPIVOTDATA(" New Total",'$ Pivot Table'!$A$3,"State","WV","Category",8,"Category2","Two-Year"))/$B318)*100</f>
        <v>0</v>
      </c>
    </row>
    <row r="319" spans="1:29" ht="15.75">
      <c r="A319" s="627" t="s">
        <v>685</v>
      </c>
      <c r="B319" s="31"/>
      <c r="C319" s="28"/>
      <c r="D319" s="28"/>
      <c r="E319" s="28"/>
      <c r="F319" s="28"/>
      <c r="G319" s="28"/>
      <c r="H319" s="28"/>
      <c r="I319" s="28"/>
      <c r="J319" s="28"/>
      <c r="K319" s="28"/>
      <c r="L319" s="28"/>
      <c r="M319" s="28"/>
      <c r="N319" s="28"/>
      <c r="O319" s="86"/>
      <c r="Q319" s="112"/>
      <c r="R319" s="101"/>
      <c r="S319" s="103"/>
      <c r="T319" s="102"/>
      <c r="V319" s="117"/>
    </row>
    <row r="320" spans="1:29" ht="18" customHeight="1">
      <c r="A320" s="628" t="s">
        <v>14</v>
      </c>
      <c r="B320" s="45"/>
      <c r="C320" s="47"/>
      <c r="D320" s="47"/>
      <c r="E320" s="47"/>
      <c r="F320" s="47"/>
      <c r="G320" s="47"/>
      <c r="H320" s="47"/>
      <c r="I320" s="47"/>
      <c r="J320" s="47"/>
      <c r="K320" s="47"/>
      <c r="L320" s="47"/>
      <c r="M320" s="47"/>
      <c r="N320" s="47"/>
      <c r="Q320" s="152"/>
      <c r="R320" s="152"/>
      <c r="S320" s="152"/>
      <c r="T320" s="153"/>
      <c r="U320" s="152"/>
      <c r="V320" s="153"/>
      <c r="W320" s="152"/>
      <c r="X320" s="152"/>
      <c r="Y320" s="153"/>
      <c r="Z320" s="152"/>
      <c r="AA320" s="152"/>
      <c r="AB320" s="152"/>
      <c r="AC320" s="154"/>
    </row>
    <row r="321" spans="1:16" ht="18" customHeight="1">
      <c r="A321" s="628"/>
      <c r="B321" s="45"/>
      <c r="C321" s="47"/>
      <c r="D321" s="47"/>
      <c r="E321" s="47"/>
      <c r="F321" s="47"/>
      <c r="G321" s="47"/>
      <c r="H321" s="47"/>
      <c r="I321" s="47"/>
      <c r="J321" s="47"/>
      <c r="K321" s="47"/>
      <c r="L321" s="47"/>
      <c r="M321" s="47"/>
      <c r="N321" s="47"/>
      <c r="O321" s="637" t="s">
        <v>1321</v>
      </c>
      <c r="P321" s="172"/>
    </row>
    <row r="322" spans="1:16" ht="18">
      <c r="A322" s="595" t="s">
        <v>1110</v>
      </c>
      <c r="B322" s="48"/>
      <c r="C322" s="48"/>
      <c r="D322" s="48"/>
      <c r="E322" s="48"/>
      <c r="F322" s="48"/>
      <c r="G322" s="48"/>
      <c r="H322" s="48"/>
      <c r="I322" s="48"/>
      <c r="J322" s="48"/>
      <c r="K322" s="48"/>
      <c r="L322" s="48"/>
      <c r="M322" s="48"/>
      <c r="N322" s="48"/>
      <c r="O322" s="48"/>
    </row>
    <row r="323" spans="1:16">
      <c r="A323" s="622"/>
      <c r="B323" s="50"/>
      <c r="C323" s="49"/>
      <c r="D323" s="49"/>
      <c r="E323" s="49"/>
      <c r="F323" s="49"/>
      <c r="G323" s="49"/>
      <c r="H323" s="49"/>
      <c r="I323" s="49"/>
      <c r="J323" s="49"/>
      <c r="K323" s="49"/>
      <c r="L323" s="49"/>
      <c r="M323" s="49"/>
      <c r="N323" s="49"/>
      <c r="O323" s="148"/>
    </row>
    <row r="324" spans="1:16" ht="15.75">
      <c r="A324" s="633" t="s">
        <v>466</v>
      </c>
      <c r="B324" s="48"/>
      <c r="C324" s="48"/>
      <c r="D324" s="48"/>
      <c r="E324" s="48"/>
      <c r="F324" s="48"/>
      <c r="G324" s="48"/>
      <c r="H324" s="48"/>
      <c r="I324" s="48"/>
      <c r="J324" s="48"/>
      <c r="K324" s="48"/>
      <c r="L324" s="48"/>
      <c r="M324" s="48"/>
      <c r="N324" s="48"/>
      <c r="O324" s="147"/>
    </row>
    <row r="325" spans="1:16" ht="15.75">
      <c r="A325" s="633" t="s">
        <v>1078</v>
      </c>
      <c r="B325" s="48"/>
      <c r="C325" s="48"/>
      <c r="D325" s="48"/>
      <c r="E325" s="48"/>
      <c r="F325" s="48"/>
      <c r="G325" s="48"/>
      <c r="H325" s="48"/>
      <c r="I325" s="48"/>
      <c r="J325" s="48"/>
      <c r="K325" s="48"/>
      <c r="L325" s="48"/>
      <c r="M325" s="48"/>
      <c r="N325" s="48"/>
      <c r="O325" s="147"/>
    </row>
    <row r="326" spans="1:16">
      <c r="A326" s="148"/>
      <c r="B326" s="45"/>
      <c r="C326" s="54"/>
      <c r="D326" s="54"/>
      <c r="E326" s="54"/>
      <c r="F326" s="54"/>
      <c r="G326" s="54"/>
      <c r="H326" s="54"/>
      <c r="I326" s="54"/>
      <c r="J326" s="54"/>
      <c r="K326" s="54"/>
      <c r="L326" s="54"/>
      <c r="M326" s="54"/>
      <c r="N326" s="54"/>
      <c r="O326" s="145"/>
    </row>
    <row r="327" spans="1:16">
      <c r="A327" s="634"/>
      <c r="B327" s="2" t="s">
        <v>473</v>
      </c>
      <c r="C327" s="63" t="s">
        <v>593</v>
      </c>
      <c r="D327" s="63"/>
      <c r="E327" s="63"/>
      <c r="F327" s="63"/>
      <c r="G327" s="63"/>
      <c r="H327" s="63"/>
      <c r="I327" s="63"/>
      <c r="J327" s="63"/>
      <c r="K327" s="63"/>
      <c r="L327" s="63"/>
      <c r="M327" s="63"/>
      <c r="N327" s="63"/>
      <c r="O327" s="136"/>
    </row>
    <row r="328" spans="1:16">
      <c r="A328" s="635"/>
      <c r="B328" s="4" t="s">
        <v>474</v>
      </c>
      <c r="C328" s="3" t="s">
        <v>660</v>
      </c>
      <c r="D328" s="3"/>
      <c r="E328" s="57"/>
      <c r="F328" s="57"/>
      <c r="G328" s="3" t="s">
        <v>661</v>
      </c>
      <c r="H328" s="3"/>
      <c r="I328" s="3" t="s">
        <v>662</v>
      </c>
      <c r="J328" s="3" t="s">
        <v>663</v>
      </c>
      <c r="K328" s="3"/>
      <c r="L328" s="3" t="s">
        <v>664</v>
      </c>
      <c r="M328" s="3" t="s">
        <v>665</v>
      </c>
      <c r="N328" s="3"/>
      <c r="O328" s="124" t="s">
        <v>475</v>
      </c>
    </row>
    <row r="329" spans="1:16">
      <c r="A329" s="636"/>
      <c r="B329" s="15" t="s">
        <v>476</v>
      </c>
      <c r="C329" s="16" t="s">
        <v>667</v>
      </c>
      <c r="D329" s="16" t="s">
        <v>708</v>
      </c>
      <c r="E329" s="17" t="s">
        <v>709</v>
      </c>
      <c r="F329" s="17"/>
      <c r="G329" s="16" t="s">
        <v>668</v>
      </c>
      <c r="H329" s="16"/>
      <c r="I329" s="16" t="s">
        <v>667</v>
      </c>
      <c r="J329" s="16" t="s">
        <v>669</v>
      </c>
      <c r="K329" s="16"/>
      <c r="L329" s="16" t="s">
        <v>670</v>
      </c>
      <c r="M329" s="16" t="s">
        <v>671</v>
      </c>
      <c r="N329" s="16" t="s">
        <v>701</v>
      </c>
      <c r="O329" s="146" t="s">
        <v>15</v>
      </c>
    </row>
    <row r="330" spans="1:16">
      <c r="A330" s="149" t="s">
        <v>600</v>
      </c>
      <c r="B330" s="33">
        <f>+'[2]OLD Tables'!F38</f>
        <v>49354.562347030609</v>
      </c>
      <c r="C330" s="32">
        <f>IF($B330&gt;0,(GETPIVOTDATA(" New Retirement",'$ Pivot Table'!$A$3,"Category",9,"Category2","Two-Year"))/$B330)*100</f>
        <v>10.837871313410895</v>
      </c>
      <c r="D330" s="32">
        <f>IF($B330&gt;0,(GETPIVOTDATA(" New Health",'$ Pivot Table'!$A$3,"Category",9,"Category2","Two-Year"))/$B330)*100</f>
        <v>12.78033167348069</v>
      </c>
      <c r="E330" s="32">
        <f>IF($B330&gt;0,(GETPIVOTDATA(" New Disability",'$ Pivot Table'!$A$3,"Category",9,"Category2","Two-Year"))/$B330)*100</f>
        <v>0.45211008615493353</v>
      </c>
      <c r="F330" s="32"/>
      <c r="G330" s="32">
        <f>IF($B330&gt;0,(GETPIVOTDATA(" New Social Security",'$ Pivot Table'!$A$3,"Category",9,"Category2","Two-Year"))/$B330)*100</f>
        <v>7.2209385813521303</v>
      </c>
      <c r="H330" s="32"/>
      <c r="I330" s="32">
        <f>IF($B330&gt;0,(GETPIVOTDATA(" New Unemployment",'$ Pivot Table'!$A$3,"Category",9,"Category2","Two-Year"))/$B330)*100</f>
        <v>0.36424240628777915</v>
      </c>
      <c r="J330" s="32">
        <f>IF($B330&gt;0,(GETPIVOTDATA(" New Life Insurance",'$ Pivot Table'!$A$3,"Category",9,"Category2","Two-Year"))/$B330)*100</f>
        <v>0.42928285682962186</v>
      </c>
      <c r="K330" s="32"/>
      <c r="L330" s="32">
        <f>IF($B330&gt;0,(GETPIVOTDATA(" New Worker's Comp",'$ Pivot Table'!$A$3,"Category",9,"Category2","Two-Year"))/$B330)*100</f>
        <v>0.60199446836223769</v>
      </c>
      <c r="M330" s="32">
        <f>IF($B330&gt;0,(GETPIVOTDATA(" New Tuition Plans",'$ Pivot Table'!$A$3,"Category",9,"Category2","Two-Year"))/$B330)*100</f>
        <v>1.992583496704228</v>
      </c>
      <c r="N330" s="32">
        <f>IF($B330&gt;0,(GETPIVOTDATA(" New Other",'$ Pivot Table'!$A$3,"Category",9,"Category2","Two-Year"))/$B330)*100</f>
        <v>0.72696094631789754</v>
      </c>
      <c r="O330" s="90">
        <f>IF($B330&gt;0,(GETPIVOTDATA(" New Total",'$ Pivot Table'!$A$3,"Category",9,"Category2","Two-Year"))/$B330)*100</f>
        <v>29.666402974567159</v>
      </c>
    </row>
    <row r="331" spans="1:16">
      <c r="A331" s="149"/>
      <c r="B331" s="31">
        <f>+'[3]OLD Tables 107-126'!F39</f>
        <v>0</v>
      </c>
      <c r="C331" s="32"/>
      <c r="D331" s="34"/>
      <c r="E331" s="32"/>
      <c r="F331" s="32"/>
      <c r="G331" s="32"/>
      <c r="H331" s="32"/>
      <c r="I331" s="32"/>
      <c r="J331" s="32"/>
      <c r="K331" s="32"/>
      <c r="L331" s="32"/>
      <c r="M331" s="32"/>
      <c r="N331" s="32"/>
      <c r="O331" s="90"/>
    </row>
    <row r="332" spans="1:16">
      <c r="A332" s="149" t="s">
        <v>479</v>
      </c>
      <c r="B332" s="617">
        <f>+'[2]OLD Tables'!F40</f>
        <v>53584.435250413982</v>
      </c>
      <c r="C332" s="32">
        <f>IF($B332&gt;0,(GETPIVOTDATA(" New Retirement",'$ Pivot Table'!$A$3,"State","AL","Category",9,"Category2","Two-Year"))/$B332)*100</f>
        <v>12.432379414467611</v>
      </c>
      <c r="D332" s="32">
        <f>IF($B332&gt;0,(GETPIVOTDATA(" New Health",'$ Pivot Table'!$A$3,"State","AL","Category",9,"Category2","Two-Year"))/$B332)*100</f>
        <v>16.854873898770656</v>
      </c>
      <c r="E332" s="32">
        <f>IF($B332&gt;0,(GETPIVOTDATA(" New Disability",'$ Pivot Table'!$A$3,"State","AL","Category",9,"Category2","Two-Year"))/$B332)*100</f>
        <v>0</v>
      </c>
      <c r="F332" s="32"/>
      <c r="G332" s="32">
        <f>IF($B332&gt;0,(GETPIVOTDATA(" New Social Security",'$ Pivot Table'!$A$3,"State","AL","Category",9,"Category2","Two-Year"))/$B332)*100</f>
        <v>7.522049654473804</v>
      </c>
      <c r="H332" s="32"/>
      <c r="I332" s="32">
        <f>IF($B332&gt;0,(GETPIVOTDATA(" New Unemployment",'$ Pivot Table'!$A$3,"State","AL","Category",9,"Category2","Two-Year"))/$B332)*100</f>
        <v>0.30180081233256223</v>
      </c>
      <c r="J332" s="32">
        <f>IF($B332&gt;0,(GETPIVOTDATA(" New Life Insurance",'$ Pivot Table'!$A$3,"State","AL","Category",9,"Category2","Two-Year"))/$B332)*100</f>
        <v>0</v>
      </c>
      <c r="K332" s="32"/>
      <c r="L332" s="32">
        <f>IF($B332&gt;0,(GETPIVOTDATA(" New Worker's Comp",'$ Pivot Table'!$A$3,"State","AL","Category",9,"Category2","Two-Year"))/$B332)*100</f>
        <v>0</v>
      </c>
      <c r="M332" s="32">
        <f>IF($B332&gt;0,(GETPIVOTDATA(" New Tuition Plans",'$ Pivot Table'!$A$3,"State","AL","Category",9,"Category2","Two-Year"))/$B332)*100</f>
        <v>2.4685268169098316</v>
      </c>
      <c r="N332" s="32">
        <f>IF($B332&gt;0,(GETPIVOTDATA(" New Other",'$ Pivot Table'!$A$3,"State","AL","Category",9,"Category2","Two-Year"))/$B332)*100</f>
        <v>0</v>
      </c>
      <c r="O332" s="90">
        <f>IF($B332&gt;0,(GETPIVOTDATA(" New Total",'$ Pivot Table'!$A$3,"State","AL","Category",9,"Category2","Two-Year"))/$B332)*100</f>
        <v>37.087318628812291</v>
      </c>
    </row>
    <row r="333" spans="1:16">
      <c r="A333" s="149" t="s">
        <v>480</v>
      </c>
      <c r="B333" s="617">
        <f>+'[2]OLD Tables'!F41</f>
        <v>46587.940893063584</v>
      </c>
      <c r="C333" s="32">
        <f>IF($B333&gt;0,(GETPIVOTDATA(" New Retirement",'$ Pivot Table'!$A$3,"State","AR","Category",9,"Category2","Two-Year"))/$B333)*100</f>
        <v>11.711057470682707</v>
      </c>
      <c r="D333" s="32">
        <f>IF($B333&gt;0,(GETPIVOTDATA(" New Health",'$ Pivot Table'!$A$3,"State","AR","Category",9,"Category2","Two-Year"))/$B333)*100</f>
        <v>6.5678282668548196</v>
      </c>
      <c r="E333" s="32">
        <f>IF($B333&gt;0,(GETPIVOTDATA(" New Disability",'$ Pivot Table'!$A$3,"State","AR","Category",9,"Category2","Two-Year"))/$B333)*100</f>
        <v>0.36122514345100654</v>
      </c>
      <c r="F333" s="32"/>
      <c r="G333" s="32">
        <f>IF($B333&gt;0,(GETPIVOTDATA(" New Social Security",'$ Pivot Table'!$A$3,"State","AR","Category",9,"Category2","Two-Year"))/$B333)*100</f>
        <v>6.9574167492332695</v>
      </c>
      <c r="H333" s="32"/>
      <c r="I333" s="32">
        <f>IF($B333&gt;0,(GETPIVOTDATA(" New Unemployment",'$ Pivot Table'!$A$3,"State","AR","Category",9,"Category2","Two-Year"))/$B333)*100</f>
        <v>0.70371834650618026</v>
      </c>
      <c r="J333" s="32">
        <f>IF($B333&gt;0,(GETPIVOTDATA(" New Life Insurance",'$ Pivot Table'!$A$3,"State","AR","Category",9,"Category2","Two-Year"))/$B333)*100</f>
        <v>0.20294312334299189</v>
      </c>
      <c r="K333" s="32"/>
      <c r="L333" s="32">
        <f>IF($B333&gt;0,(GETPIVOTDATA(" New Worker's Comp",'$ Pivot Table'!$A$3,"State","AR","Category",9,"Category2","Two-Year"))/$B333)*100</f>
        <v>9.4084042654789743E-2</v>
      </c>
      <c r="M333" s="32">
        <f>IF($B333&gt;0,(GETPIVOTDATA(" New Tuition Plans",'$ Pivot Table'!$A$3,"State","AR","Category",9,"Category2","Two-Year"))/$B333)*100</f>
        <v>1.2005537104459656</v>
      </c>
      <c r="N333" s="32">
        <f>IF($B333&gt;0,(GETPIVOTDATA(" New Other",'$ Pivot Table'!$A$3,"State","AR","Category",9,"Category2","Two-Year"))/$B333)*100</f>
        <v>0</v>
      </c>
      <c r="O333" s="90">
        <f>IF($B333&gt;0,(GETPIVOTDATA(" New Total",'$ Pivot Table'!$A$3,"State","AR","Category",9,"Category2","Two-Year"))/$B333)*100</f>
        <v>25.873942986730825</v>
      </c>
    </row>
    <row r="334" spans="1:16">
      <c r="A334" s="149" t="s">
        <v>494</v>
      </c>
      <c r="B334" s="617">
        <f>+'[2]OLD Tables'!F42</f>
        <v>62869.172308474575</v>
      </c>
      <c r="C334" s="32">
        <f>IF($B334&gt;0,(GETPIVOTDATA(" New Retirement",'$ Pivot Table'!$A$3,"State","DE","Category",9,"Category2","Two-Year"))/$B334)*100</f>
        <v>17.823218777272746</v>
      </c>
      <c r="D334" s="32">
        <f>IF($B334&gt;0,(GETPIVOTDATA(" New Health",'$ Pivot Table'!$A$3,"State","DE","Category",9,"Category2","Two-Year"))/$B334)*100</f>
        <v>18.860427617310567</v>
      </c>
      <c r="E334" s="56">
        <f>IF($B334&gt;0,(GETPIVOTDATA(" New Disability",'$ Pivot Table'!$A$3,"State","DE","Category",9,"Category2","Two-Year"))/$B334)*100</f>
        <v>3.7082297217058739E-2</v>
      </c>
      <c r="F334" s="32"/>
      <c r="G334" s="32">
        <f>IF($B334&gt;0,(GETPIVOTDATA(" New Social Security",'$ Pivot Table'!$A$3,"State","DE","Category",9,"Category2","Two-Year"))/$B334)*100</f>
        <v>7.9271901479471802</v>
      </c>
      <c r="H334" s="32"/>
      <c r="I334" s="32">
        <f>IF($B334&gt;0,(GETPIVOTDATA(" New Unemployment",'$ Pivot Table'!$A$3,"State","DE","Category",9,"Category2","Two-Year"))/$B334)*100</f>
        <v>0.18785041326857183</v>
      </c>
      <c r="J334" s="32">
        <f>IF($B334&gt;0,(GETPIVOTDATA(" New Life Insurance",'$ Pivot Table'!$A$3,"State","DE","Category",9,"Category2","Two-Year"))/$B334)*100</f>
        <v>0.32690096931823776</v>
      </c>
      <c r="K334" s="32"/>
      <c r="L334" s="32">
        <f>IF($B334&gt;0,(GETPIVOTDATA(" New Worker's Comp",'$ Pivot Table'!$A$3,"State","DE","Category",9,"Category2","Two-Year"))/$B334)*100</f>
        <v>2.0206578338587278</v>
      </c>
      <c r="M334" s="32">
        <f>IF($B334&gt;0,(GETPIVOTDATA(" New Tuition Plans",'$ Pivot Table'!$A$3,"State","DE","Category",9,"Category2","Two-Year"))/$B334)*100</f>
        <v>0</v>
      </c>
      <c r="N334" s="32">
        <f>IF($B334&gt;0,(GETPIVOTDATA(" New Other",'$ Pivot Table'!$A$3,"State","DE","Category",9,"Category2","Two-Year"))/$B334)*100</f>
        <v>0</v>
      </c>
      <c r="O334" s="90">
        <f>IF($B334&gt;0,(GETPIVOTDATA(" New Total",'$ Pivot Table'!$A$3,"State","DE","Category",9,"Category2","Two-Year"))/$B334)*100</f>
        <v>44.012935126240592</v>
      </c>
    </row>
    <row r="335" spans="1:16">
      <c r="A335" s="149" t="s">
        <v>481</v>
      </c>
      <c r="B335" s="617">
        <f>+'[2]OLD Tables'!F43</f>
        <v>46253.260047281321</v>
      </c>
      <c r="C335" s="32">
        <f>IF($B335&gt;0,(GETPIVOTDATA(" New Retirement",'$ Pivot Table'!$A$3,"State","FL","Category",9,"Category2","Two-Year"))/$B335)*100</f>
        <v>11.645482740251429</v>
      </c>
      <c r="D335" s="32">
        <f>IF($B335&gt;0,(GETPIVOTDATA(" New Health",'$ Pivot Table'!$A$3,"State","FL","Category",9,"Category2","Two-Year"))/$B335)*100</f>
        <v>11.276608344701684</v>
      </c>
      <c r="E335" s="32">
        <f>IF($B335&gt;0,(GETPIVOTDATA(" New Disability",'$ Pivot Table'!$A$3,"State","FL","Category",9,"Category2","Two-Year"))/$B335)*100</f>
        <v>0.57387081903592785</v>
      </c>
      <c r="F335" s="32"/>
      <c r="G335" s="32">
        <f>IF($B335&gt;0,(GETPIVOTDATA(" New Social Security",'$ Pivot Table'!$A$3,"State","FL","Category",9,"Category2","Two-Year"))/$B335)*100</f>
        <v>8.1270749468361849</v>
      </c>
      <c r="H335" s="32"/>
      <c r="I335" s="32">
        <f>IF($B335&gt;0,(GETPIVOTDATA(" New Unemployment",'$ Pivot Table'!$A$3,"State","FL","Category",9,"Category2","Two-Year"))/$B335)*100</f>
        <v>0.44225347583543761</v>
      </c>
      <c r="J335" s="32">
        <f>IF($B335&gt;0,(GETPIVOTDATA(" New Life Insurance",'$ Pivot Table'!$A$3,"State","FL","Category",9,"Category2","Two-Year"))/$B335)*100</f>
        <v>0.18599800513965434</v>
      </c>
      <c r="K335" s="32"/>
      <c r="L335" s="32">
        <f>IF($B335&gt;0,(GETPIVOTDATA(" New Worker's Comp",'$ Pivot Table'!$A$3,"State","FL","Category",9,"Category2","Two-Year"))/$B335)*100</f>
        <v>0.7672719434227343</v>
      </c>
      <c r="M335" s="32">
        <f>IF($B335&gt;0,(GETPIVOTDATA(" New Tuition Plans",'$ Pivot Table'!$A$3,"State","FL","Category",9,"Category2","Two-Year"))/$B335)*100</f>
        <v>2.210438786271228</v>
      </c>
      <c r="N335" s="32">
        <f>IF($B335&gt;0,(GETPIVOTDATA(" New Other",'$ Pivot Table'!$A$3,"State","FL","Category",9,"Category2","Two-Year"))/$B335)*100</f>
        <v>1.5594742761274605</v>
      </c>
      <c r="O335" s="90">
        <f>IF($B335&gt;0,(GETPIVOTDATA(" New Total",'$ Pivot Table'!$A$3,"State","FL","Category",9,"Category2","Two-Year"))/$B335)*100</f>
        <v>30.727175521802781</v>
      </c>
    </row>
    <row r="336" spans="1:16">
      <c r="A336" s="149"/>
      <c r="B336" s="617">
        <f>+'[2]OLD Tables'!F44</f>
        <v>0</v>
      </c>
      <c r="C336" s="32"/>
      <c r="D336" s="34"/>
      <c r="E336" s="32"/>
      <c r="F336" s="32"/>
      <c r="G336" s="32"/>
      <c r="H336" s="32"/>
      <c r="I336" s="32"/>
      <c r="J336" s="32"/>
      <c r="K336" s="32"/>
      <c r="L336" s="32"/>
      <c r="M336" s="32"/>
      <c r="N336" s="32"/>
      <c r="O336" s="90"/>
    </row>
    <row r="337" spans="1:22">
      <c r="A337" s="149" t="s">
        <v>482</v>
      </c>
      <c r="B337" s="617">
        <f>+'[2]OLD Tables'!F45</f>
        <v>47119.135242014388</v>
      </c>
      <c r="C337" s="32">
        <f>IF($B337&gt;0,(GETPIVOTDATA(" New Retirement",'$ Pivot Table'!$A$3,"State","GA","Category",9,"Category2","Two-Year"))/$B337)*100</f>
        <v>9.9649151193201835</v>
      </c>
      <c r="D337" s="32">
        <f>IF($B337&gt;0,(GETPIVOTDATA(" New Health",'$ Pivot Table'!$A$3,"State","GA","Category",9,"Category2","Two-Year"))/$B337)*100</f>
        <v>14.660264656971325</v>
      </c>
      <c r="E337" s="32">
        <f>IF($B337&gt;0,(GETPIVOTDATA(" New Disability",'$ Pivot Table'!$A$3,"State","GA","Category",9,"Category2","Two-Year"))/$B337)*100</f>
        <v>0</v>
      </c>
      <c r="F337" s="32"/>
      <c r="G337" s="32">
        <f>IF($B337&gt;0,(GETPIVOTDATA(" New Social Security",'$ Pivot Table'!$A$3,"State","GA","Category",9,"Category2","Two-Year"))/$B337)*100</f>
        <v>7.1176482223732531</v>
      </c>
      <c r="H337" s="32"/>
      <c r="I337" s="32">
        <f>IF($B337&gt;0,(GETPIVOTDATA(" New Unemployment",'$ Pivot Table'!$A$3,"State","GA","Category",9,"Category2","Two-Year"))/$B337)*100</f>
        <v>0.29924148496315256</v>
      </c>
      <c r="J337" s="32">
        <f>IF($B337&gt;0,(GETPIVOTDATA(" New Life Insurance",'$ Pivot Table'!$A$3,"State","GA","Category",9,"Category2","Two-Year"))/$B337)*100</f>
        <v>0.36374397705561384</v>
      </c>
      <c r="K337" s="32"/>
      <c r="L337" s="32">
        <f>IF($B337&gt;0,(GETPIVOTDATA(" New Worker's Comp",'$ Pivot Table'!$A$3,"State","GA","Category",9,"Category2","Two-Year"))/$B337)*100</f>
        <v>0.26760346464759938</v>
      </c>
      <c r="M337" s="32">
        <f>IF($B337&gt;0,(GETPIVOTDATA(" New Tuition Plans",'$ Pivot Table'!$A$3,"State","GA","Category",9,"Category2","Two-Year"))/$B337)*100</f>
        <v>0</v>
      </c>
      <c r="N337" s="32">
        <f>IF($B337&gt;0,(GETPIVOTDATA(" New Other",'$ Pivot Table'!$A$3,"State","GA","Category",9,"Category2","Two-Year"))/$B337)*100</f>
        <v>0</v>
      </c>
      <c r="O337" s="90">
        <f>IF($B337&gt;0,(GETPIVOTDATA(" New Total",'$ Pivot Table'!$A$3,"State","GA","Category",9,"Category2","Two-Year"))/$B337)*100</f>
        <v>29.102172719799796</v>
      </c>
    </row>
    <row r="338" spans="1:22">
      <c r="A338" s="149" t="s">
        <v>483</v>
      </c>
      <c r="B338" s="617">
        <f>+'[2]OLD Tables'!F46</f>
        <v>48311.994124048098</v>
      </c>
      <c r="C338" s="32">
        <f>IF($B338&gt;0,(GETPIVOTDATA(" New Retirement",'$ Pivot Table'!$A$3,"State","KY","Category",9,"Category2","Two-Year"))/$B338)*100</f>
        <v>11.373488463767186</v>
      </c>
      <c r="D338" s="32">
        <f>IF($B338&gt;0,(GETPIVOTDATA(" New Health",'$ Pivot Table'!$A$3,"State","KY","Category",9,"Category2","Two-Year"))/$B338)*100</f>
        <v>15.26969354648973</v>
      </c>
      <c r="E338" s="32">
        <f>IF($B338&gt;0,(GETPIVOTDATA(" New Disability",'$ Pivot Table'!$A$3,"State","KY","Category",9,"Category2","Two-Year"))/$B338)*100</f>
        <v>0</v>
      </c>
      <c r="F338" s="32"/>
      <c r="G338" s="32">
        <f>IF($B338&gt;0,(GETPIVOTDATA(" New Social Security",'$ Pivot Table'!$A$3,"State","KY","Category",9,"Category2","Two-Year"))/$B338)*100</f>
        <v>6.0863115456394201</v>
      </c>
      <c r="H338" s="32"/>
      <c r="I338" s="32">
        <f>IF($B338&gt;0,(GETPIVOTDATA(" New Unemployment",'$ Pivot Table'!$A$3,"State","KY","Category",9,"Category2","Two-Year"))/$B338)*100</f>
        <v>0</v>
      </c>
      <c r="J338" s="56">
        <f>IF($B338&gt;0,(GETPIVOTDATA(" New Life Insurance",'$ Pivot Table'!$A$3,"State","KY","Category",9,"Category2","Two-Year"))/$B338)*100</f>
        <v>3.3871947917236467E-2</v>
      </c>
      <c r="K338" s="32"/>
      <c r="L338" s="32">
        <f>IF($B338&gt;0,(GETPIVOTDATA(" New Worker's Comp",'$ Pivot Table'!$A$3,"State","KY","Category",9,"Category2","Two-Year"))/$B338)*100</f>
        <v>0</v>
      </c>
      <c r="M338" s="32">
        <f>IF($B338&gt;0,(GETPIVOTDATA(" New Tuition Plans",'$ Pivot Table'!$A$3,"State","KY","Category",9,"Category2","Two-Year"))/$B338)*100</f>
        <v>2.0044140825706056</v>
      </c>
      <c r="N338" s="32">
        <f>IF($B338&gt;0,(GETPIVOTDATA(" New Other",'$ Pivot Table'!$A$3,"State","KY","Category",9,"Category2","Two-Year"))/$B338)*100</f>
        <v>0</v>
      </c>
      <c r="O338" s="90">
        <f>IF($B338&gt;0,(GETPIVOTDATA(" New Total",'$ Pivot Table'!$A$3,"State","KY","Category",9,"Category2","Two-Year"))/$B338)*100</f>
        <v>31.869520168874033</v>
      </c>
    </row>
    <row r="339" spans="1:22">
      <c r="A339" s="149" t="s">
        <v>484</v>
      </c>
      <c r="B339" s="617">
        <f>+'[2]OLD Tables'!F47</f>
        <v>44371.565560368668</v>
      </c>
      <c r="C339" s="32">
        <f>IF($B339&gt;0,(GETPIVOTDATA(" New Retirement",'$ Pivot Table'!$A$3,"State","LA","Category",9,"Category2","Two-Year"))/$B339)*100</f>
        <v>14.029921539191959</v>
      </c>
      <c r="D339" s="32">
        <f>IF($B339&gt;0,(GETPIVOTDATA(" New Health",'$ Pivot Table'!$A$3,"State","LA","Category",9,"Category2","Two-Year"))/$B339)*100</f>
        <v>11.225176983961479</v>
      </c>
      <c r="E339" s="32">
        <f>IF($B339&gt;0,(GETPIVOTDATA(" New Disability",'$ Pivot Table'!$A$3,"State","LA","Category",9,"Category2","Two-Year"))/$B339)*100</f>
        <v>0</v>
      </c>
      <c r="F339" s="32"/>
      <c r="G339" s="32">
        <f>IF($B339&gt;0,(GETPIVOTDATA(" New Social Security",'$ Pivot Table'!$A$3,"State","LA","Category",9,"Category2","Two-Year"))/$B339)*100</f>
        <v>1.3603946566985383</v>
      </c>
      <c r="H339" s="32"/>
      <c r="I339" s="32">
        <f>IF($B339&gt;0,(GETPIVOTDATA(" New Unemployment",'$ Pivot Table'!$A$3,"State","LA","Category",9,"Category2","Two-Year"))/$B339)*100</f>
        <v>0</v>
      </c>
      <c r="J339" s="32">
        <f>IF($B339&gt;0,(GETPIVOTDATA(" New Life Insurance",'$ Pivot Table'!$A$3,"State","LA","Category",9,"Category2","Two-Year"))/$B339)*100</f>
        <v>0.40130141398265451</v>
      </c>
      <c r="K339" s="32"/>
      <c r="L339" s="32">
        <f>IF($B339&gt;0,(GETPIVOTDATA(" New Worker's Comp",'$ Pivot Table'!$A$3,"State","LA","Category",9,"Category2","Two-Year"))/$B339)*100</f>
        <v>0.65387300671268422</v>
      </c>
      <c r="M339" s="32">
        <f>IF($B339&gt;0,(GETPIVOTDATA(" New Tuition Plans",'$ Pivot Table'!$A$3,"State","LA","Category",9,"Category2","Two-Year"))/$B339)*100</f>
        <v>0.79104713923707592</v>
      </c>
      <c r="N339" s="32">
        <f>IF($B339&gt;0,(GETPIVOTDATA(" New Other",'$ Pivot Table'!$A$3,"State","LA","Category",9,"Category2","Two-Year"))/$B339)*100</f>
        <v>0</v>
      </c>
      <c r="O339" s="90">
        <f>IF($B339&gt;0,(GETPIVOTDATA(" New Total",'$ Pivot Table'!$A$3,"State","LA","Category",9,"Category2","Two-Year"))/$B339)*100</f>
        <v>22.35565778136694</v>
      </c>
    </row>
    <row r="340" spans="1:22">
      <c r="A340" s="149" t="s">
        <v>485</v>
      </c>
      <c r="B340" s="617">
        <f>+'[2]OLD Tables'!F48</f>
        <v>62574.229972057416</v>
      </c>
      <c r="C340" s="32">
        <f>IF($B340&gt;0,(GETPIVOTDATA(" New Retirement",'$ Pivot Table'!$A$3,"State","MD","Category",9,"Category2","Two-Year"))/$B340)*100</f>
        <v>10.409495709844901</v>
      </c>
      <c r="D340" s="32">
        <f>IF($B340&gt;0,(GETPIVOTDATA(" New Health",'$ Pivot Table'!$A$3,"State","MD","Category",9,"Category2","Two-Year"))/$B340)*100</f>
        <v>15.174821455281176</v>
      </c>
      <c r="E340" s="32">
        <f>IF($B340&gt;0,(GETPIVOTDATA(" New Disability",'$ Pivot Table'!$A$3,"State","MD","Category",9,"Category2","Two-Year"))/$B340)*100</f>
        <v>0.4871816023559748</v>
      </c>
      <c r="F340" s="32"/>
      <c r="G340" s="32">
        <f>IF($B340&gt;0,(GETPIVOTDATA(" New Social Security",'$ Pivot Table'!$A$3,"State","MD","Category",9,"Category2","Two-Year"))/$B340)*100</f>
        <v>7.4982958132429447</v>
      </c>
      <c r="H340" s="32"/>
      <c r="I340" s="32">
        <f>IF($B340&gt;0,(GETPIVOTDATA(" New Unemployment",'$ Pivot Table'!$A$3,"State","MD","Category",9,"Category2","Two-Year"))/$B340)*100</f>
        <v>0.16665851954047853</v>
      </c>
      <c r="J340" s="32">
        <f>IF($B340&gt;0,(GETPIVOTDATA(" New Life Insurance",'$ Pivot Table'!$A$3,"State","MD","Category",9,"Category2","Two-Year"))/$B340)*100</f>
        <v>0.2774155005540056</v>
      </c>
      <c r="K340" s="32"/>
      <c r="L340" s="32">
        <f>IF($B340&gt;0,(GETPIVOTDATA(" New Worker's Comp",'$ Pivot Table'!$A$3,"State","MD","Category",9,"Category2","Two-Year"))/$B340)*100</f>
        <v>0.35176746883195531</v>
      </c>
      <c r="M340" s="32">
        <f>IF($B340&gt;0,(GETPIVOTDATA(" New Tuition Plans",'$ Pivot Table'!$A$3,"State","MD","Category",9,"Category2","Two-Year"))/$B340)*100</f>
        <v>1.4611027010109834</v>
      </c>
      <c r="N340" s="32">
        <f>IF($B340&gt;0,(GETPIVOTDATA(" New Other",'$ Pivot Table'!$A$3,"State","MD","Category",9,"Category2","Two-Year"))/$B340)*100</f>
        <v>0.59546801291188556</v>
      </c>
      <c r="O340" s="90">
        <f>IF($B340&gt;0,(GETPIVOTDATA(" New Total",'$ Pivot Table'!$A$3,"State","MD","Category",9,"Category2","Two-Year"))/$B340)*100</f>
        <v>32.135194668122232</v>
      </c>
    </row>
    <row r="341" spans="1:22">
      <c r="A341" s="149"/>
      <c r="B341" s="617">
        <f>+'[2]OLD Tables'!F49</f>
        <v>0</v>
      </c>
      <c r="C341" s="32"/>
      <c r="D341" s="34"/>
      <c r="E341" s="32"/>
      <c r="F341" s="32"/>
      <c r="G341" s="32"/>
      <c r="H341" s="32"/>
      <c r="I341" s="32"/>
      <c r="J341" s="32"/>
      <c r="K341" s="32"/>
      <c r="L341" s="32"/>
      <c r="M341" s="32"/>
      <c r="N341" s="32"/>
      <c r="O341" s="90"/>
    </row>
    <row r="342" spans="1:22">
      <c r="A342" s="149" t="s">
        <v>486</v>
      </c>
      <c r="B342" s="617">
        <f>+'[2]OLD Tables'!F50</f>
        <v>50283.487044301211</v>
      </c>
      <c r="C342" s="32">
        <f>IF($B342&gt;0,(GETPIVOTDATA(" New Retirement",'$ Pivot Table'!$A$3,"State","MS","Category",9,"Category2","Two-Year"))/$B342)*100</f>
        <v>12.034248847745149</v>
      </c>
      <c r="D342" s="32">
        <f>IF($B342&gt;0,(GETPIVOTDATA(" New Health",'$ Pivot Table'!$A$3,"State","MS","Category",9,"Category2","Two-Year"))/$B342)*100</f>
        <v>8.194959521732267</v>
      </c>
      <c r="E342" s="32">
        <f>IF($B342&gt;0,(GETPIVOTDATA(" New Disability",'$ Pivot Table'!$A$3,"State","MS","Category",9,"Category2","Two-Year"))/$B342)*100</f>
        <v>0</v>
      </c>
      <c r="F342" s="32"/>
      <c r="G342" s="32">
        <f>IF($B342&gt;0,(GETPIVOTDATA(" New Social Security",'$ Pivot Table'!$A$3,"State","MS","Category",9,"Category2","Two-Year"))/$B342)*100</f>
        <v>7.6718350946380616</v>
      </c>
      <c r="H342" s="32"/>
      <c r="I342" s="32">
        <f>IF($B342&gt;0,(GETPIVOTDATA(" New Unemployment",'$ Pivot Table'!$A$3,"State","MS","Category",9,"Category2","Two-Year"))/$B342)*100</f>
        <v>9.507872383273093E-2</v>
      </c>
      <c r="J342" s="32">
        <f>IF($B342&gt;0,(GETPIVOTDATA(" New Life Insurance",'$ Pivot Table'!$A$3,"State","MS","Category",9,"Category2","Two-Year"))/$B342)*100</f>
        <v>0.25071221896339652</v>
      </c>
      <c r="K342" s="32"/>
      <c r="L342" s="32">
        <f>IF($B342&gt;0,(GETPIVOTDATA(" New Worker's Comp",'$ Pivot Table'!$A$3,"State","MS","Category",9,"Category2","Two-Year"))/$B342)*100</f>
        <v>0.55662144392990331</v>
      </c>
      <c r="M342" s="32">
        <f>IF($B342&gt;0,(GETPIVOTDATA(" New Tuition Plans",'$ Pivot Table'!$A$3,"State","MS","Category",9,"Category2","Two-Year"))/$B342)*100</f>
        <v>0</v>
      </c>
      <c r="N342" s="32">
        <f>IF($B342&gt;0,(GETPIVOTDATA(" New Other",'$ Pivot Table'!$A$3,"State","MS","Category",9,"Category2","Two-Year"))/$B342)*100</f>
        <v>0.3451575499437578</v>
      </c>
      <c r="O342" s="90">
        <f>IF($B342&gt;0,(GETPIVOTDATA(" New Total",'$ Pivot Table'!$A$3,"State","MS","Category",9,"Category2","Two-Year"))/$B342)*100</f>
        <v>28.685391271224248</v>
      </c>
    </row>
    <row r="343" spans="1:22">
      <c r="A343" s="149" t="s">
        <v>487</v>
      </c>
      <c r="B343" s="617">
        <f>+'[2]OLD Tables'!F51</f>
        <v>47077.458747135221</v>
      </c>
      <c r="C343" s="32">
        <f>IF($B343&gt;0,(GETPIVOTDATA(" New Retirement",'$ Pivot Table'!$A$3,"State","NC","Category",9,"Category2","Two-Year"))/$B343)*100</f>
        <v>10.427078948290085</v>
      </c>
      <c r="D343" s="32">
        <f>IF($B343&gt;0,(GETPIVOTDATA(" New Health",'$ Pivot Table'!$A$3,"State","NC","Category",9,"Category2","Two-Year"))/$B343)*100</f>
        <v>9.6925065808690878</v>
      </c>
      <c r="E343" s="32">
        <f>IF($B343&gt;0,(GETPIVOTDATA(" New Disability",'$ Pivot Table'!$A$3,"State","NC","Category",9,"Category2","Two-Year"))/$B343)*100</f>
        <v>0.61239755180460109</v>
      </c>
      <c r="F343" s="32"/>
      <c r="G343" s="32">
        <f>IF($B343&gt;0,(GETPIVOTDATA(" New Social Security",'$ Pivot Table'!$A$3,"State","NC","Category",9,"Category2","Two-Year"))/$B343)*100</f>
        <v>7.7034756640227897</v>
      </c>
      <c r="H343" s="32"/>
      <c r="I343" s="32">
        <f>IF($B343&gt;0,(GETPIVOTDATA(" New Unemployment",'$ Pivot Table'!$A$3,"State","NC","Category",9,"Category2","Two-Year"))/$B343)*100</f>
        <v>0.35524805860922837</v>
      </c>
      <c r="J343" s="32">
        <f>IF($B343&gt;0,(GETPIVOTDATA(" New Life Insurance",'$ Pivot Table'!$A$3,"State","NC","Category",9,"Category2","Two-Year"))/$B343)*100</f>
        <v>0.19675746687618972</v>
      </c>
      <c r="K343" s="32"/>
      <c r="L343" s="32">
        <f>IF($B343&gt;0,(GETPIVOTDATA(" New Worker's Comp",'$ Pivot Table'!$A$3,"State","NC","Category",9,"Category2","Two-Year"))/$B343)*100</f>
        <v>0.55310132161174286</v>
      </c>
      <c r="M343" s="32">
        <f>IF($B343&gt;0,(GETPIVOTDATA(" New Tuition Plans",'$ Pivot Table'!$A$3,"State","NC","Category",9,"Category2","Two-Year"))/$B343)*100</f>
        <v>0</v>
      </c>
      <c r="N343" s="32">
        <f>IF($B343&gt;0,(GETPIVOTDATA(" New Other",'$ Pivot Table'!$A$3,"State","NC","Category",9,"Category2","Two-Year"))/$B343)*100</f>
        <v>0</v>
      </c>
      <c r="O343" s="90">
        <f>IF($B343&gt;0,(GETPIVOTDATA(" New Total",'$ Pivot Table'!$A$3,"State","NC","Category",9,"Category2","Two-Year"))/$B343)*100</f>
        <v>27.578497296785503</v>
      </c>
    </row>
    <row r="344" spans="1:22">
      <c r="A344" s="149" t="s">
        <v>488</v>
      </c>
      <c r="B344" s="617">
        <f>+'[2]OLD Tables'!F52</f>
        <v>47479.820051999995</v>
      </c>
      <c r="C344" s="32">
        <f>IF($B344&gt;0,(GETPIVOTDATA(" New Retirement",'$ Pivot Table'!$A$3,"State","OK","Category",9,"Category2","Two-Year"))/$B344)*100</f>
        <v>21.228300471456848</v>
      </c>
      <c r="D344" s="32">
        <f>IF($B344&gt;0,(GETPIVOTDATA(" New Health",'$ Pivot Table'!$A$3,"State","OK","Category",9,"Category2","Two-Year"))/$B344)*100</f>
        <v>11.628570798602569</v>
      </c>
      <c r="E344" s="32">
        <f>IF($B344&gt;0,(GETPIVOTDATA(" New Disability",'$ Pivot Table'!$A$3,"State","OK","Category",9,"Category2","Two-Year"))/$B344)*100</f>
        <v>0</v>
      </c>
      <c r="F344" s="32"/>
      <c r="G344" s="32">
        <f>IF($B344&gt;0,(GETPIVOTDATA(" New Social Security",'$ Pivot Table'!$A$3,"State","OK","Category",9,"Category2","Two-Year"))/$B344)*100</f>
        <v>7.5966705837953539</v>
      </c>
      <c r="H344" s="32"/>
      <c r="I344" s="32">
        <f>IF($B344&gt;0,(GETPIVOTDATA(" New Unemployment",'$ Pivot Table'!$A$3,"State","OK","Category",9,"Category2","Two-Year"))/$B344)*100</f>
        <v>0.27790539106366863</v>
      </c>
      <c r="J344" s="32">
        <f>IF($B344&gt;0,(GETPIVOTDATA(" New Life Insurance",'$ Pivot Table'!$A$3,"State","OK","Category",9,"Category2","Two-Year"))/$B344)*100</f>
        <v>0.48798153583625725</v>
      </c>
      <c r="K344" s="32"/>
      <c r="L344" s="32">
        <f>IF($B344&gt;0,(GETPIVOTDATA(" New Worker's Comp",'$ Pivot Table'!$A$3,"State","OK","Category",9,"Category2","Two-Year"))/$B344)*100</f>
        <v>0.60668935267591928</v>
      </c>
      <c r="M344" s="32">
        <f>IF($B344&gt;0,(GETPIVOTDATA(" New Tuition Plans",'$ Pivot Table'!$A$3,"State","OK","Category",9,"Category2","Two-Year"))/$B344)*100</f>
        <v>0</v>
      </c>
      <c r="N344" s="32">
        <f>IF($B344&gt;0,(GETPIVOTDATA(" New Other",'$ Pivot Table'!$A$3,"State","OK","Category",9,"Category2","Two-Year"))/$B344)*100</f>
        <v>0.58639305507479689</v>
      </c>
      <c r="O344" s="90">
        <f>IF($B344&gt;0,(GETPIVOTDATA(" New Total",'$ Pivot Table'!$A$3,"State","OK","Category",9,"Category2","Two-Year"))/$B344)*100</f>
        <v>42.071308099252562</v>
      </c>
    </row>
    <row r="345" spans="1:22">
      <c r="A345" s="149" t="s">
        <v>489</v>
      </c>
      <c r="B345" s="617">
        <f>+'[2]OLD Tables'!F53</f>
        <v>46189.096008629989</v>
      </c>
      <c r="C345" s="32">
        <f>IF($B345&gt;0,(GETPIVOTDATA(" New Retirement",'$ Pivot Table'!$A$3,"State","SC","Category",9,"Category2","Two-Year"))/$B345)*100</f>
        <v>12.330601294248584</v>
      </c>
      <c r="D345" s="32">
        <f>IF($B345&gt;0,(GETPIVOTDATA(" New Health",'$ Pivot Table'!$A$3,"State","SC","Category",9,"Category2","Two-Year"))/$B345)*100</f>
        <v>8.9240756959118492</v>
      </c>
      <c r="E345" s="32">
        <f>IF($B345&gt;0,(GETPIVOTDATA(" New Disability",'$ Pivot Table'!$A$3,"State","SC","Category",9,"Category2","Two-Year"))/$B345)*100</f>
        <v>8.2284489890081525E-2</v>
      </c>
      <c r="F345" s="32"/>
      <c r="G345" s="32">
        <f>IF($B345&gt;0,(GETPIVOTDATA(" New Social Security",'$ Pivot Table'!$A$3,"State","SC","Category",9,"Category2","Two-Year"))/$B345)*100</f>
        <v>7.3706404126637732</v>
      </c>
      <c r="H345" s="32"/>
      <c r="I345" s="32">
        <f>IF($B345&gt;0,(GETPIVOTDATA(" New Unemployment",'$ Pivot Table'!$A$3,"State","SC","Category",9,"Category2","Two-Year"))/$B345)*100</f>
        <v>0.31393828880405306</v>
      </c>
      <c r="J345" s="32">
        <f>IF($B345&gt;0,(GETPIVOTDATA(" New Life Insurance",'$ Pivot Table'!$A$3,"State","SC","Category",9,"Category2","Two-Year"))/$B345)*100</f>
        <v>4.8344695086613529E-2</v>
      </c>
      <c r="K345" s="32"/>
      <c r="L345" s="32">
        <f>IF($B345&gt;0,(GETPIVOTDATA(" New Worker's Comp",'$ Pivot Table'!$A$3,"State","SC","Category",9,"Category2","Two-Year"))/$B345)*100</f>
        <v>0.97481139692648799</v>
      </c>
      <c r="M345" s="32">
        <f>IF($B345&gt;0,(GETPIVOTDATA(" New Tuition Plans",'$ Pivot Table'!$A$3,"State","SC","Category",9,"Category2","Two-Year"))/$B345)*100</f>
        <v>0</v>
      </c>
      <c r="N345" s="32">
        <f>IF($B345&gt;0,(GETPIVOTDATA(" New Other",'$ Pivot Table'!$A$3,"State","SC","Category",9,"Category2","Two-Year"))/$B345)*100</f>
        <v>0</v>
      </c>
      <c r="O345" s="90">
        <f>IF($B345&gt;0,(GETPIVOTDATA(" New Total",'$ Pivot Table'!$A$3,"State","SC","Category",9,"Category2","Two-Year"))/$B345)*100</f>
        <v>29.7034043742375</v>
      </c>
    </row>
    <row r="346" spans="1:22">
      <c r="A346" s="149"/>
      <c r="B346" s="617">
        <f>+'[2]OLD Tables'!F54</f>
        <v>0</v>
      </c>
      <c r="C346" s="32"/>
      <c r="D346" s="34"/>
      <c r="E346" s="32"/>
      <c r="F346" s="32"/>
      <c r="G346" s="32"/>
      <c r="H346" s="32"/>
      <c r="I346" s="32"/>
      <c r="J346" s="32"/>
      <c r="K346" s="32"/>
      <c r="L346" s="32"/>
      <c r="M346" s="32"/>
      <c r="N346" s="32"/>
      <c r="O346" s="90"/>
    </row>
    <row r="347" spans="1:22">
      <c r="A347" s="149" t="s">
        <v>490</v>
      </c>
      <c r="B347" s="617">
        <f>+'[2]OLD Tables'!F55</f>
        <v>46382.817925558797</v>
      </c>
      <c r="C347" s="28">
        <f>IF($B347&gt;0,(GETPIVOTDATA(" New Retirement",'$ Pivot Table'!$A$3,"State","TN","Category",9,"Category2","Two-Year"))/$B347)*100</f>
        <v>12.523541556011022</v>
      </c>
      <c r="D347" s="28">
        <f>IF($B347&gt;0,(GETPIVOTDATA(" New Health",'$ Pivot Table'!$A$3,"State","TN","Category",9,"Category2","Two-Year"))/$B347)*100</f>
        <v>20.434794776998348</v>
      </c>
      <c r="E347" s="28">
        <f>IF($B347&gt;0,(GETPIVOTDATA(" New Disability",'$ Pivot Table'!$A$3,"State","TN","Category",9,"Category2","Two-Year"))/$B347)*100</f>
        <v>0</v>
      </c>
      <c r="F347" s="28"/>
      <c r="G347" s="28">
        <f>IF($B347&gt;0,(GETPIVOTDATA(" New Social Security",'$ Pivot Table'!$A$3,"State","TN","Category",9,"Category2","Two-Year"))/$B347)*100</f>
        <v>7.5438473009462008</v>
      </c>
      <c r="H347" s="28"/>
      <c r="I347" s="28">
        <f>IF($B347&gt;0,(GETPIVOTDATA(" New Unemployment",'$ Pivot Table'!$A$3,"State","TN","Category",9,"Category2","Two-Year"))/$B347)*100</f>
        <v>0</v>
      </c>
      <c r="J347" s="28">
        <f>IF($B347&gt;0,(GETPIVOTDATA(" New Life Insurance",'$ Pivot Table'!$A$3,"State","TN","Category",9,"Category2","Two-Year"))/$B347)*100</f>
        <v>0.12115358471289477</v>
      </c>
      <c r="K347" s="28"/>
      <c r="L347" s="28">
        <f>IF($B347&gt;0,(GETPIVOTDATA(" New Worker's Comp",'$ Pivot Table'!$A$3,"State","TN","Category",9,"Category2","Two-Year"))/$B347)*100</f>
        <v>0</v>
      </c>
      <c r="M347" s="28">
        <f>IF($B347&gt;0,(GETPIVOTDATA(" New Tuition Plans",'$ Pivot Table'!$A$3,"State","TN","Category",9,"Category2","Two-Year"))/$B347)*100</f>
        <v>3.5775460415747808</v>
      </c>
      <c r="N347" s="28">
        <f>IF($B347&gt;0,(GETPIVOTDATA(" New Other",'$ Pivot Table'!$A$3,"State","TN","Category",9,"Category2","Two-Year"))/$B347)*100</f>
        <v>1.2539299383113065</v>
      </c>
      <c r="O347" s="86">
        <f>IF($B347&gt;0,(GETPIVOTDATA(" New Total",'$ Pivot Table'!$A$3,"State","TN","Category",9,"Category2","Two-Year"))/$B347)*100</f>
        <v>38.799013563093631</v>
      </c>
    </row>
    <row r="348" spans="1:22">
      <c r="A348" s="149" t="s">
        <v>491</v>
      </c>
      <c r="B348" s="617">
        <f>+'[2]OLD Tables'!F56</f>
        <v>48357.189551877134</v>
      </c>
      <c r="C348" s="28">
        <f>IF($B348&gt;0,(GETPIVOTDATA(" New Retirement",'$ Pivot Table'!$A$3,"State","TX","Category",9,"Category2","Two-Year"))/$B348)*100</f>
        <v>6.9769872184510531</v>
      </c>
      <c r="D348" s="28">
        <f>IF($B348&gt;0,(GETPIVOTDATA(" New Health",'$ Pivot Table'!$A$3,"State","TX","Category",9,"Category2","Two-Year"))/$B348)*100</f>
        <v>12.933418234145391</v>
      </c>
      <c r="E348" s="28">
        <f>IF($B348&gt;0,(GETPIVOTDATA(" New Disability",'$ Pivot Table'!$A$3,"State","TX","Category",9,"Category2","Two-Year"))/$B348)*100</f>
        <v>0.76301659184266379</v>
      </c>
      <c r="F348" s="28"/>
      <c r="G348" s="28">
        <f>IF($B348&gt;0,(GETPIVOTDATA(" New Social Security",'$ Pivot Table'!$A$3,"State","TX","Category",9,"Category2","Two-Year"))/$B348)*100</f>
        <v>6.0775670930716865</v>
      </c>
      <c r="H348" s="28"/>
      <c r="I348" s="28">
        <f>IF($B348&gt;0,(GETPIVOTDATA(" New Unemployment",'$ Pivot Table'!$A$3,"State","TX","Category",9,"Category2","Two-Year"))/$B348)*100</f>
        <v>0.64238938261964329</v>
      </c>
      <c r="J348" s="28">
        <f>IF($B348&gt;0,(GETPIVOTDATA(" New Life Insurance",'$ Pivot Table'!$A$3,"State","TX","Category",9,"Category2","Two-Year"))/$B348)*100</f>
        <v>1.3885316090331843</v>
      </c>
      <c r="K348" s="28"/>
      <c r="L348" s="28">
        <f>IF($B348&gt;0,(GETPIVOTDATA(" New Worker's Comp",'$ Pivot Table'!$A$3,"State","TX","Category",9,"Category2","Two-Year"))/$B348)*100</f>
        <v>0.46022448542808192</v>
      </c>
      <c r="M348" s="28">
        <f>IF($B348&gt;0,(GETPIVOTDATA(" New Tuition Plans",'$ Pivot Table'!$A$3,"State","TX","Category",9,"Category2","Two-Year"))/$B348)*100</f>
        <v>0.94797288206023589</v>
      </c>
      <c r="N348" s="28">
        <f>IF($B348&gt;0,(GETPIVOTDATA(" New Other",'$ Pivot Table'!$A$3,"State","TX","Category",9,"Category2","Two-Year"))/$B348)*100</f>
        <v>0.74446013785353549</v>
      </c>
      <c r="O348" s="86">
        <f>IF($B348&gt;0,(GETPIVOTDATA(" New Total",'$ Pivot Table'!$A$3,"State","TX","Category",9,"Category2","Two-Year"))/$B348)*100</f>
        <v>22.512904010770178</v>
      </c>
    </row>
    <row r="349" spans="1:22">
      <c r="A349" s="149" t="s">
        <v>492</v>
      </c>
      <c r="B349" s="617">
        <f>+'[2]OLD Tables'!F57</f>
        <v>0</v>
      </c>
      <c r="C349" s="28">
        <f>IF($B349&gt;0,(GETPIVOTDATA(" New Retirement",'$ Pivot Table'!$A$3,"State","VA","Category",9,"Category2","Two-Year"))/$B349)*100</f>
        <v>0</v>
      </c>
      <c r="D349" s="28">
        <f>IF($B349&gt;0,(GETPIVOTDATA(" New Health",'$ Pivot Table'!$A$3,"State","VA","Category",9,"Category2","Two-Year"))/$B349)*100</f>
        <v>0</v>
      </c>
      <c r="E349" s="28">
        <f>IF($B349&gt;0,(GETPIVOTDATA(" New Disability",'$ Pivot Table'!$A$3,"State","VA","Category",9,"Category2","Two-Year"))/$B349)*100</f>
        <v>0</v>
      </c>
      <c r="F349" s="28"/>
      <c r="G349" s="28">
        <f>IF($B349&gt;0,(GETPIVOTDATA(" New Social Security",'$ Pivot Table'!$A$3,"State","VA","Category",9,"Category2","Two-Year"))/$B349)*100</f>
        <v>0</v>
      </c>
      <c r="H349" s="28"/>
      <c r="I349" s="28">
        <f>IF($B349&gt;0,(GETPIVOTDATA(" New Unemployment",'$ Pivot Table'!$A$3,"State","VA","Category",9,"Category2","Two-Year"))/$B349)*100</f>
        <v>0</v>
      </c>
      <c r="J349" s="28">
        <f>IF($B349&gt;0,(GETPIVOTDATA(" New Life Insurance",'$ Pivot Table'!$A$3,"State","VA","Category",9,"Category2","Two-Year"))/$B349)*100</f>
        <v>0</v>
      </c>
      <c r="K349" s="28"/>
      <c r="L349" s="28">
        <f>IF($B349&gt;0,(GETPIVOTDATA(" New Worker's Comp",'$ Pivot Table'!$A$3,"State","VA","Category",9,"Category2","Two-Year"))/$B349)*100</f>
        <v>0</v>
      </c>
      <c r="M349" s="28">
        <f>IF($B349&gt;0,(GETPIVOTDATA(" New Tuition Plans",'$ Pivot Table'!$A$3,"State","VA","Category",9,"Category2","Two-Year"))/$B349)*100</f>
        <v>0</v>
      </c>
      <c r="N349" s="28">
        <f>IF($B349&gt;0,(GETPIVOTDATA(" New Other",'$ Pivot Table'!$A$3,"State","VA","Category",9,"Category2","Two-Year"))/$B349)*100</f>
        <v>0</v>
      </c>
      <c r="O349" s="86">
        <f>IF($B349&gt;0,(GETPIVOTDATA(" New Total",'$ Pivot Table'!$A$3,"State","VA","Category",9,"Category2","Two-Year"))/$B349)*100</f>
        <v>0</v>
      </c>
    </row>
    <row r="350" spans="1:22">
      <c r="A350" s="630" t="s">
        <v>493</v>
      </c>
      <c r="B350" s="618">
        <f>+'[2]OLD Tables'!F58</f>
        <v>0</v>
      </c>
      <c r="C350" s="30">
        <f>IF($B350&gt;0,(GETPIVOTDATA(" New Retirement",'$ Pivot Table'!$A$3,"State","WV","Category",9,"Category2","Two-Year"))/$B350)*100</f>
        <v>0</v>
      </c>
      <c r="D350" s="30">
        <f>IF($B350&gt;0,(GETPIVOTDATA(" New Health",'$ Pivot Table'!$A$3,"State","WV","Category",9,"Category2","Two-Year"))/$B350)*100</f>
        <v>0</v>
      </c>
      <c r="E350" s="30">
        <f>IF($B350&gt;0,(GETPIVOTDATA(" New Disability",'$ Pivot Table'!$A$3,"State","WV","Category",9,"Category2","Two-Year"))/$B350)*100</f>
        <v>0</v>
      </c>
      <c r="F350" s="30"/>
      <c r="G350" s="30">
        <f>IF($B350&gt;0,(GETPIVOTDATA(" New Social Security",'$ Pivot Table'!$A$3,"State","WV","Category",9,"Category2","Two-Year"))/$B350)*100</f>
        <v>0</v>
      </c>
      <c r="H350" s="30"/>
      <c r="I350" s="30">
        <f>IF($B350&gt;0,(GETPIVOTDATA(" New Unemployment",'$ Pivot Table'!$A$3,"State","WV","Category",9,"Category2","Two-Year"))/$B350)*100</f>
        <v>0</v>
      </c>
      <c r="J350" s="30">
        <f>IF($B350&gt;0,(GETPIVOTDATA(" New Life Insurance",'$ Pivot Table'!$A$3,"State","WV","Category",9,"Category2","Two-Year"))/$B350)*100</f>
        <v>0</v>
      </c>
      <c r="K350" s="30"/>
      <c r="L350" s="30">
        <f>IF($B350&gt;0,(GETPIVOTDATA(" New Worker's Comp",'$ Pivot Table'!$A$3,"State","WV","Category",9,"Category2","Two-Year"))/$B350)*100</f>
        <v>0</v>
      </c>
      <c r="M350" s="30">
        <f>IF($B350&gt;0,(GETPIVOTDATA(" New Tuition Plans",'$ Pivot Table'!$A$3,"State","WV","Category",9,"Category2","Two-Year"))/$B350)*100</f>
        <v>0</v>
      </c>
      <c r="N350" s="30">
        <f>IF($B350&gt;0,(GETPIVOTDATA(" New Other",'$ Pivot Table'!$A$3,"State","WV","Category",9,"Category2","Two-Year"))/$B350)*100</f>
        <v>0</v>
      </c>
      <c r="O350" s="115">
        <f>IF($B350&gt;0,(GETPIVOTDATA(" New Total",'$ Pivot Table'!$A$3,"State","WV","Category",9,"Category2","Two-Year"))/$B350)*100</f>
        <v>0</v>
      </c>
    </row>
    <row r="351" spans="1:22">
      <c r="A351" s="627" t="s">
        <v>685</v>
      </c>
      <c r="B351" s="31"/>
      <c r="C351" s="28"/>
      <c r="D351" s="28"/>
      <c r="E351" s="28"/>
      <c r="F351" s="28"/>
      <c r="G351" s="28"/>
      <c r="H351" s="28"/>
      <c r="I351" s="28"/>
      <c r="J351" s="28"/>
      <c r="K351" s="28"/>
      <c r="L351" s="28"/>
      <c r="M351" s="28"/>
      <c r="N351" s="28"/>
      <c r="O351" s="86"/>
      <c r="Q351" s="116"/>
      <c r="R351" s="101"/>
      <c r="S351" s="103"/>
      <c r="T351" s="102"/>
      <c r="V351" s="117"/>
    </row>
    <row r="352" spans="1:22" ht="18" customHeight="1">
      <c r="A352" s="628" t="s">
        <v>14</v>
      </c>
      <c r="B352" s="45"/>
      <c r="C352" s="47"/>
      <c r="D352" s="47"/>
      <c r="E352" s="47"/>
      <c r="F352" s="47"/>
      <c r="G352" s="47"/>
      <c r="H352" s="47"/>
      <c r="I352" s="47"/>
      <c r="J352" s="47"/>
      <c r="K352" s="47"/>
      <c r="L352" s="47"/>
      <c r="M352" s="47"/>
      <c r="N352" s="47"/>
      <c r="O352" s="77"/>
      <c r="Q352" s="112"/>
    </row>
    <row r="353" spans="1:29" ht="18" customHeight="1">
      <c r="A353" s="628"/>
      <c r="B353" s="45"/>
      <c r="C353" s="47"/>
      <c r="D353" s="47"/>
      <c r="E353" s="47"/>
      <c r="F353" s="47"/>
      <c r="G353" s="47"/>
      <c r="H353" s="47"/>
      <c r="I353" s="47"/>
      <c r="J353" s="47"/>
      <c r="K353" s="47"/>
      <c r="L353" s="47"/>
      <c r="M353" s="47"/>
      <c r="N353" s="47"/>
      <c r="O353" s="637" t="s">
        <v>1321</v>
      </c>
      <c r="P353" s="172"/>
      <c r="Q353" s="152"/>
      <c r="R353" s="152"/>
      <c r="S353" s="152"/>
      <c r="T353" s="153"/>
      <c r="U353" s="152"/>
      <c r="V353" s="153"/>
      <c r="W353" s="152"/>
      <c r="X353" s="152"/>
      <c r="Y353" s="153"/>
      <c r="Z353" s="152"/>
      <c r="AA353" s="152"/>
      <c r="AB353" s="152"/>
      <c r="AC353" s="154"/>
    </row>
    <row r="354" spans="1:29" ht="18">
      <c r="A354" s="595" t="s">
        <v>1111</v>
      </c>
      <c r="B354" s="48"/>
      <c r="C354" s="48"/>
      <c r="D354" s="48"/>
      <c r="E354" s="48"/>
      <c r="F354" s="48"/>
      <c r="G354" s="48"/>
      <c r="H354" s="48"/>
      <c r="I354" s="48"/>
      <c r="J354" s="48"/>
      <c r="K354" s="48"/>
      <c r="L354" s="48"/>
      <c r="M354" s="48"/>
      <c r="N354" s="48"/>
      <c r="O354" s="48"/>
    </row>
    <row r="355" spans="1:29">
      <c r="A355" s="622"/>
      <c r="B355" s="50"/>
      <c r="C355" s="49"/>
      <c r="D355" s="49"/>
      <c r="E355" s="49"/>
      <c r="F355" s="49"/>
      <c r="G355" s="49"/>
      <c r="H355" s="49"/>
      <c r="I355" s="49"/>
      <c r="J355" s="49"/>
      <c r="K355" s="49"/>
      <c r="L355" s="49"/>
      <c r="M355" s="49"/>
      <c r="N355" s="49"/>
      <c r="O355" s="148"/>
    </row>
    <row r="356" spans="1:29" ht="15.75">
      <c r="A356" s="633" t="s">
        <v>466</v>
      </c>
      <c r="B356" s="48"/>
      <c r="C356" s="48"/>
      <c r="D356" s="48"/>
      <c r="E356" s="48"/>
      <c r="F356" s="48"/>
      <c r="G356" s="48"/>
      <c r="H356" s="48"/>
      <c r="I356" s="48"/>
      <c r="J356" s="48"/>
      <c r="K356" s="48"/>
      <c r="L356" s="48"/>
      <c r="M356" s="48"/>
      <c r="N356" s="48"/>
      <c r="O356" s="147"/>
    </row>
    <row r="357" spans="1:29" ht="15.75">
      <c r="A357" s="633" t="s">
        <v>1079</v>
      </c>
      <c r="B357" s="48"/>
      <c r="C357" s="48"/>
      <c r="D357" s="48"/>
      <c r="E357" s="48"/>
      <c r="F357" s="48"/>
      <c r="G357" s="48"/>
      <c r="H357" s="48"/>
      <c r="I357" s="48"/>
      <c r="J357" s="48"/>
      <c r="K357" s="48"/>
      <c r="L357" s="48"/>
      <c r="M357" s="48"/>
      <c r="N357" s="48"/>
      <c r="O357" s="147"/>
    </row>
    <row r="358" spans="1:29">
      <c r="A358" s="148"/>
      <c r="B358" s="45"/>
      <c r="C358" s="54"/>
      <c r="D358" s="54"/>
      <c r="E358" s="54"/>
      <c r="F358" s="54"/>
      <c r="G358" s="54"/>
      <c r="H358" s="54"/>
      <c r="I358" s="54"/>
      <c r="J358" s="54"/>
      <c r="K358" s="54"/>
      <c r="L358" s="54"/>
      <c r="M358" s="54"/>
      <c r="N358" s="54"/>
      <c r="O358" s="145"/>
    </row>
    <row r="359" spans="1:29">
      <c r="A359" s="634"/>
      <c r="B359" s="2" t="s">
        <v>473</v>
      </c>
      <c r="C359" s="63" t="s">
        <v>593</v>
      </c>
      <c r="D359" s="63"/>
      <c r="E359" s="63"/>
      <c r="F359" s="63"/>
      <c r="G359" s="63"/>
      <c r="H359" s="63"/>
      <c r="I359" s="63"/>
      <c r="J359" s="63"/>
      <c r="K359" s="63"/>
      <c r="L359" s="63"/>
      <c r="M359" s="63"/>
      <c r="N359" s="63"/>
      <c r="O359" s="136"/>
    </row>
    <row r="360" spans="1:29">
      <c r="A360" s="635"/>
      <c r="B360" s="4" t="s">
        <v>474</v>
      </c>
      <c r="C360" s="3" t="s">
        <v>660</v>
      </c>
      <c r="D360" s="3"/>
      <c r="E360" s="57"/>
      <c r="F360" s="57"/>
      <c r="G360" s="3" t="s">
        <v>661</v>
      </c>
      <c r="H360" s="3"/>
      <c r="I360" s="3" t="s">
        <v>662</v>
      </c>
      <c r="J360" s="3" t="s">
        <v>663</v>
      </c>
      <c r="K360" s="3"/>
      <c r="L360" s="3" t="s">
        <v>664</v>
      </c>
      <c r="M360" s="3" t="s">
        <v>665</v>
      </c>
      <c r="N360" s="3"/>
      <c r="O360" s="124" t="s">
        <v>475</v>
      </c>
    </row>
    <row r="361" spans="1:29">
      <c r="A361" s="636"/>
      <c r="B361" s="15" t="s">
        <v>476</v>
      </c>
      <c r="C361" s="16" t="s">
        <v>667</v>
      </c>
      <c r="D361" s="16" t="s">
        <v>708</v>
      </c>
      <c r="E361" s="17" t="s">
        <v>709</v>
      </c>
      <c r="F361" s="17"/>
      <c r="G361" s="16" t="s">
        <v>668</v>
      </c>
      <c r="H361" s="16"/>
      <c r="I361" s="16" t="s">
        <v>667</v>
      </c>
      <c r="J361" s="16" t="s">
        <v>669</v>
      </c>
      <c r="K361" s="16"/>
      <c r="L361" s="16" t="s">
        <v>670</v>
      </c>
      <c r="M361" s="16" t="s">
        <v>671</v>
      </c>
      <c r="N361" s="16" t="s">
        <v>701</v>
      </c>
      <c r="O361" s="146" t="s">
        <v>15</v>
      </c>
    </row>
    <row r="362" spans="1:29">
      <c r="A362" s="149" t="s">
        <v>600</v>
      </c>
      <c r="B362" s="33">
        <f>+'[2]OLD Tables'!H38</f>
        <v>45876.164282673271</v>
      </c>
      <c r="C362" s="32">
        <f>IF($B362&gt;0,(GETPIVOTDATA(" New Retirement",'$ Pivot Table'!$A$3,"Category",10,"Category2","Two-Year"))/$B362)*100</f>
        <v>11.105219117595347</v>
      </c>
      <c r="D362" s="32">
        <f>IF($B362&gt;0,(GETPIVOTDATA(" New Health",'$ Pivot Table'!$A$3,"Category",10,"Category2","Two-Year"))/$B362)*100</f>
        <v>12.748281479799042</v>
      </c>
      <c r="E362" s="32">
        <f>IF($B362&gt;0,(GETPIVOTDATA(" New Disability",'$ Pivot Table'!$A$3,"Category",10,"Category2","Two-Year"))/$B362)*100</f>
        <v>0.3801958905366859</v>
      </c>
      <c r="F362" s="32"/>
      <c r="G362" s="32">
        <f>IF($B362&gt;0,(GETPIVOTDATA(" New Social Security",'$ Pivot Table'!$A$3,"Category",10,"Category2","Two-Year"))/$B362)*100</f>
        <v>7.4637472520194175</v>
      </c>
      <c r="H362" s="32"/>
      <c r="I362" s="32">
        <f>IF($B362&gt;0,(GETPIVOTDATA(" New Unemployment",'$ Pivot Table'!$A$3,"Category",10,"Category2","Two-Year"))/$B362)*100</f>
        <v>0.41422266171917627</v>
      </c>
      <c r="J362" s="32">
        <f>IF($B362&gt;0,(GETPIVOTDATA(" New Life Insurance",'$ Pivot Table'!$A$3,"Category",10,"Category2","Two-Year"))/$B362)*100</f>
        <v>0.28909381319759153</v>
      </c>
      <c r="K362" s="32"/>
      <c r="L362" s="32">
        <f>IF($B362&gt;0,(GETPIVOTDATA(" New Worker's Comp",'$ Pivot Table'!$A$3,"Category",10,"Category2","Two-Year"))/$B362)*100</f>
        <v>0.56572714478657082</v>
      </c>
      <c r="M362" s="32">
        <f>IF($B362&gt;0,(GETPIVOTDATA(" New Tuition Plans",'$ Pivot Table'!$A$3,"Category",10,"Category2","Two-Year"))/$B362)*100</f>
        <v>2.1999860854766715</v>
      </c>
      <c r="N362" s="32">
        <f>IF($B362&gt;0,(GETPIVOTDATA(" New Other",'$ Pivot Table'!$A$3,"Category",10,"Category2","Two-Year"))/$B362)*100</f>
        <v>0.56440256359073104</v>
      </c>
      <c r="O362" s="90">
        <f>IF($B362&gt;0,(GETPIVOTDATA(" New Total",'$ Pivot Table'!$A$3,"Category",10,"Category2","Two-Year"))/$B362)*100</f>
        <v>30.561209143618605</v>
      </c>
    </row>
    <row r="363" spans="1:29">
      <c r="A363" s="149"/>
      <c r="B363" s="31">
        <f>+'[3]OLD Tables 107-126'!H39</f>
        <v>0</v>
      </c>
      <c r="C363" s="32"/>
      <c r="D363" s="34"/>
      <c r="E363" s="32"/>
      <c r="F363" s="32"/>
      <c r="G363" s="32"/>
      <c r="H363" s="32"/>
      <c r="I363" s="32"/>
      <c r="J363" s="32"/>
      <c r="K363" s="32"/>
      <c r="L363" s="32"/>
      <c r="M363" s="32"/>
      <c r="N363" s="32"/>
      <c r="O363" s="90"/>
    </row>
    <row r="364" spans="1:29">
      <c r="A364" s="149" t="s">
        <v>479</v>
      </c>
      <c r="B364" s="617">
        <f>+'[2]OLD Tables'!H40</f>
        <v>52613.547017010314</v>
      </c>
      <c r="C364" s="32">
        <f>IF($B364&gt;0,(GETPIVOTDATA(" New Retirement",'$ Pivot Table'!$A$3,"State","AL","Category",10,"Category2","Two-Year"))/$B364)*100</f>
        <v>12.323837006189105</v>
      </c>
      <c r="D364" s="32">
        <f>IF($B364&gt;0,(GETPIVOTDATA(" New Health",'$ Pivot Table'!$A$3,"State","AL","Category",10,"Category2","Two-Year"))/$B364)*100</f>
        <v>17.136386191840771</v>
      </c>
      <c r="E364" s="32">
        <f>IF($B364&gt;0,(GETPIVOTDATA(" New Disability",'$ Pivot Table'!$A$3,"State","AL","Category",10,"Category2","Two-Year"))/$B364)*100</f>
        <v>0</v>
      </c>
      <c r="F364" s="32"/>
      <c r="G364" s="32">
        <f>IF($B364&gt;0,(GETPIVOTDATA(" New Social Security",'$ Pivot Table'!$A$3,"State","AL","Category",10,"Category2","Two-Year"))/$B364)*100</f>
        <v>7.5934587859932501</v>
      </c>
      <c r="H364" s="32"/>
      <c r="I364" s="32">
        <f>IF($B364&gt;0,(GETPIVOTDATA(" New Unemployment",'$ Pivot Table'!$A$3,"State","AL","Category",10,"Category2","Two-Year"))/$B364)*100</f>
        <v>0.25420478456415951</v>
      </c>
      <c r="J364" s="32">
        <f>IF($B364&gt;0,(GETPIVOTDATA(" New Life Insurance",'$ Pivot Table'!$A$3,"State","AL","Category",10,"Category2","Two-Year"))/$B364)*100</f>
        <v>0</v>
      </c>
      <c r="K364" s="32"/>
      <c r="L364" s="32">
        <f>IF($B364&gt;0,(GETPIVOTDATA(" New Worker's Comp",'$ Pivot Table'!$A$3,"State","AL","Category",10,"Category2","Two-Year"))/$B364)*100</f>
        <v>0</v>
      </c>
      <c r="M364" s="32">
        <f>IF($B364&gt;0,(GETPIVOTDATA(" New Tuition Plans",'$ Pivot Table'!$A$3,"State","AL","Category",10,"Category2","Two-Year"))/$B364)*100</f>
        <v>2.480156497836695</v>
      </c>
      <c r="N364" s="32">
        <f>IF($B364&gt;0,(GETPIVOTDATA(" New Other",'$ Pivot Table'!$A$3,"State","AL","Category",10,"Category2","Two-Year"))/$B364)*100</f>
        <v>0</v>
      </c>
      <c r="O364" s="90">
        <f>IF($B364&gt;0,(GETPIVOTDATA(" New Total",'$ Pivot Table'!$A$3,"State","AL","Category",10,"Category2","Two-Year"))/$B364)*100</f>
        <v>37.039583984703448</v>
      </c>
    </row>
    <row r="365" spans="1:29">
      <c r="A365" s="149" t="s">
        <v>480</v>
      </c>
      <c r="B365" s="617">
        <f>+'[2]OLD Tables'!H41</f>
        <v>41884.408191304348</v>
      </c>
      <c r="C365" s="32">
        <f>IF($B365&gt;0,(GETPIVOTDATA(" New Retirement",'$ Pivot Table'!$A$3,"State","AR","Category",10,"Category2","Two-Year"))/$B365)*100</f>
        <v>12.433979601913308</v>
      </c>
      <c r="D365" s="32">
        <f>IF($B365&gt;0,(GETPIVOTDATA(" New Health",'$ Pivot Table'!$A$3,"State","AR","Category",10,"Category2","Two-Year"))/$B365)*100</f>
        <v>14.799804177596968</v>
      </c>
      <c r="E365" s="32">
        <f>IF($B365&gt;0,(GETPIVOTDATA(" New Disability",'$ Pivot Table'!$A$3,"State","AR","Category",10,"Category2","Two-Year"))/$B365)*100</f>
        <v>0.40234673288326939</v>
      </c>
      <c r="F365" s="32"/>
      <c r="G365" s="32">
        <f>IF($B365&gt;0,(GETPIVOTDATA(" New Social Security",'$ Pivot Table'!$A$3,"State","AR","Category",10,"Category2","Two-Year"))/$B365)*100</f>
        <v>7.5287529145490444</v>
      </c>
      <c r="H365" s="32"/>
      <c r="I365" s="32">
        <f>IF($B365&gt;0,(GETPIVOTDATA(" New Unemployment",'$ Pivot Table'!$A$3,"State","AR","Category",10,"Category2","Two-Year"))/$B365)*100</f>
        <v>0.3924225191735714</v>
      </c>
      <c r="J365" s="32">
        <f>IF($B365&gt;0,(GETPIVOTDATA(" New Life Insurance",'$ Pivot Table'!$A$3,"State","AR","Category",10,"Category2","Two-Year"))/$B365)*100</f>
        <v>0.36663684896173354</v>
      </c>
      <c r="K365" s="32"/>
      <c r="L365" s="32">
        <f>IF($B365&gt;0,(GETPIVOTDATA(" New Worker's Comp",'$ Pivot Table'!$A$3,"State","AR","Category",10,"Category2","Two-Year"))/$B365)*100</f>
        <v>9.8296314539585233E-2</v>
      </c>
      <c r="M365" s="32">
        <f>IF($B365&gt;0,(GETPIVOTDATA(" New Tuition Plans",'$ Pivot Table'!$A$3,"State","AR","Category",10,"Category2","Two-Year"))/$B365)*100</f>
        <v>2.1649452599695027</v>
      </c>
      <c r="N365" s="32">
        <f>IF($B365&gt;0,(GETPIVOTDATA(" New Other",'$ Pivot Table'!$A$3,"State","AR","Category",10,"Category2","Two-Year"))/$B365)*100</f>
        <v>0</v>
      </c>
      <c r="O365" s="90">
        <f>IF($B365&gt;0,(GETPIVOTDATA(" New Total",'$ Pivot Table'!$A$3,"State","AR","Category",10,"Category2","Two-Year"))/$B365)*100</f>
        <v>32.491824787234947</v>
      </c>
    </row>
    <row r="366" spans="1:29">
      <c r="A366" s="149" t="s">
        <v>494</v>
      </c>
      <c r="B366" s="617">
        <f>+'[2]OLD Tables'!H42</f>
        <v>62452.983214814813</v>
      </c>
      <c r="C366" s="32">
        <f>IF($B366&gt;0,(GETPIVOTDATA(" New Retirement",'$ Pivot Table'!$A$3,"State","DE","Category",10,"Category2","Two-Year"))/$B366)*100</f>
        <v>17.85346202679424</v>
      </c>
      <c r="D366" s="32">
        <f>IF($B366&gt;0,(GETPIVOTDATA(" New Health",'$ Pivot Table'!$A$3,"State","DE","Category",10,"Category2","Two-Year"))/$B366)*100</f>
        <v>19.462749322572311</v>
      </c>
      <c r="E366" s="32">
        <f>IF($B366&gt;0,(GETPIVOTDATA(" New Disability",'$ Pivot Table'!$A$3,"State","DE","Category",10,"Category2","Two-Year"))/$B366)*100</f>
        <v>1.0808130616887483E-2</v>
      </c>
      <c r="F366" s="32"/>
      <c r="G366" s="32">
        <f>IF($B366&gt;0,(GETPIVOTDATA(" New Social Security",'$ Pivot Table'!$A$3,"State","DE","Category",10,"Category2","Two-Year"))/$B366)*100</f>
        <v>7.9406458982788957</v>
      </c>
      <c r="H366" s="32"/>
      <c r="I366" s="32">
        <f>IF($B366&gt;0,(GETPIVOTDATA(" New Unemployment",'$ Pivot Table'!$A$3,"State","DE","Category",10,"Category2","Two-Year"))/$B366)*100</f>
        <v>0.18814153296063396</v>
      </c>
      <c r="J366" s="32">
        <f>IF($B366&gt;0,(GETPIVOTDATA(" New Life Insurance",'$ Pivot Table'!$A$3,"State","DE","Category",10,"Category2","Two-Year"))/$B366)*100</f>
        <v>0.33193111574344303</v>
      </c>
      <c r="K366" s="32"/>
      <c r="L366" s="32">
        <f>IF($B366&gt;0,(GETPIVOTDATA(" New Worker's Comp",'$ Pivot Table'!$A$3,"State","DE","Category",10,"Category2","Two-Year"))/$B366)*100</f>
        <v>2.0240884180855834</v>
      </c>
      <c r="M366" s="32">
        <f>IF($B366&gt;0,(GETPIVOTDATA(" New Tuition Plans",'$ Pivot Table'!$A$3,"State","DE","Category",10,"Category2","Two-Year"))/$B366)*100</f>
        <v>0</v>
      </c>
      <c r="N366" s="32">
        <f>IF($B366&gt;0,(GETPIVOTDATA(" New Other",'$ Pivot Table'!$A$3,"State","DE","Category",10,"Category2","Two-Year"))/$B366)*100</f>
        <v>0</v>
      </c>
      <c r="O366" s="90">
        <f>IF($B366&gt;0,(GETPIVOTDATA(" New Total",'$ Pivot Table'!$A$3,"State","DE","Category",10,"Category2","Two-Year"))/$B366)*100</f>
        <v>44.425173695098799</v>
      </c>
    </row>
    <row r="367" spans="1:29">
      <c r="A367" s="149" t="s">
        <v>481</v>
      </c>
      <c r="B367" s="617">
        <f>+'[2]OLD Tables'!H43</f>
        <v>47029.428571428572</v>
      </c>
      <c r="C367" s="32">
        <f>IF($B367&gt;0,(GETPIVOTDATA(" New Retirement",'$ Pivot Table'!$A$3,"State","FL","Category",10,"Category2","Two-Year"))/$B367)*100</f>
        <v>8.8872989936392415</v>
      </c>
      <c r="D367" s="32">
        <f>IF($B367&gt;0,(GETPIVOTDATA(" New Health",'$ Pivot Table'!$A$3,"State","FL","Category",10,"Category2","Two-Year"))/$B367)*100</f>
        <v>8.0879829043213061</v>
      </c>
      <c r="E367" s="32">
        <f>IF($B367&gt;0,(GETPIVOTDATA(" New Disability",'$ Pivot Table'!$A$3,"State","FL","Category",10,"Category2","Two-Year"))/$B367)*100</f>
        <v>0.3677788375667515</v>
      </c>
      <c r="F367" s="32"/>
      <c r="G367" s="32">
        <f>IF($B367&gt;0,(GETPIVOTDATA(" New Social Security",'$ Pivot Table'!$A$3,"State","FL","Category",10,"Category2","Two-Year"))/$B367)*100</f>
        <v>6.3908170643912934</v>
      </c>
      <c r="H367" s="32"/>
      <c r="I367" s="32">
        <f>IF($B367&gt;0,(GETPIVOTDATA(" New Unemployment",'$ Pivot Table'!$A$3,"State","FL","Category",10,"Category2","Two-Year"))/$B367)*100</f>
        <v>0</v>
      </c>
      <c r="J367" s="32">
        <f>IF($B367&gt;0,(GETPIVOTDATA(" New Life Insurance",'$ Pivot Table'!$A$3,"State","FL","Category",10,"Category2","Two-Year"))/$B367)*100</f>
        <v>0.17547786188587083</v>
      </c>
      <c r="K367" s="32"/>
      <c r="L367" s="32">
        <f>IF($B367&gt;0,(GETPIVOTDATA(" New Worker's Comp",'$ Pivot Table'!$A$3,"State","FL","Category",10,"Category2","Two-Year"))/$B367)*100</f>
        <v>0</v>
      </c>
      <c r="M367" s="32">
        <f>IF($B367&gt;0,(GETPIVOTDATA(" New Tuition Plans",'$ Pivot Table'!$A$3,"State","FL","Category",10,"Category2","Two-Year"))/$B367)*100</f>
        <v>0</v>
      </c>
      <c r="N367" s="32">
        <f>IF($B367&gt;0,(GETPIVOTDATA(" New Other",'$ Pivot Table'!$A$3,"State","FL","Category",10,"Category2","Two-Year"))/$B367)*100</f>
        <v>2.5439998055928507E-2</v>
      </c>
      <c r="O367" s="90">
        <f>IF($B367&gt;0,(GETPIVOTDATA(" New Total",'$ Pivot Table'!$A$3,"State","FL","Category",10,"Category2","Two-Year"))/$B367)*100</f>
        <v>23.551325230250967</v>
      </c>
    </row>
    <row r="368" spans="1:29">
      <c r="A368" s="149"/>
      <c r="B368" s="617">
        <f>+'[2]OLD Tables'!H44</f>
        <v>0</v>
      </c>
      <c r="C368" s="32"/>
      <c r="D368" s="34"/>
      <c r="E368" s="32"/>
      <c r="F368" s="32"/>
      <c r="G368" s="32"/>
      <c r="H368" s="32"/>
      <c r="I368" s="32"/>
      <c r="J368" s="32"/>
      <c r="K368" s="32"/>
      <c r="L368" s="32"/>
      <c r="M368" s="32"/>
      <c r="N368" s="32"/>
      <c r="O368" s="90"/>
    </row>
    <row r="369" spans="1:22">
      <c r="A369" s="149" t="s">
        <v>482</v>
      </c>
      <c r="B369" s="617">
        <f>+'[2]OLD Tables'!H45</f>
        <v>46285.490368862273</v>
      </c>
      <c r="C369" s="32">
        <f>IF($B369&gt;0,(GETPIVOTDATA(" New Retirement",'$ Pivot Table'!$A$3,"State","GA","Category",10,"Category2","Two-Year"))/$B369)*100</f>
        <v>9.4999272018308734</v>
      </c>
      <c r="D369" s="32">
        <f>IF($B369&gt;0,(GETPIVOTDATA(" New Health",'$ Pivot Table'!$A$3,"State","GA","Category",10,"Category2","Two-Year"))/$B369)*100</f>
        <v>13.153387179393972</v>
      </c>
      <c r="E369" s="32">
        <f>IF($B369&gt;0,(GETPIVOTDATA(" New Disability",'$ Pivot Table'!$A$3,"State","GA","Category",10,"Category2","Two-Year"))/$B369)*100</f>
        <v>0</v>
      </c>
      <c r="F369" s="32"/>
      <c r="G369" s="32">
        <f>IF($B369&gt;0,(GETPIVOTDATA(" New Social Security",'$ Pivot Table'!$A$3,"State","GA","Category",10,"Category2","Two-Year"))/$B369)*100</f>
        <v>7.1985568402355318</v>
      </c>
      <c r="H369" s="32"/>
      <c r="I369" s="32">
        <f>IF($B369&gt;0,(GETPIVOTDATA(" New Unemployment",'$ Pivot Table'!$A$3,"State","GA","Category",10,"Category2","Two-Year"))/$B369)*100</f>
        <v>0.30463110334649324</v>
      </c>
      <c r="J369" s="32">
        <f>IF($B369&gt;0,(GETPIVOTDATA(" New Life Insurance",'$ Pivot Table'!$A$3,"State","GA","Category",10,"Category2","Two-Year"))/$B369)*100</f>
        <v>0.36760480337989054</v>
      </c>
      <c r="K369" s="32"/>
      <c r="L369" s="32">
        <f>IF($B369&gt;0,(GETPIVOTDATA(" New Worker's Comp",'$ Pivot Table'!$A$3,"State","GA","Category",10,"Category2","Two-Year"))/$B369)*100</f>
        <v>0.27658280787416084</v>
      </c>
      <c r="M369" s="32">
        <f>IF($B369&gt;0,(GETPIVOTDATA(" New Tuition Plans",'$ Pivot Table'!$A$3,"State","GA","Category",10,"Category2","Two-Year"))/$B369)*100</f>
        <v>0</v>
      </c>
      <c r="N369" s="32">
        <f>IF($B369&gt;0,(GETPIVOTDATA(" New Other",'$ Pivot Table'!$A$3,"State","GA","Category",10,"Category2","Two-Year"))/$B369)*100</f>
        <v>0</v>
      </c>
      <c r="O369" s="90">
        <f>IF($B369&gt;0,(GETPIVOTDATA(" New Total",'$ Pivot Table'!$A$3,"State","GA","Category",10,"Category2","Two-Year"))/$B369)*100</f>
        <v>28.821191546360854</v>
      </c>
    </row>
    <row r="370" spans="1:22">
      <c r="A370" s="149" t="s">
        <v>483</v>
      </c>
      <c r="B370" s="617">
        <f>+'[2]OLD Tables'!H46</f>
        <v>49784.794435874435</v>
      </c>
      <c r="C370" s="32">
        <f>IF($B370&gt;0,(GETPIVOTDATA(" New Retirement",'$ Pivot Table'!$A$3,"State","KY","Category",10,"Category2","Two-Year"))/$B370)*100</f>
        <v>10.563022590162282</v>
      </c>
      <c r="D370" s="32">
        <f>IF($B370&gt;0,(GETPIVOTDATA(" New Health",'$ Pivot Table'!$A$3,"State","KY","Category",10,"Category2","Two-Year"))/$B370)*100</f>
        <v>14.884241208294016</v>
      </c>
      <c r="E370" s="32">
        <f>IF($B370&gt;0,(GETPIVOTDATA(" New Disability",'$ Pivot Table'!$A$3,"State","KY","Category",10,"Category2","Two-Year"))/$B370)*100</f>
        <v>0</v>
      </c>
      <c r="F370" s="32"/>
      <c r="G370" s="32">
        <f>IF($B370&gt;0,(GETPIVOTDATA(" New Social Security",'$ Pivot Table'!$A$3,"State","KY","Category",10,"Category2","Two-Year"))/$B370)*100</f>
        <v>7.0540007455290068</v>
      </c>
      <c r="H370" s="32"/>
      <c r="I370" s="32">
        <f>IF($B370&gt;0,(GETPIVOTDATA(" New Unemployment",'$ Pivot Table'!$A$3,"State","KY","Category",10,"Category2","Two-Year"))/$B370)*100</f>
        <v>0</v>
      </c>
      <c r="J370" s="56">
        <f>IF($B370&gt;0,(GETPIVOTDATA(" New Life Insurance",'$ Pivot Table'!$A$3,"State","KY","Category",10,"Category2","Two-Year"))/$B370)*100</f>
        <v>3.4884802293361258E-2</v>
      </c>
      <c r="K370" s="32"/>
      <c r="L370" s="32">
        <f>IF($B370&gt;0,(GETPIVOTDATA(" New Worker's Comp",'$ Pivot Table'!$A$3,"State","KY","Category",10,"Category2","Two-Year"))/$B370)*100</f>
        <v>0</v>
      </c>
      <c r="M370" s="32">
        <f>IF($B370&gt;0,(GETPIVOTDATA(" New Tuition Plans",'$ Pivot Table'!$A$3,"State","KY","Category",10,"Category2","Two-Year"))/$B370)*100</f>
        <v>1.9477381203287618</v>
      </c>
      <c r="N370" s="32">
        <f>IF($B370&gt;0,(GETPIVOTDATA(" New Other",'$ Pivot Table'!$A$3,"State","KY","Category",10,"Category2","Two-Year"))/$B370)*100</f>
        <v>0</v>
      </c>
      <c r="O370" s="90">
        <f>IF($B370&gt;0,(GETPIVOTDATA(" New Total",'$ Pivot Table'!$A$3,"State","KY","Category",10,"Category2","Two-Year"))/$B370)*100</f>
        <v>32.095645138761228</v>
      </c>
    </row>
    <row r="371" spans="1:22">
      <c r="A371" s="149" t="s">
        <v>484</v>
      </c>
      <c r="B371" s="617">
        <f>+'[2]OLD Tables'!H47</f>
        <v>42206.717465555557</v>
      </c>
      <c r="C371" s="32">
        <f>IF($B371&gt;0,(GETPIVOTDATA(" New Retirement",'$ Pivot Table'!$A$3,"State","LA","Category",10,"Category2","Two-Year"))/$B371)*100</f>
        <v>15.638589163654018</v>
      </c>
      <c r="D371" s="32">
        <f>IF($B371&gt;0,(GETPIVOTDATA(" New Health",'$ Pivot Table'!$A$3,"State","LA","Category",10,"Category2","Two-Year"))/$B371)*100</f>
        <v>11.081557736686969</v>
      </c>
      <c r="E371" s="32">
        <f>IF($B371&gt;0,(GETPIVOTDATA(" New Disability",'$ Pivot Table'!$A$3,"State","LA","Category",10,"Category2","Two-Year"))/$B371)*100</f>
        <v>0</v>
      </c>
      <c r="F371" s="32"/>
      <c r="G371" s="90">
        <f>IF($B371&gt;0,(GETPIVOTDATA(" New Social Security",'$ Pivot Table'!$A$3,"State","LA","Category",10,"Category2","Two-Year"))/$B371)*100</f>
        <v>1.3089173116336201</v>
      </c>
      <c r="H371" s="91">
        <v>2</v>
      </c>
      <c r="I371" s="32">
        <f>IF($B371&gt;0,(GETPIVOTDATA(" New Unemployment",'$ Pivot Table'!$A$3,"State","LA","Category",10,"Category2","Two-Year"))/$B371)*100</f>
        <v>0.46601908377548912</v>
      </c>
      <c r="J371" s="32">
        <f>IF($B371&gt;0,(GETPIVOTDATA(" New Life Insurance",'$ Pivot Table'!$A$3,"State","LA","Category",10,"Category2","Two-Year"))/$B371)*100</f>
        <v>0.31159705231122958</v>
      </c>
      <c r="K371" s="32"/>
      <c r="L371" s="32">
        <f>IF($B371&gt;0,(GETPIVOTDATA(" New Worker's Comp",'$ Pivot Table'!$A$3,"State","LA","Category",10,"Category2","Two-Year"))/$B371)*100</f>
        <v>0</v>
      </c>
      <c r="M371" s="32">
        <f>IF($B371&gt;0,(GETPIVOTDATA(" New Tuition Plans",'$ Pivot Table'!$A$3,"State","LA","Category",10,"Category2","Two-Year"))/$B371)*100</f>
        <v>0</v>
      </c>
      <c r="N371" s="32">
        <f>IF($B371&gt;0,(GETPIVOTDATA(" New Other",'$ Pivot Table'!$A$3,"State","LA","Category",10,"Category2","Two-Year"))/$B371)*100</f>
        <v>0</v>
      </c>
      <c r="O371" s="90">
        <f>IF($B371&gt;0,(GETPIVOTDATA(" New Total",'$ Pivot Table'!$A$3,"State","LA","Category",10,"Category2","Two-Year"))/$B371)*100</f>
        <v>25.063028739146194</v>
      </c>
    </row>
    <row r="372" spans="1:22">
      <c r="A372" s="149" t="s">
        <v>485</v>
      </c>
      <c r="B372" s="617">
        <f>+'[2]OLD Tables'!H48</f>
        <v>61671.313047154472</v>
      </c>
      <c r="C372" s="32">
        <f>IF($B372&gt;0,(GETPIVOTDATA(" New Retirement",'$ Pivot Table'!$A$3,"State","MD","Category",10,"Category2","Two-Year"))/$B372)*100</f>
        <v>8.93168337548504</v>
      </c>
      <c r="D372" s="32">
        <f>IF($B372&gt;0,(GETPIVOTDATA(" New Health",'$ Pivot Table'!$A$3,"State","MD","Category",10,"Category2","Two-Year"))/$B372)*100</f>
        <v>18.096851658083516</v>
      </c>
      <c r="E372" s="32">
        <f>IF($B372&gt;0,(GETPIVOTDATA(" New Disability",'$ Pivot Table'!$A$3,"State","MD","Category",10,"Category2","Two-Year"))/$B372)*100</f>
        <v>0.30400499309036921</v>
      </c>
      <c r="F372" s="32"/>
      <c r="G372" s="32">
        <f>IF($B372&gt;0,(GETPIVOTDATA(" New Social Security",'$ Pivot Table'!$A$3,"State","MD","Category",10,"Category2","Two-Year"))/$B372)*100</f>
        <v>7.5232034722020629</v>
      </c>
      <c r="H372" s="32"/>
      <c r="I372" s="32">
        <f>IF($B372&gt;0,(GETPIVOTDATA(" New Unemployment",'$ Pivot Table'!$A$3,"State","MD","Category",10,"Category2","Two-Year"))/$B372)*100</f>
        <v>0.36984375511123324</v>
      </c>
      <c r="J372" s="32">
        <f>IF($B372&gt;0,(GETPIVOTDATA(" New Life Insurance",'$ Pivot Table'!$A$3,"State","MD","Category",10,"Category2","Two-Year"))/$B372)*100</f>
        <v>0.24155761547009907</v>
      </c>
      <c r="K372" s="32"/>
      <c r="L372" s="32">
        <f>IF($B372&gt;0,(GETPIVOTDATA(" New Worker's Comp",'$ Pivot Table'!$A$3,"State","MD","Category",10,"Category2","Two-Year"))/$B372)*100</f>
        <v>0.43316486201657406</v>
      </c>
      <c r="M372" s="32">
        <f>IF($B372&gt;0,(GETPIVOTDATA(" New Tuition Plans",'$ Pivot Table'!$A$3,"State","MD","Category",10,"Category2","Two-Year"))/$B372)*100</f>
        <v>1.5712329641158984</v>
      </c>
      <c r="N372" s="32">
        <f>IF($B372&gt;0,(GETPIVOTDATA(" New Other",'$ Pivot Table'!$A$3,"State","MD","Category",10,"Category2","Two-Year"))/$B372)*100</f>
        <v>3.2429988939440628</v>
      </c>
      <c r="O372" s="90">
        <f>IF($B372&gt;0,(GETPIVOTDATA(" New Total",'$ Pivot Table'!$A$3,"State","MD","Category",10,"Category2","Two-Year"))/$B372)*100</f>
        <v>33.08190534627488</v>
      </c>
    </row>
    <row r="373" spans="1:22">
      <c r="A373" s="149"/>
      <c r="B373" s="617">
        <f>+'[2]OLD Tables'!H49</f>
        <v>0</v>
      </c>
      <c r="C373" s="32"/>
      <c r="D373" s="34"/>
      <c r="E373" s="32"/>
      <c r="F373" s="32"/>
      <c r="G373" s="32"/>
      <c r="H373" s="32"/>
      <c r="I373" s="32"/>
      <c r="J373" s="32"/>
      <c r="K373" s="32"/>
      <c r="L373" s="32"/>
      <c r="M373" s="32"/>
      <c r="N373" s="32"/>
      <c r="O373" s="90"/>
    </row>
    <row r="374" spans="1:22">
      <c r="A374" s="149" t="s">
        <v>486</v>
      </c>
      <c r="B374" s="617">
        <f>+'[2]OLD Tables'!H50</f>
        <v>47282.641919178088</v>
      </c>
      <c r="C374" s="32">
        <f>IF($B374&gt;0,(GETPIVOTDATA(" New Retirement",'$ Pivot Table'!$A$3,"State","MS","Category",10,"Category2","Two-Year"))/$B374)*100</f>
        <v>11.770741732961802</v>
      </c>
      <c r="D374" s="32">
        <f>IF($B374&gt;0,(GETPIVOTDATA(" New Health",'$ Pivot Table'!$A$3,"State","MS","Category",10,"Category2","Two-Year"))/$B374)*100</f>
        <v>8.7452520397752558</v>
      </c>
      <c r="E374" s="32">
        <f>IF($B374&gt;0,(GETPIVOTDATA(" New Disability",'$ Pivot Table'!$A$3,"State","MS","Category",10,"Category2","Two-Year"))/$B374)*100</f>
        <v>0</v>
      </c>
      <c r="F374" s="32"/>
      <c r="G374" s="32">
        <f>IF($B374&gt;0,(GETPIVOTDATA(" New Social Security",'$ Pivot Table'!$A$3,"State","MS","Category",10,"Category2","Two-Year"))/$B374)*100</f>
        <v>7.5038601368456801</v>
      </c>
      <c r="H374" s="32"/>
      <c r="I374" s="32">
        <f>IF($B374&gt;0,(GETPIVOTDATA(" New Unemployment",'$ Pivot Table'!$A$3,"State","MS","Category",10,"Category2","Two-Year"))/$B374)*100</f>
        <v>0.20420120411835352</v>
      </c>
      <c r="J374" s="32">
        <f>IF($B374&gt;0,(GETPIVOTDATA(" New Life Insurance",'$ Pivot Table'!$A$3,"State","MS","Category",10,"Category2","Two-Year"))/$B374)*100</f>
        <v>0.24522000139206535</v>
      </c>
      <c r="K374" s="32"/>
      <c r="L374" s="32">
        <f>IF($B374&gt;0,(GETPIVOTDATA(" New Worker's Comp",'$ Pivot Table'!$A$3,"State","MS","Category",10,"Category2","Two-Year"))/$B374)*100</f>
        <v>0.47172795251574395</v>
      </c>
      <c r="M374" s="32">
        <f>IF($B374&gt;0,(GETPIVOTDATA(" New Tuition Plans",'$ Pivot Table'!$A$3,"State","MS","Category",10,"Category2","Two-Year"))/$B374)*100</f>
        <v>0</v>
      </c>
      <c r="N374" s="32">
        <f>IF($B374&gt;0,(GETPIVOTDATA(" New Other",'$ Pivot Table'!$A$3,"State","MS","Category",10,"Category2","Two-Year"))/$B374)*100</f>
        <v>0</v>
      </c>
      <c r="O374" s="90">
        <f>IF($B374&gt;0,(GETPIVOTDATA(" New Total",'$ Pivot Table'!$A$3,"State","MS","Category",10,"Category2","Two-Year"))/$B374)*100</f>
        <v>28.61687761621452</v>
      </c>
    </row>
    <row r="375" spans="1:22">
      <c r="A375" s="149" t="s">
        <v>487</v>
      </c>
      <c r="B375" s="617">
        <f>+'[2]OLD Tables'!H51</f>
        <v>45310.913663663661</v>
      </c>
      <c r="C375" s="32">
        <f>IF($B375&gt;0,(GETPIVOTDATA(" New Retirement",'$ Pivot Table'!$A$3,"State","NC","Category",10,"Category2","Two-Year"))/$B375)*100</f>
        <v>10.266748239617062</v>
      </c>
      <c r="D375" s="32">
        <f>IF($B375&gt;0,(GETPIVOTDATA(" New Health",'$ Pivot Table'!$A$3,"State","NC","Category",10,"Category2","Two-Year"))/$B375)*100</f>
        <v>9.5428857063530259</v>
      </c>
      <c r="E375" s="32">
        <f>IF($B375&gt;0,(GETPIVOTDATA(" New Disability",'$ Pivot Table'!$A$3,"State","NC","Category",10,"Category2","Two-Year"))/$B375)*100</f>
        <v>0</v>
      </c>
      <c r="F375" s="32"/>
      <c r="G375" s="32">
        <f>IF($B375&gt;0,(GETPIVOTDATA(" New Social Security",'$ Pivot Table'!$A$3,"State","NC","Category",10,"Category2","Two-Year"))/$B375)*100</f>
        <v>7.7681901193669578</v>
      </c>
      <c r="H375" s="32"/>
      <c r="I375" s="32">
        <f>IF($B375&gt;0,(GETPIVOTDATA(" New Unemployment",'$ Pivot Table'!$A$3,"State","NC","Category",10,"Category2","Two-Year"))/$B375)*100</f>
        <v>0</v>
      </c>
      <c r="J375" s="32">
        <f>IF($B375&gt;0,(GETPIVOTDATA(" New Life Insurance",'$ Pivot Table'!$A$3,"State","NC","Category",10,"Category2","Two-Year"))/$B375)*100</f>
        <v>0.2234522936650985</v>
      </c>
      <c r="K375" s="32"/>
      <c r="L375" s="32">
        <f>IF($B375&gt;0,(GETPIVOTDATA(" New Worker's Comp",'$ Pivot Table'!$A$3,"State","NC","Category",10,"Category2","Two-Year"))/$B375)*100</f>
        <v>0.26334181104992826</v>
      </c>
      <c r="M375" s="32">
        <f>IF($B375&gt;0,(GETPIVOTDATA(" New Tuition Plans",'$ Pivot Table'!$A$3,"State","NC","Category",10,"Category2","Two-Year"))/$B375)*100</f>
        <v>0</v>
      </c>
      <c r="N375" s="32">
        <f>IF($B375&gt;0,(GETPIVOTDATA(" New Other",'$ Pivot Table'!$A$3,"State","NC","Category",10,"Category2","Two-Year"))/$B375)*100</f>
        <v>0</v>
      </c>
      <c r="O375" s="90">
        <f>IF($B375&gt;0,(GETPIVOTDATA(" New Total",'$ Pivot Table'!$A$3,"State","NC","Category",10,"Category2","Two-Year"))/$B375)*100</f>
        <v>27.506066812314849</v>
      </c>
    </row>
    <row r="376" spans="1:22">
      <c r="A376" s="149" t="s">
        <v>488</v>
      </c>
      <c r="B376" s="617">
        <f>+'[2]OLD Tables'!H52</f>
        <v>42741.687390476189</v>
      </c>
      <c r="C376" s="32">
        <f>IF($B376&gt;0,(GETPIVOTDATA(" New Retirement",'$ Pivot Table'!$A$3,"State","OK","Category",10,"Category2","Two-Year"))/$B376)*100</f>
        <v>18.455244356491274</v>
      </c>
      <c r="D376" s="32">
        <f>IF($B376&gt;0,(GETPIVOTDATA(" New Health",'$ Pivot Table'!$A$3,"State","OK","Category",10,"Category2","Two-Year"))/$B376)*100</f>
        <v>13.30715391673311</v>
      </c>
      <c r="E376" s="32">
        <f>IF($B376&gt;0,(GETPIVOTDATA(" New Disability",'$ Pivot Table'!$A$3,"State","OK","Category",10,"Category2","Two-Year"))/$B376)*100</f>
        <v>0</v>
      </c>
      <c r="F376" s="32"/>
      <c r="G376" s="32">
        <f>IF($B376&gt;0,(GETPIVOTDATA(" New Social Security",'$ Pivot Table'!$A$3,"State","OK","Category",10,"Category2","Two-Year"))/$B376)*100</f>
        <v>7.4299885414433424</v>
      </c>
      <c r="H376" s="32"/>
      <c r="I376" s="32">
        <f>IF($B376&gt;0,(GETPIVOTDATA(" New Unemployment",'$ Pivot Table'!$A$3,"State","OK","Category",10,"Category2","Two-Year"))/$B376)*100</f>
        <v>0.42850188504963538</v>
      </c>
      <c r="J376" s="32">
        <f>IF($B376&gt;0,(GETPIVOTDATA(" New Life Insurance",'$ Pivot Table'!$A$3,"State","OK","Category",10,"Category2","Two-Year"))/$B376)*100</f>
        <v>0.56117811778754478</v>
      </c>
      <c r="K376" s="32"/>
      <c r="L376" s="32">
        <f>IF($B376&gt;0,(GETPIVOTDATA(" New Worker's Comp",'$ Pivot Table'!$A$3,"State","OK","Category",10,"Category2","Two-Year"))/$B376)*100</f>
        <v>1.1676588992145578</v>
      </c>
      <c r="M376" s="32">
        <f>IF($B376&gt;0,(GETPIVOTDATA(" New Tuition Plans",'$ Pivot Table'!$A$3,"State","OK","Category",10,"Category2","Two-Year"))/$B376)*100</f>
        <v>0</v>
      </c>
      <c r="N376" s="32">
        <f>IF($B376&gt;0,(GETPIVOTDATA(" New Other",'$ Pivot Table'!$A$3,"State","OK","Category",10,"Category2","Two-Year"))/$B376)*100</f>
        <v>0.41447651259230101</v>
      </c>
      <c r="O376" s="90">
        <f>IF($B376&gt;0,(GETPIVOTDATA(" New Total",'$ Pivot Table'!$A$3,"State","OK","Category",10,"Category2","Two-Year"))/$B376)*100</f>
        <v>41.452187656436529</v>
      </c>
    </row>
    <row r="377" spans="1:22">
      <c r="A377" s="149" t="s">
        <v>489</v>
      </c>
      <c r="B377" s="617">
        <f>+'[2]OLD Tables'!H53</f>
        <v>45079.401628799998</v>
      </c>
      <c r="C377" s="32">
        <f>IF($B377&gt;0,(GETPIVOTDATA(" New Retirement",'$ Pivot Table'!$A$3,"State","SC","Category",10,"Category2","Two-Year"))/$B377)*100</f>
        <v>13.468365808718149</v>
      </c>
      <c r="D377" s="32">
        <f>IF($B377&gt;0,(GETPIVOTDATA(" New Health",'$ Pivot Table'!$A$3,"State","SC","Category",10,"Category2","Two-Year"))/$B377)*100</f>
        <v>10.053601003673789</v>
      </c>
      <c r="E377" s="32">
        <f>IF($B377&gt;0,(GETPIVOTDATA(" New Disability",'$ Pivot Table'!$A$3,"State","SC","Category",10,"Category2","Two-Year"))/$B377)*100</f>
        <v>0</v>
      </c>
      <c r="F377" s="32"/>
      <c r="G377" s="32">
        <f>IF($B377&gt;0,(GETPIVOTDATA(" New Social Security",'$ Pivot Table'!$A$3,"State","SC","Category",10,"Category2","Two-Year"))/$B377)*100</f>
        <v>7.0396968833513318</v>
      </c>
      <c r="H377" s="32"/>
      <c r="I377" s="32">
        <f>IF($B377&gt;0,(GETPIVOTDATA(" New Unemployment",'$ Pivot Table'!$A$3,"State","SC","Category",10,"Category2","Two-Year"))/$B377)*100</f>
        <v>0.51687568127979344</v>
      </c>
      <c r="J377" s="32">
        <f>IF($B377&gt;0,(GETPIVOTDATA(" New Life Insurance",'$ Pivot Table'!$A$3,"State","SC","Category",10,"Category2","Two-Year"))/$B377)*100</f>
        <v>0.14843386908944917</v>
      </c>
      <c r="K377" s="32"/>
      <c r="L377" s="32">
        <f>IF($B377&gt;0,(GETPIVOTDATA(" New Worker's Comp",'$ Pivot Table'!$A$3,"State","SC","Category",10,"Category2","Two-Year"))/$B377)*100</f>
        <v>1.0101390557796706</v>
      </c>
      <c r="M377" s="32">
        <f>IF($B377&gt;0,(GETPIVOTDATA(" New Tuition Plans",'$ Pivot Table'!$A$3,"State","SC","Category",10,"Category2","Two-Year"))/$B377)*100</f>
        <v>0</v>
      </c>
      <c r="N377" s="32">
        <f>IF($B377&gt;0,(GETPIVOTDATA(" New Other",'$ Pivot Table'!$A$3,"State","SC","Category",10,"Category2","Two-Year"))/$B377)*100</f>
        <v>0</v>
      </c>
      <c r="O377" s="90">
        <f>IF($B377&gt;0,(GETPIVOTDATA(" New Total",'$ Pivot Table'!$A$3,"State","SC","Category",10,"Category2","Two-Year"))/$B377)*100</f>
        <v>31.889825928372815</v>
      </c>
    </row>
    <row r="378" spans="1:22">
      <c r="A378" s="149"/>
      <c r="B378" s="617">
        <f>+'[2]OLD Tables'!H54</f>
        <v>0</v>
      </c>
      <c r="C378" s="32"/>
      <c r="D378" s="34"/>
      <c r="E378" s="32"/>
      <c r="F378" s="32"/>
      <c r="G378" s="32"/>
      <c r="H378" s="32"/>
      <c r="I378" s="32"/>
      <c r="J378" s="32"/>
      <c r="K378" s="32"/>
      <c r="L378" s="32"/>
      <c r="M378" s="32"/>
      <c r="N378" s="32"/>
      <c r="O378" s="90"/>
    </row>
    <row r="379" spans="1:22">
      <c r="A379" s="149" t="s">
        <v>490</v>
      </c>
      <c r="B379" s="617">
        <f>+'[2]OLD Tables'!H55</f>
        <v>46971.84151111111</v>
      </c>
      <c r="C379" s="28">
        <f>IF($B379&gt;0,(GETPIVOTDATA(" New Retirement",'$ Pivot Table'!$A$3,"State","TN","Category",10,"Category2","Two-Year"))/$B379)*100</f>
        <v>11.860022658119687</v>
      </c>
      <c r="D379" s="28">
        <f>IF($B379&gt;0,(GETPIVOTDATA(" New Health",'$ Pivot Table'!$A$3,"State","TN","Category",10,"Category2","Two-Year"))/$B379)*100</f>
        <v>20.876522276015358</v>
      </c>
      <c r="E379" s="28">
        <f>IF($B379&gt;0,(GETPIVOTDATA(" New Disability",'$ Pivot Table'!$A$3,"State","TN","Category",10,"Category2","Two-Year"))/$B379)*100</f>
        <v>0</v>
      </c>
      <c r="F379" s="28"/>
      <c r="G379" s="28">
        <f>IF($B379&gt;0,(GETPIVOTDATA(" New Social Security",'$ Pivot Table'!$A$3,"State","TN","Category",10,"Category2","Two-Year"))/$B379)*100</f>
        <v>7.5926305102764502</v>
      </c>
      <c r="H379" s="28"/>
      <c r="I379" s="28">
        <f>IF($B379&gt;0,(GETPIVOTDATA(" New Unemployment",'$ Pivot Table'!$A$3,"State","TN","Category",10,"Category2","Two-Year"))/$B379)*100</f>
        <v>0</v>
      </c>
      <c r="J379" s="28">
        <f>IF($B379&gt;0,(GETPIVOTDATA(" New Life Insurance",'$ Pivot Table'!$A$3,"State","TN","Category",10,"Category2","Two-Year"))/$B379)*100</f>
        <v>0.11531615537431618</v>
      </c>
      <c r="K379" s="28"/>
      <c r="L379" s="28">
        <f>IF($B379&gt;0,(GETPIVOTDATA(" New Worker's Comp",'$ Pivot Table'!$A$3,"State","TN","Category",10,"Category2","Two-Year"))/$B379)*100</f>
        <v>0</v>
      </c>
      <c r="M379" s="28">
        <f>IF($B379&gt;0,(GETPIVOTDATA(" New Tuition Plans",'$ Pivot Table'!$A$3,"State","TN","Category",10,"Category2","Two-Year"))/$B379)*100</f>
        <v>0</v>
      </c>
      <c r="N379" s="28">
        <f>IF($B379&gt;0,(GETPIVOTDATA(" New Other",'$ Pivot Table'!$A$3,"State","TN","Category",10,"Category2","Two-Year"))/$B379)*100</f>
        <v>1.2090370708796858</v>
      </c>
      <c r="O379" s="86">
        <f>IF($B379&gt;0,(GETPIVOTDATA(" New Total",'$ Pivot Table'!$A$3,"State","TN","Category",10,"Category2","Two-Year"))/$B379)*100</f>
        <v>37.995761814353415</v>
      </c>
    </row>
    <row r="380" spans="1:22">
      <c r="A380" s="149" t="s">
        <v>491</v>
      </c>
      <c r="B380" s="617">
        <f>+'[2]OLD Tables'!H56</f>
        <v>43316.123463971882</v>
      </c>
      <c r="C380" s="28">
        <f>IF($B380&gt;0,(GETPIVOTDATA(" New Retirement",'$ Pivot Table'!$A$3,"State","TX","Category",10,"Category2","Two-Year"))/$B380)*100</f>
        <v>7.1946231574541457</v>
      </c>
      <c r="D380" s="28">
        <f>IF($B380&gt;0,(GETPIVOTDATA(" New Health",'$ Pivot Table'!$A$3,"State","TX","Category",10,"Category2","Two-Year"))/$B380)*100</f>
        <v>14.369068970566779</v>
      </c>
      <c r="E380" s="28">
        <f>IF($B380&gt;0,(GETPIVOTDATA(" New Disability",'$ Pivot Table'!$A$3,"State","TX","Category",10,"Category2","Two-Year"))/$B380)*100</f>
        <v>0.59672050452801406</v>
      </c>
      <c r="F380" s="28"/>
      <c r="G380" s="28">
        <f>IF($B380&gt;0,(GETPIVOTDATA(" New Social Security",'$ Pivot Table'!$A$3,"State","TX","Category",10,"Category2","Two-Year"))/$B380)*100</f>
        <v>6.7445092589261542</v>
      </c>
      <c r="H380" s="28"/>
      <c r="I380" s="28">
        <f>IF($B380&gt;0,(GETPIVOTDATA(" New Unemployment",'$ Pivot Table'!$A$3,"State","TX","Category",10,"Category2","Two-Year"))/$B380)*100</f>
        <v>0.70270511542379088</v>
      </c>
      <c r="J380" s="28">
        <f>IF($B380&gt;0,(GETPIVOTDATA(" New Life Insurance",'$ Pivot Table'!$A$3,"State","TX","Category",10,"Category2","Two-Year"))/$B380)*100</f>
        <v>0.56730954118376331</v>
      </c>
      <c r="K380" s="28"/>
      <c r="L380" s="28">
        <f>IF($B380&gt;0,(GETPIVOTDATA(" New Worker's Comp",'$ Pivot Table'!$A$3,"State","TX","Category",10,"Category2","Two-Year"))/$B380)*100</f>
        <v>0.40558716893270996</v>
      </c>
      <c r="M380" s="28">
        <f>IF($B380&gt;0,(GETPIVOTDATA(" New Tuition Plans",'$ Pivot Table'!$A$3,"State","TX","Category",10,"Category2","Two-Year"))/$B380)*100</f>
        <v>1.0559578360709996</v>
      </c>
      <c r="N380" s="28">
        <f>IF($B380&gt;0,(GETPIVOTDATA(" New Other",'$ Pivot Table'!$A$3,"State","TX","Category",10,"Category2","Two-Year"))/$B380)*100</f>
        <v>0</v>
      </c>
      <c r="O380" s="86">
        <f>IF($B380&gt;0,(GETPIVOTDATA(" New Total",'$ Pivot Table'!$A$3,"State","TX","Category",10,"Category2","Two-Year"))/$B380)*100</f>
        <v>25.212166494894721</v>
      </c>
    </row>
    <row r="381" spans="1:22">
      <c r="A381" s="149" t="s">
        <v>492</v>
      </c>
      <c r="B381" s="617">
        <f>+'[2]OLD Tables'!H57</f>
        <v>55425.181818181816</v>
      </c>
      <c r="C381" s="28">
        <f>IF($B381&gt;0,(GETPIVOTDATA(" New Retirement",'$ Pivot Table'!$A$3,"State","VA","Category",10,"Category2","Two-Year"))/$B381)*100</f>
        <v>0</v>
      </c>
      <c r="D381" s="28">
        <f>IF($B381&gt;0,(GETPIVOTDATA(" New Health",'$ Pivot Table'!$A$3,"State","VA","Category",10,"Category2","Two-Year"))/$B381)*100</f>
        <v>0</v>
      </c>
      <c r="E381" s="28">
        <f>IF($B381&gt;0,(GETPIVOTDATA(" New Disability",'$ Pivot Table'!$A$3,"State","VA","Category",10,"Category2","Two-Year"))/$B381)*100</f>
        <v>0</v>
      </c>
      <c r="F381" s="28"/>
      <c r="G381" s="28">
        <f>IF($B381&gt;0,(GETPIVOTDATA(" New Social Security",'$ Pivot Table'!$A$3,"State","VA","Category",10,"Category2","Two-Year"))/$B381)*100</f>
        <v>0</v>
      </c>
      <c r="H381" s="28"/>
      <c r="I381" s="28">
        <f>IF($B381&gt;0,(GETPIVOTDATA(" New Unemployment",'$ Pivot Table'!$A$3,"State","VA","Category",10,"Category2","Two-Year"))/$B381)*100</f>
        <v>0</v>
      </c>
      <c r="J381" s="28">
        <f>IF($B381&gt;0,(GETPIVOTDATA(" New Life Insurance",'$ Pivot Table'!$A$3,"State","VA","Category",10,"Category2","Two-Year"))/$B381)*100</f>
        <v>0</v>
      </c>
      <c r="K381" s="28"/>
      <c r="L381" s="28">
        <f>IF($B381&gt;0,(GETPIVOTDATA(" New Worker's Comp",'$ Pivot Table'!$A$3,"State","VA","Category",10,"Category2","Two-Year"))/$B381)*100</f>
        <v>0</v>
      </c>
      <c r="M381" s="28">
        <f>IF($B381&gt;0,(GETPIVOTDATA(" New Tuition Plans",'$ Pivot Table'!$A$3,"State","VA","Category",10,"Category2","Two-Year"))/$B381)*100</f>
        <v>0</v>
      </c>
      <c r="N381" s="28">
        <f>IF($B381&gt;0,(GETPIVOTDATA(" New Other",'$ Pivot Table'!$A$3,"State","VA","Category",10,"Category2","Two-Year"))/$B381)*100</f>
        <v>0</v>
      </c>
      <c r="O381" s="86">
        <f>IF($B381&gt;0,(GETPIVOTDATA(" New Total",'$ Pivot Table'!$A$3,"State","VA","Category",10,"Category2","Two-Year"))/$B381)*100</f>
        <v>0</v>
      </c>
    </row>
    <row r="382" spans="1:22">
      <c r="A382" s="630" t="s">
        <v>493</v>
      </c>
      <c r="B382" s="618">
        <f>+'[2]OLD Tables'!H58</f>
        <v>46535.77732691358</v>
      </c>
      <c r="C382" s="30">
        <f>IF($B382&gt;0,(GETPIVOTDATA(" New Retirement",'$ Pivot Table'!$A$3,"State","WV","Category",10,"Category2","Two-Year"))/$B382)*100</f>
        <v>6.0031740746050559</v>
      </c>
      <c r="D382" s="30">
        <f>IF($B382&gt;0,(GETPIVOTDATA(" New Health",'$ Pivot Table'!$A$3,"State","WV","Category",10,"Category2","Two-Year"))/$B382)*100</f>
        <v>10.755725918888558</v>
      </c>
      <c r="E382" s="30">
        <f>IF($B382&gt;0,(GETPIVOTDATA(" New Disability",'$ Pivot Table'!$A$3,"State","WV","Category",10,"Category2","Two-Year"))/$B382)*100</f>
        <v>0</v>
      </c>
      <c r="F382" s="30"/>
      <c r="G382" s="30">
        <f>IF($B382&gt;0,(GETPIVOTDATA(" New Social Security",'$ Pivot Table'!$A$3,"State","WV","Category",10,"Category2","Two-Year"))/$B382)*100</f>
        <v>7.7400273269380691</v>
      </c>
      <c r="H382" s="30"/>
      <c r="I382" s="30">
        <f>IF($B382&gt;0,(GETPIVOTDATA(" New Unemployment",'$ Pivot Table'!$A$3,"State","WV","Category",10,"Category2","Two-Year"))/$B382)*100</f>
        <v>0</v>
      </c>
      <c r="J382" s="30">
        <f>IF($B382&gt;0,(GETPIVOTDATA(" New Life Insurance",'$ Pivot Table'!$A$3,"State","WV","Category",10,"Category2","Two-Year"))/$B382)*100</f>
        <v>0.13435787777952088</v>
      </c>
      <c r="K382" s="30"/>
      <c r="L382" s="30">
        <f>IF($B382&gt;0,(GETPIVOTDATA(" New Worker's Comp",'$ Pivot Table'!$A$3,"State","WV","Category",10,"Category2","Two-Year"))/$B382)*100</f>
        <v>0.5767079184777385</v>
      </c>
      <c r="M382" s="30">
        <f>IF($B382&gt;0,(GETPIVOTDATA(" New Tuition Plans",'$ Pivot Table'!$A$3,"State","WV","Category",10,"Category2","Two-Year"))/$B382)*100</f>
        <v>0</v>
      </c>
      <c r="N382" s="30">
        <f>IF($B382&gt;0,(GETPIVOTDATA(" New Other",'$ Pivot Table'!$A$3,"State","WV","Category",10,"Category2","Two-Year"))/$B382)*100</f>
        <v>0</v>
      </c>
      <c r="O382" s="115">
        <f>IF($B382&gt;0,(GETPIVOTDATA(" New Total",'$ Pivot Table'!$A$3,"State","WV","Category",10,"Category2","Two-Year"))/$B382)*100</f>
        <v>24.987506285914748</v>
      </c>
    </row>
    <row r="383" spans="1:22">
      <c r="A383" s="627" t="s">
        <v>685</v>
      </c>
      <c r="B383" s="31"/>
      <c r="C383" s="28"/>
      <c r="D383" s="28"/>
      <c r="E383" s="28"/>
      <c r="F383" s="28"/>
      <c r="G383" s="28"/>
      <c r="H383" s="28"/>
      <c r="I383" s="28"/>
      <c r="J383" s="28"/>
      <c r="K383" s="28"/>
      <c r="L383" s="28"/>
      <c r="M383" s="28"/>
      <c r="N383" s="28"/>
      <c r="O383" s="86"/>
      <c r="Q383" s="116"/>
      <c r="R383" s="101"/>
      <c r="S383" s="103"/>
      <c r="T383" s="102"/>
      <c r="V383" s="117"/>
    </row>
    <row r="384" spans="1:22" ht="18" customHeight="1">
      <c r="A384" s="628" t="s">
        <v>14</v>
      </c>
      <c r="B384" s="45"/>
      <c r="C384" s="47"/>
      <c r="D384" s="47"/>
      <c r="E384" s="47"/>
      <c r="F384" s="47"/>
      <c r="G384" s="47"/>
      <c r="H384" s="47"/>
      <c r="I384" s="47"/>
      <c r="J384" s="47"/>
      <c r="K384" s="47"/>
      <c r="L384" s="47"/>
      <c r="M384" s="47"/>
      <c r="N384" s="47"/>
      <c r="O384" s="77"/>
      <c r="Q384" s="112"/>
    </row>
    <row r="385" spans="1:29" ht="18" customHeight="1">
      <c r="A385" s="628" t="s">
        <v>678</v>
      </c>
      <c r="B385" s="45"/>
      <c r="C385" s="54"/>
      <c r="D385" s="54"/>
      <c r="E385" s="54"/>
      <c r="F385" s="54"/>
      <c r="G385" s="54"/>
      <c r="H385" s="54"/>
      <c r="I385" s="54"/>
      <c r="J385" s="54"/>
      <c r="K385" s="54"/>
      <c r="L385" s="54"/>
      <c r="M385" s="54"/>
      <c r="N385" s="54"/>
      <c r="O385" s="145"/>
      <c r="Q385" s="152"/>
      <c r="R385" s="152"/>
      <c r="S385" s="152"/>
      <c r="T385" s="153"/>
      <c r="U385" s="152"/>
      <c r="V385" s="153"/>
      <c r="W385" s="152"/>
      <c r="X385" s="152"/>
      <c r="Y385" s="153"/>
      <c r="Z385" s="152"/>
      <c r="AA385" s="152"/>
      <c r="AB385" s="152"/>
      <c r="AC385" s="154"/>
    </row>
    <row r="386" spans="1:29" ht="18" customHeight="1">
      <c r="A386" s="628"/>
      <c r="B386" s="45"/>
      <c r="C386" s="47"/>
      <c r="D386" s="47"/>
      <c r="E386" s="47"/>
      <c r="F386" s="47"/>
      <c r="G386" s="47"/>
      <c r="H386" s="47"/>
      <c r="I386" s="47"/>
      <c r="J386" s="47"/>
      <c r="K386" s="47"/>
      <c r="L386" s="47"/>
      <c r="M386" s="47"/>
      <c r="N386" s="47"/>
      <c r="O386" s="637" t="s">
        <v>1321</v>
      </c>
      <c r="P386" s="172"/>
    </row>
    <row r="387" spans="1:29" ht="18">
      <c r="A387" s="595" t="s">
        <v>1112</v>
      </c>
      <c r="B387" s="48"/>
      <c r="C387" s="48"/>
      <c r="D387" s="48"/>
      <c r="E387" s="48"/>
      <c r="F387" s="48"/>
      <c r="G387" s="48"/>
      <c r="H387" s="48"/>
      <c r="I387" s="48"/>
      <c r="J387" s="48"/>
      <c r="K387" s="48"/>
      <c r="L387" s="48"/>
      <c r="M387" s="48"/>
      <c r="N387" s="48"/>
      <c r="O387" s="48"/>
    </row>
    <row r="388" spans="1:29">
      <c r="A388" s="622"/>
      <c r="B388" s="50"/>
      <c r="C388" s="49"/>
      <c r="D388" s="49"/>
      <c r="E388" s="49"/>
      <c r="F388" s="49"/>
      <c r="G388" s="49"/>
      <c r="H388" s="49"/>
      <c r="I388" s="49"/>
      <c r="J388" s="49"/>
      <c r="K388" s="49"/>
      <c r="L388" s="49"/>
      <c r="M388" s="49"/>
      <c r="N388" s="49"/>
      <c r="O388" s="148"/>
    </row>
    <row r="389" spans="1:29" ht="15.75">
      <c r="A389" s="633" t="s">
        <v>466</v>
      </c>
      <c r="B389" s="48"/>
      <c r="C389" s="48"/>
      <c r="D389" s="48"/>
      <c r="E389" s="48"/>
      <c r="F389" s="48"/>
      <c r="G389" s="48"/>
      <c r="H389" s="48"/>
      <c r="I389" s="48"/>
      <c r="J389" s="48"/>
      <c r="K389" s="48"/>
      <c r="L389" s="48"/>
      <c r="M389" s="48"/>
      <c r="N389" s="48"/>
      <c r="O389" s="147"/>
    </row>
    <row r="390" spans="1:29" ht="15.75">
      <c r="A390" s="633" t="s">
        <v>1080</v>
      </c>
      <c r="B390" s="48"/>
      <c r="C390" s="48"/>
      <c r="D390" s="48"/>
      <c r="E390" s="48"/>
      <c r="F390" s="48"/>
      <c r="G390" s="48"/>
      <c r="H390" s="48"/>
      <c r="I390" s="48"/>
      <c r="J390" s="48"/>
      <c r="K390" s="48"/>
      <c r="L390" s="48"/>
      <c r="M390" s="48"/>
      <c r="N390" s="48"/>
      <c r="O390" s="147"/>
    </row>
    <row r="391" spans="1:29">
      <c r="A391" s="148"/>
      <c r="B391" s="45"/>
      <c r="C391" s="54"/>
      <c r="D391" s="54"/>
      <c r="E391" s="54"/>
      <c r="F391" s="54"/>
      <c r="G391" s="54"/>
      <c r="H391" s="54"/>
      <c r="I391" s="54"/>
      <c r="J391" s="54"/>
      <c r="K391" s="54"/>
      <c r="L391" s="54"/>
      <c r="M391" s="54"/>
      <c r="N391" s="54"/>
      <c r="O391" s="145"/>
    </row>
    <row r="392" spans="1:29">
      <c r="A392" s="634"/>
      <c r="B392" s="2" t="s">
        <v>473</v>
      </c>
      <c r="C392" s="63" t="s">
        <v>593</v>
      </c>
      <c r="D392" s="63"/>
      <c r="E392" s="63"/>
      <c r="F392" s="63"/>
      <c r="G392" s="63"/>
      <c r="H392" s="63"/>
      <c r="I392" s="63"/>
      <c r="J392" s="63"/>
      <c r="K392" s="63"/>
      <c r="L392" s="63"/>
      <c r="M392" s="63"/>
      <c r="N392" s="63"/>
      <c r="O392" s="136"/>
    </row>
    <row r="393" spans="1:29">
      <c r="A393" s="635"/>
      <c r="B393" s="4" t="s">
        <v>474</v>
      </c>
      <c r="C393" s="3" t="s">
        <v>660</v>
      </c>
      <c r="D393" s="3"/>
      <c r="E393" s="57"/>
      <c r="F393" s="57"/>
      <c r="G393" s="3" t="s">
        <v>661</v>
      </c>
      <c r="H393" s="3"/>
      <c r="I393" s="3" t="s">
        <v>662</v>
      </c>
      <c r="J393" s="3" t="s">
        <v>663</v>
      </c>
      <c r="K393" s="3"/>
      <c r="L393" s="3" t="s">
        <v>664</v>
      </c>
      <c r="M393" s="3" t="s">
        <v>665</v>
      </c>
      <c r="N393" s="3"/>
      <c r="O393" s="124" t="s">
        <v>475</v>
      </c>
    </row>
    <row r="394" spans="1:29">
      <c r="A394" s="636"/>
      <c r="B394" s="15" t="s">
        <v>476</v>
      </c>
      <c r="C394" s="16" t="s">
        <v>667</v>
      </c>
      <c r="D394" s="16" t="s">
        <v>708</v>
      </c>
      <c r="E394" s="17" t="s">
        <v>709</v>
      </c>
      <c r="F394" s="17"/>
      <c r="G394" s="16" t="s">
        <v>668</v>
      </c>
      <c r="H394" s="16"/>
      <c r="I394" s="16" t="s">
        <v>667</v>
      </c>
      <c r="J394" s="16" t="s">
        <v>669</v>
      </c>
      <c r="K394" s="16"/>
      <c r="L394" s="16" t="s">
        <v>670</v>
      </c>
      <c r="M394" s="16" t="s">
        <v>671</v>
      </c>
      <c r="N394" s="16" t="s">
        <v>701</v>
      </c>
      <c r="O394" s="146" t="s">
        <v>15</v>
      </c>
    </row>
    <row r="395" spans="1:29">
      <c r="A395" s="149" t="s">
        <v>600</v>
      </c>
      <c r="B395" s="33" t="s">
        <v>1302</v>
      </c>
      <c r="C395" s="33" t="s">
        <v>1302</v>
      </c>
      <c r="D395" s="33" t="s">
        <v>1302</v>
      </c>
      <c r="E395" s="33" t="s">
        <v>1302</v>
      </c>
      <c r="F395" s="33"/>
      <c r="G395" s="33" t="s">
        <v>1302</v>
      </c>
      <c r="H395" s="33"/>
      <c r="I395" s="33" t="s">
        <v>1302</v>
      </c>
      <c r="J395" s="33" t="s">
        <v>1302</v>
      </c>
      <c r="K395" s="33"/>
      <c r="L395" s="33" t="s">
        <v>1302</v>
      </c>
      <c r="M395" s="33" t="s">
        <v>1302</v>
      </c>
      <c r="N395" s="33" t="s">
        <v>1302</v>
      </c>
      <c r="O395" s="33" t="s">
        <v>1302</v>
      </c>
    </row>
    <row r="396" spans="1:29">
      <c r="A396" s="149"/>
      <c r="B396" s="31">
        <f>+'[3]NEW Tables 144-163'!J39</f>
        <v>0</v>
      </c>
      <c r="C396" s="32"/>
      <c r="D396" s="34"/>
      <c r="E396" s="32"/>
      <c r="F396" s="32"/>
      <c r="G396" s="32"/>
      <c r="H396" s="32"/>
      <c r="I396" s="32"/>
      <c r="J396" s="32"/>
      <c r="K396" s="32"/>
      <c r="L396" s="32"/>
      <c r="M396" s="32"/>
      <c r="N396" s="32"/>
      <c r="O396" s="90"/>
    </row>
    <row r="397" spans="1:29">
      <c r="A397" s="149" t="s">
        <v>479</v>
      </c>
      <c r="B397" s="31" t="s">
        <v>1302</v>
      </c>
      <c r="C397" s="31" t="s">
        <v>1302</v>
      </c>
      <c r="D397" s="31" t="s">
        <v>1302</v>
      </c>
      <c r="E397" s="31" t="s">
        <v>1302</v>
      </c>
      <c r="F397" s="31"/>
      <c r="G397" s="31" t="s">
        <v>1302</v>
      </c>
      <c r="H397" s="31"/>
      <c r="I397" s="31" t="s">
        <v>1302</v>
      </c>
      <c r="J397" s="31" t="s">
        <v>1302</v>
      </c>
      <c r="K397" s="31"/>
      <c r="L397" s="31" t="s">
        <v>1302</v>
      </c>
      <c r="M397" s="31" t="s">
        <v>1302</v>
      </c>
      <c r="N397" s="31" t="s">
        <v>1302</v>
      </c>
      <c r="O397" s="31" t="s">
        <v>1302</v>
      </c>
    </row>
    <row r="398" spans="1:29">
      <c r="A398" s="149" t="s">
        <v>480</v>
      </c>
      <c r="B398" s="31" t="s">
        <v>1302</v>
      </c>
      <c r="C398" s="31" t="s">
        <v>1302</v>
      </c>
      <c r="D398" s="31" t="s">
        <v>1302</v>
      </c>
      <c r="E398" s="31" t="s">
        <v>1302</v>
      </c>
      <c r="F398" s="31"/>
      <c r="G398" s="31" t="s">
        <v>1302</v>
      </c>
      <c r="H398" s="31"/>
      <c r="I398" s="31" t="s">
        <v>1302</v>
      </c>
      <c r="J398" s="31" t="s">
        <v>1302</v>
      </c>
      <c r="K398" s="31"/>
      <c r="L398" s="31" t="s">
        <v>1302</v>
      </c>
      <c r="M398" s="31" t="s">
        <v>1302</v>
      </c>
      <c r="N398" s="31" t="s">
        <v>1302</v>
      </c>
      <c r="O398" s="31" t="s">
        <v>1302</v>
      </c>
    </row>
    <row r="399" spans="1:29">
      <c r="A399" s="149" t="s">
        <v>494</v>
      </c>
      <c r="B399" s="31" t="s">
        <v>1302</v>
      </c>
      <c r="C399" s="31" t="s">
        <v>1302</v>
      </c>
      <c r="D399" s="31" t="s">
        <v>1302</v>
      </c>
      <c r="E399" s="31" t="s">
        <v>1302</v>
      </c>
      <c r="F399" s="31"/>
      <c r="G399" s="31" t="s">
        <v>1302</v>
      </c>
      <c r="H399" s="31"/>
      <c r="I399" s="31" t="s">
        <v>1302</v>
      </c>
      <c r="J399" s="31" t="s">
        <v>1302</v>
      </c>
      <c r="K399" s="31"/>
      <c r="L399" s="31" t="s">
        <v>1302</v>
      </c>
      <c r="M399" s="31" t="s">
        <v>1302</v>
      </c>
      <c r="N399" s="31" t="s">
        <v>1302</v>
      </c>
      <c r="O399" s="31" t="s">
        <v>1302</v>
      </c>
    </row>
    <row r="400" spans="1:29">
      <c r="A400" s="149" t="s">
        <v>481</v>
      </c>
      <c r="B400" s="31" t="s">
        <v>1302</v>
      </c>
      <c r="C400" s="31" t="s">
        <v>1302</v>
      </c>
      <c r="D400" s="31" t="s">
        <v>1302</v>
      </c>
      <c r="E400" s="31" t="s">
        <v>1302</v>
      </c>
      <c r="F400" s="31"/>
      <c r="G400" s="31" t="s">
        <v>1302</v>
      </c>
      <c r="H400" s="31"/>
      <c r="I400" s="31" t="s">
        <v>1302</v>
      </c>
      <c r="J400" s="31" t="s">
        <v>1302</v>
      </c>
      <c r="K400" s="31"/>
      <c r="L400" s="31" t="s">
        <v>1302</v>
      </c>
      <c r="M400" s="31" t="s">
        <v>1302</v>
      </c>
      <c r="N400" s="31" t="s">
        <v>1302</v>
      </c>
      <c r="O400" s="31" t="s">
        <v>1302</v>
      </c>
    </row>
    <row r="401" spans="1:15">
      <c r="A401" s="149"/>
      <c r="B401" s="31">
        <f>+'[3]NEW Tables 144-163'!J44</f>
        <v>0</v>
      </c>
      <c r="C401" s="32"/>
      <c r="D401" s="34"/>
      <c r="E401" s="32"/>
      <c r="F401" s="32"/>
      <c r="G401" s="32"/>
      <c r="H401" s="32"/>
      <c r="I401" s="32"/>
      <c r="J401" s="32"/>
      <c r="K401" s="32"/>
      <c r="L401" s="32"/>
      <c r="M401" s="32"/>
      <c r="N401" s="32"/>
      <c r="O401" s="90"/>
    </row>
    <row r="402" spans="1:15">
      <c r="A402" s="149" t="s">
        <v>482</v>
      </c>
      <c r="B402" s="31" t="s">
        <v>1302</v>
      </c>
      <c r="C402" s="31" t="s">
        <v>1302</v>
      </c>
      <c r="D402" s="31" t="s">
        <v>1302</v>
      </c>
      <c r="E402" s="31" t="s">
        <v>1302</v>
      </c>
      <c r="F402" s="31"/>
      <c r="G402" s="31" t="s">
        <v>1302</v>
      </c>
      <c r="H402" s="31"/>
      <c r="I402" s="31" t="s">
        <v>1302</v>
      </c>
      <c r="J402" s="31" t="s">
        <v>1302</v>
      </c>
      <c r="K402" s="31"/>
      <c r="L402" s="31" t="s">
        <v>1302</v>
      </c>
      <c r="M402" s="31" t="s">
        <v>1302</v>
      </c>
      <c r="N402" s="31" t="s">
        <v>1302</v>
      </c>
      <c r="O402" s="31" t="s">
        <v>1302</v>
      </c>
    </row>
    <row r="403" spans="1:15">
      <c r="A403" s="149" t="s">
        <v>483</v>
      </c>
      <c r="B403" s="31" t="s">
        <v>1302</v>
      </c>
      <c r="C403" s="31" t="s">
        <v>1302</v>
      </c>
      <c r="D403" s="31" t="s">
        <v>1302</v>
      </c>
      <c r="E403" s="31" t="s">
        <v>1302</v>
      </c>
      <c r="F403" s="31"/>
      <c r="G403" s="31" t="s">
        <v>1302</v>
      </c>
      <c r="H403" s="31"/>
      <c r="I403" s="31" t="s">
        <v>1302</v>
      </c>
      <c r="J403" s="31" t="s">
        <v>1302</v>
      </c>
      <c r="K403" s="31"/>
      <c r="L403" s="31" t="s">
        <v>1302</v>
      </c>
      <c r="M403" s="31" t="s">
        <v>1302</v>
      </c>
      <c r="N403" s="31" t="s">
        <v>1302</v>
      </c>
      <c r="O403" s="31" t="s">
        <v>1302</v>
      </c>
    </row>
    <row r="404" spans="1:15">
      <c r="A404" s="149" t="s">
        <v>484</v>
      </c>
      <c r="B404" s="31" t="s">
        <v>1302</v>
      </c>
      <c r="C404" s="31" t="s">
        <v>1302</v>
      </c>
      <c r="D404" s="31" t="s">
        <v>1302</v>
      </c>
      <c r="E404" s="31" t="s">
        <v>1302</v>
      </c>
      <c r="F404" s="31"/>
      <c r="G404" s="31" t="s">
        <v>1302</v>
      </c>
      <c r="H404" s="31"/>
      <c r="I404" s="31" t="s">
        <v>1302</v>
      </c>
      <c r="J404" s="31" t="s">
        <v>1302</v>
      </c>
      <c r="K404" s="31"/>
      <c r="L404" s="31" t="s">
        <v>1302</v>
      </c>
      <c r="M404" s="31" t="s">
        <v>1302</v>
      </c>
      <c r="N404" s="31" t="s">
        <v>1302</v>
      </c>
      <c r="O404" s="31" t="s">
        <v>1302</v>
      </c>
    </row>
    <row r="405" spans="1:15">
      <c r="A405" s="149" t="s">
        <v>485</v>
      </c>
      <c r="B405" s="31" t="s">
        <v>1302</v>
      </c>
      <c r="C405" s="31" t="s">
        <v>1302</v>
      </c>
      <c r="D405" s="31" t="s">
        <v>1302</v>
      </c>
      <c r="E405" s="31" t="s">
        <v>1302</v>
      </c>
      <c r="F405" s="31"/>
      <c r="G405" s="31" t="s">
        <v>1302</v>
      </c>
      <c r="H405" s="31"/>
      <c r="I405" s="31" t="s">
        <v>1302</v>
      </c>
      <c r="J405" s="31" t="s">
        <v>1302</v>
      </c>
      <c r="K405" s="31"/>
      <c r="L405" s="31" t="s">
        <v>1302</v>
      </c>
      <c r="M405" s="31" t="s">
        <v>1302</v>
      </c>
      <c r="N405" s="31" t="s">
        <v>1302</v>
      </c>
      <c r="O405" s="31" t="s">
        <v>1302</v>
      </c>
    </row>
    <row r="406" spans="1:15">
      <c r="A406" s="149"/>
      <c r="B406" s="31">
        <f>+'[3]NEW Tables 144-163'!J49</f>
        <v>0</v>
      </c>
      <c r="C406" s="32"/>
      <c r="D406" s="34"/>
      <c r="E406" s="32"/>
      <c r="F406" s="32"/>
      <c r="G406" s="32"/>
      <c r="H406" s="32"/>
      <c r="I406" s="32"/>
      <c r="J406" s="32"/>
      <c r="K406" s="32"/>
      <c r="L406" s="32"/>
      <c r="M406" s="32"/>
      <c r="N406" s="32"/>
      <c r="O406" s="90"/>
    </row>
    <row r="407" spans="1:15">
      <c r="A407" s="149" t="s">
        <v>486</v>
      </c>
      <c r="B407" s="31" t="s">
        <v>1302</v>
      </c>
      <c r="C407" s="31" t="s">
        <v>1302</v>
      </c>
      <c r="D407" s="31" t="s">
        <v>1302</v>
      </c>
      <c r="E407" s="31" t="s">
        <v>1302</v>
      </c>
      <c r="F407" s="31"/>
      <c r="G407" s="31" t="s">
        <v>1302</v>
      </c>
      <c r="H407" s="31"/>
      <c r="I407" s="31" t="s">
        <v>1302</v>
      </c>
      <c r="J407" s="31" t="s">
        <v>1302</v>
      </c>
      <c r="K407" s="31"/>
      <c r="L407" s="31" t="s">
        <v>1302</v>
      </c>
      <c r="M407" s="31" t="s">
        <v>1302</v>
      </c>
      <c r="N407" s="31" t="s">
        <v>1302</v>
      </c>
      <c r="O407" s="31" t="s">
        <v>1302</v>
      </c>
    </row>
    <row r="408" spans="1:15">
      <c r="A408" s="149" t="s">
        <v>487</v>
      </c>
      <c r="B408" s="31" t="s">
        <v>1302</v>
      </c>
      <c r="C408" s="31" t="s">
        <v>1302</v>
      </c>
      <c r="D408" s="31" t="s">
        <v>1302</v>
      </c>
      <c r="E408" s="31" t="s">
        <v>1302</v>
      </c>
      <c r="F408" s="31"/>
      <c r="G408" s="31" t="s">
        <v>1302</v>
      </c>
      <c r="H408" s="31"/>
      <c r="I408" s="31" t="s">
        <v>1302</v>
      </c>
      <c r="J408" s="31" t="s">
        <v>1302</v>
      </c>
      <c r="K408" s="31"/>
      <c r="L408" s="31" t="s">
        <v>1302</v>
      </c>
      <c r="M408" s="31" t="s">
        <v>1302</v>
      </c>
      <c r="N408" s="31" t="s">
        <v>1302</v>
      </c>
      <c r="O408" s="31" t="s">
        <v>1302</v>
      </c>
    </row>
    <row r="409" spans="1:15">
      <c r="A409" s="149" t="s">
        <v>488</v>
      </c>
      <c r="B409" s="31" t="s">
        <v>1302</v>
      </c>
      <c r="C409" s="31" t="s">
        <v>1302</v>
      </c>
      <c r="D409" s="31" t="s">
        <v>1302</v>
      </c>
      <c r="E409" s="31" t="s">
        <v>1302</v>
      </c>
      <c r="F409" s="31"/>
      <c r="G409" s="31" t="s">
        <v>1302</v>
      </c>
      <c r="H409" s="31"/>
      <c r="I409" s="31" t="s">
        <v>1302</v>
      </c>
      <c r="J409" s="31" t="s">
        <v>1302</v>
      </c>
      <c r="K409" s="31"/>
      <c r="L409" s="31" t="s">
        <v>1302</v>
      </c>
      <c r="M409" s="31" t="s">
        <v>1302</v>
      </c>
      <c r="N409" s="31" t="s">
        <v>1302</v>
      </c>
      <c r="O409" s="31" t="s">
        <v>1302</v>
      </c>
    </row>
    <row r="410" spans="1:15">
      <c r="A410" s="149" t="s">
        <v>489</v>
      </c>
      <c r="B410" s="31" t="s">
        <v>1302</v>
      </c>
      <c r="C410" s="31" t="s">
        <v>1302</v>
      </c>
      <c r="D410" s="31" t="s">
        <v>1302</v>
      </c>
      <c r="E410" s="31" t="s">
        <v>1302</v>
      </c>
      <c r="F410" s="31"/>
      <c r="G410" s="31" t="s">
        <v>1302</v>
      </c>
      <c r="H410" s="31"/>
      <c r="I410" s="31" t="s">
        <v>1302</v>
      </c>
      <c r="J410" s="31" t="s">
        <v>1302</v>
      </c>
      <c r="K410" s="31"/>
      <c r="L410" s="31" t="s">
        <v>1302</v>
      </c>
      <c r="M410" s="31" t="s">
        <v>1302</v>
      </c>
      <c r="N410" s="31" t="s">
        <v>1302</v>
      </c>
      <c r="O410" s="31" t="s">
        <v>1302</v>
      </c>
    </row>
    <row r="411" spans="1:15">
      <c r="A411" s="149"/>
      <c r="B411" s="31">
        <f>+'[3]NEW Tables 144-163'!J54</f>
        <v>0</v>
      </c>
      <c r="C411" s="32"/>
      <c r="D411" s="34"/>
      <c r="E411" s="32"/>
      <c r="F411" s="32"/>
      <c r="G411" s="32"/>
      <c r="H411" s="32"/>
      <c r="I411" s="32"/>
      <c r="J411" s="32"/>
      <c r="K411" s="32"/>
      <c r="L411" s="32"/>
      <c r="M411" s="32"/>
      <c r="N411" s="32"/>
      <c r="O411" s="90"/>
    </row>
    <row r="412" spans="1:15">
      <c r="A412" s="149" t="s">
        <v>490</v>
      </c>
      <c r="B412" s="31" t="s">
        <v>1302</v>
      </c>
      <c r="C412" s="31" t="s">
        <v>1302</v>
      </c>
      <c r="D412" s="31" t="s">
        <v>1302</v>
      </c>
      <c r="E412" s="31" t="s">
        <v>1302</v>
      </c>
      <c r="F412" s="31"/>
      <c r="G412" s="31" t="s">
        <v>1302</v>
      </c>
      <c r="H412" s="31"/>
      <c r="I412" s="31" t="s">
        <v>1302</v>
      </c>
      <c r="J412" s="31" t="s">
        <v>1302</v>
      </c>
      <c r="K412" s="31"/>
      <c r="L412" s="31" t="s">
        <v>1302</v>
      </c>
      <c r="M412" s="31" t="s">
        <v>1302</v>
      </c>
      <c r="N412" s="31" t="s">
        <v>1302</v>
      </c>
      <c r="O412" s="31" t="s">
        <v>1302</v>
      </c>
    </row>
    <row r="413" spans="1:15">
      <c r="A413" s="149" t="s">
        <v>491</v>
      </c>
      <c r="B413" s="31" t="s">
        <v>1302</v>
      </c>
      <c r="C413" s="31" t="s">
        <v>1302</v>
      </c>
      <c r="D413" s="31" t="s">
        <v>1302</v>
      </c>
      <c r="E413" s="31" t="s">
        <v>1302</v>
      </c>
      <c r="F413" s="31"/>
      <c r="G413" s="31" t="s">
        <v>1302</v>
      </c>
      <c r="H413" s="31"/>
      <c r="I413" s="31" t="s">
        <v>1302</v>
      </c>
      <c r="J413" s="31" t="s">
        <v>1302</v>
      </c>
      <c r="K413" s="31"/>
      <c r="L413" s="31" t="s">
        <v>1302</v>
      </c>
      <c r="M413" s="31" t="s">
        <v>1302</v>
      </c>
      <c r="N413" s="31" t="s">
        <v>1302</v>
      </c>
      <c r="O413" s="31" t="s">
        <v>1302</v>
      </c>
    </row>
    <row r="414" spans="1:15">
      <c r="A414" s="149" t="s">
        <v>492</v>
      </c>
      <c r="B414" s="31" t="s">
        <v>1302</v>
      </c>
      <c r="C414" s="31" t="s">
        <v>1302</v>
      </c>
      <c r="D414" s="31" t="s">
        <v>1302</v>
      </c>
      <c r="E414" s="31" t="s">
        <v>1302</v>
      </c>
      <c r="F414" s="31"/>
      <c r="G414" s="31" t="s">
        <v>1302</v>
      </c>
      <c r="H414" s="31"/>
      <c r="I414" s="31" t="s">
        <v>1302</v>
      </c>
      <c r="J414" s="31" t="s">
        <v>1302</v>
      </c>
      <c r="K414" s="31"/>
      <c r="L414" s="31" t="s">
        <v>1302</v>
      </c>
      <c r="M414" s="31" t="s">
        <v>1302</v>
      </c>
      <c r="N414" s="31" t="s">
        <v>1302</v>
      </c>
      <c r="O414" s="31" t="s">
        <v>1302</v>
      </c>
    </row>
    <row r="415" spans="1:15">
      <c r="A415" s="630" t="s">
        <v>493</v>
      </c>
      <c r="B415" s="111" t="s">
        <v>1302</v>
      </c>
      <c r="C415" s="111" t="s">
        <v>1302</v>
      </c>
      <c r="D415" s="111" t="s">
        <v>1302</v>
      </c>
      <c r="E415" s="111" t="s">
        <v>1302</v>
      </c>
      <c r="F415" s="111"/>
      <c r="G415" s="111" t="s">
        <v>1302</v>
      </c>
      <c r="H415" s="111"/>
      <c r="I415" s="111" t="s">
        <v>1302</v>
      </c>
      <c r="J415" s="111" t="s">
        <v>1302</v>
      </c>
      <c r="K415" s="111"/>
      <c r="L415" s="111" t="s">
        <v>1302</v>
      </c>
      <c r="M415" s="111" t="s">
        <v>1302</v>
      </c>
      <c r="N415" s="111" t="s">
        <v>1302</v>
      </c>
      <c r="O415" s="111" t="s">
        <v>1302</v>
      </c>
    </row>
    <row r="416" spans="1:15" ht="18" customHeight="1">
      <c r="A416" s="628" t="s">
        <v>14</v>
      </c>
      <c r="B416" s="45"/>
      <c r="C416" s="77"/>
      <c r="D416" s="47"/>
      <c r="E416" s="47"/>
      <c r="F416" s="47"/>
      <c r="G416" s="47"/>
      <c r="H416" s="47"/>
      <c r="I416" s="47"/>
      <c r="J416" s="47"/>
      <c r="K416" s="47"/>
      <c r="L416" s="47"/>
      <c r="M416" s="47"/>
      <c r="N416" s="47"/>
      <c r="O416" s="77"/>
    </row>
    <row r="417" spans="1:21" ht="18" customHeight="1">
      <c r="A417" s="628"/>
      <c r="B417" s="45"/>
      <c r="C417" s="77"/>
      <c r="D417" s="47"/>
      <c r="E417" s="47"/>
      <c r="F417" s="47"/>
      <c r="G417" s="47"/>
      <c r="H417" s="47"/>
      <c r="I417" s="47"/>
      <c r="J417" s="47"/>
      <c r="K417" s="47"/>
      <c r="L417" s="47"/>
      <c r="M417" s="47"/>
      <c r="N417" s="47"/>
      <c r="O417" s="637" t="s">
        <v>1321</v>
      </c>
      <c r="P417" s="172"/>
    </row>
    <row r="418" spans="1:21" ht="18">
      <c r="A418" s="595" t="s">
        <v>1113</v>
      </c>
      <c r="B418" s="48"/>
      <c r="C418" s="48"/>
      <c r="D418" s="48"/>
      <c r="E418" s="48"/>
      <c r="F418" s="48"/>
      <c r="G418" s="48"/>
      <c r="H418" s="48"/>
      <c r="I418" s="48"/>
      <c r="J418" s="48"/>
      <c r="K418" s="48"/>
      <c r="L418" s="48"/>
      <c r="M418" s="48"/>
      <c r="N418" s="48"/>
      <c r="O418" s="48"/>
    </row>
    <row r="419" spans="1:21">
      <c r="A419" s="622"/>
      <c r="B419" s="50"/>
      <c r="C419" s="49"/>
      <c r="D419" s="49"/>
      <c r="E419" s="49"/>
      <c r="F419" s="49"/>
      <c r="G419" s="49"/>
      <c r="H419" s="49"/>
      <c r="I419" s="49"/>
      <c r="J419" s="49"/>
      <c r="K419" s="49"/>
      <c r="L419" s="49"/>
      <c r="M419" s="49"/>
      <c r="N419" s="49"/>
      <c r="O419" s="148"/>
    </row>
    <row r="420" spans="1:21" ht="15.75">
      <c r="A420" s="633" t="s">
        <v>466</v>
      </c>
      <c r="B420" s="48"/>
      <c r="C420" s="48"/>
      <c r="D420" s="48"/>
      <c r="E420" s="48"/>
      <c r="F420" s="48"/>
      <c r="G420" s="48"/>
      <c r="H420" s="48"/>
      <c r="I420" s="48"/>
      <c r="J420" s="48"/>
      <c r="K420" s="48"/>
      <c r="L420" s="48"/>
      <c r="M420" s="48"/>
      <c r="N420" s="48"/>
      <c r="O420" s="147"/>
    </row>
    <row r="421" spans="1:21" ht="15.75">
      <c r="A421" s="633" t="s">
        <v>1064</v>
      </c>
      <c r="B421" s="48"/>
      <c r="C421" s="48"/>
      <c r="D421" s="48"/>
      <c r="E421" s="48"/>
      <c r="F421" s="48"/>
      <c r="G421" s="48"/>
      <c r="H421" s="48"/>
      <c r="I421" s="48"/>
      <c r="J421" s="48"/>
      <c r="K421" s="48"/>
      <c r="L421" s="48"/>
      <c r="M421" s="48"/>
      <c r="N421" s="48"/>
      <c r="O421" s="147"/>
    </row>
    <row r="422" spans="1:21">
      <c r="A422" s="148"/>
      <c r="B422" s="45"/>
      <c r="C422" s="54"/>
      <c r="D422" s="54"/>
      <c r="E422" s="54"/>
      <c r="F422" s="54"/>
      <c r="G422" s="54"/>
      <c r="H422" s="54"/>
      <c r="I422" s="54"/>
      <c r="J422" s="54"/>
      <c r="K422" s="54"/>
      <c r="L422" s="54"/>
      <c r="M422" s="54"/>
      <c r="N422" s="54"/>
      <c r="O422" s="145"/>
    </row>
    <row r="423" spans="1:21">
      <c r="A423" s="634"/>
      <c r="B423" s="2" t="s">
        <v>473</v>
      </c>
      <c r="C423" s="63" t="s">
        <v>593</v>
      </c>
      <c r="D423" s="63"/>
      <c r="E423" s="63"/>
      <c r="F423" s="63"/>
      <c r="G423" s="63"/>
      <c r="H423" s="63"/>
      <c r="I423" s="63"/>
      <c r="J423" s="63"/>
      <c r="K423" s="63"/>
      <c r="L423" s="63"/>
      <c r="M423" s="63"/>
      <c r="N423" s="63"/>
      <c r="O423" s="136"/>
    </row>
    <row r="424" spans="1:21">
      <c r="A424" s="635"/>
      <c r="B424" s="4" t="s">
        <v>474</v>
      </c>
      <c r="C424" s="3" t="s">
        <v>660</v>
      </c>
      <c r="D424" s="3"/>
      <c r="E424" s="57"/>
      <c r="F424" s="57"/>
      <c r="G424" s="3" t="s">
        <v>661</v>
      </c>
      <c r="H424" s="3"/>
      <c r="I424" s="3" t="s">
        <v>662</v>
      </c>
      <c r="J424" s="3" t="s">
        <v>663</v>
      </c>
      <c r="K424" s="3"/>
      <c r="L424" s="3" t="s">
        <v>664</v>
      </c>
      <c r="M424" s="3" t="s">
        <v>665</v>
      </c>
      <c r="N424" s="3"/>
      <c r="O424" s="124" t="s">
        <v>475</v>
      </c>
    </row>
    <row r="425" spans="1:21">
      <c r="A425" s="636"/>
      <c r="B425" s="15" t="s">
        <v>476</v>
      </c>
      <c r="C425" s="16" t="s">
        <v>667</v>
      </c>
      <c r="D425" s="16" t="s">
        <v>708</v>
      </c>
      <c r="E425" s="17" t="s">
        <v>709</v>
      </c>
      <c r="F425" s="17"/>
      <c r="G425" s="16" t="s">
        <v>668</v>
      </c>
      <c r="H425" s="16"/>
      <c r="I425" s="16" t="s">
        <v>667</v>
      </c>
      <c r="J425" s="16" t="s">
        <v>669</v>
      </c>
      <c r="K425" s="16"/>
      <c r="L425" s="16" t="s">
        <v>670</v>
      </c>
      <c r="M425" s="16" t="s">
        <v>671</v>
      </c>
      <c r="N425" s="16" t="s">
        <v>701</v>
      </c>
      <c r="O425" s="146" t="s">
        <v>15</v>
      </c>
      <c r="Q425" s="100"/>
      <c r="R425" s="100"/>
      <c r="S425" s="100"/>
      <c r="T425" s="100"/>
    </row>
    <row r="426" spans="1:21">
      <c r="A426" s="149" t="s">
        <v>600</v>
      </c>
      <c r="B426" s="33">
        <f>+'[2]OLD Tables'!H68</f>
        <v>44650.237449161286</v>
      </c>
      <c r="C426" s="32">
        <f>IF($B426&gt;0,(GETPIVOTDATA(" New Retirement",'$ Pivot Table'!$A$3,"Category2","Technical Institutes"))/$B426)*100</f>
        <v>9.8139225766879257</v>
      </c>
      <c r="D426" s="32">
        <f>IF($B426&gt;0,(GETPIVOTDATA(" New Health",'$ Pivot Table'!$A$3,"Category2","Technical Institutes"))/$B426)*100</f>
        <v>20.859218976838608</v>
      </c>
      <c r="E426" s="32">
        <f>IF($B426&gt;0,(GETPIVOTDATA(" New Disability",'$ Pivot Table'!$A$3,"Category2","Technical Institutes"))/$B426)*100</f>
        <v>0</v>
      </c>
      <c r="F426" s="32"/>
      <c r="G426" s="32">
        <f>IF($B426&gt;0,(GETPIVOTDATA(" New Social Security",'$ Pivot Table'!$A$3,"Category2","Technical Institutes"))/$B426)*100</f>
        <v>3.786707408799967</v>
      </c>
      <c r="H426" s="32"/>
      <c r="I426" s="32">
        <f>IF($B426&gt;0,(GETPIVOTDATA(" New Unemployment",'$ Pivot Table'!$A$3,"Category2","Technical Institutes"))/$B426)*100</f>
        <v>0.30281529103360461</v>
      </c>
      <c r="J426" s="32">
        <f>IF($B426&gt;0,(GETPIVOTDATA(" New Life Insurance",'$ Pivot Table'!$A$3,"Category2","Technical Institutes"))/$B426)*100</f>
        <v>0.49661958060025013</v>
      </c>
      <c r="K426" s="32"/>
      <c r="L426" s="32">
        <f>IF($B426&gt;0,(GETPIVOTDATA(" New Worker's Comp",'$ Pivot Table'!$A$3,"Category2","Technical Institutes"))/$B426)*100</f>
        <v>0.58647462048422361</v>
      </c>
      <c r="M426" s="32">
        <f>IF($B426&gt;0,(GETPIVOTDATA(" New Tuition Plans",'$ Pivot Table'!$A$3,"Category2","Technical Institutes"))/$B426)*100</f>
        <v>1.94537685405232</v>
      </c>
      <c r="N426" s="32">
        <f>IF($B426&gt;0,(GETPIVOTDATA(" New Other",'$ Pivot Table'!$A$3,"Category2","Technical Institutes"))/$B426)*100</f>
        <v>10.081307341929985</v>
      </c>
      <c r="O426" s="90">
        <f>IF($B426&gt;0,(GETPIVOTDATA(" New Total",'$ Pivot Table'!$A$3,"Category2","Technical Institutes"))/$B426)*100</f>
        <v>29.918199183755995</v>
      </c>
      <c r="P426" s="6"/>
      <c r="Q426" s="165"/>
      <c r="R426" s="165"/>
      <c r="S426" s="167"/>
      <c r="T426" s="168"/>
      <c r="U426" s="6"/>
    </row>
    <row r="427" spans="1:21">
      <c r="A427" s="149"/>
      <c r="B427" s="31">
        <f>+'[3]OLD Tables 107-126'!H69</f>
        <v>0</v>
      </c>
      <c r="C427" s="32"/>
      <c r="D427" s="34"/>
      <c r="E427" s="32"/>
      <c r="F427" s="32"/>
      <c r="G427" s="32"/>
      <c r="H427" s="32"/>
      <c r="I427" s="32"/>
      <c r="J427" s="32"/>
      <c r="K427" s="32"/>
      <c r="L427" s="32"/>
      <c r="M427" s="32"/>
      <c r="N427" s="32"/>
      <c r="O427" s="90"/>
      <c r="P427" s="6"/>
      <c r="Q427" s="165"/>
      <c r="R427" s="165"/>
      <c r="S427" s="167"/>
      <c r="T427" s="168"/>
      <c r="U427" s="6"/>
    </row>
    <row r="428" spans="1:21">
      <c r="A428" s="149" t="s">
        <v>479</v>
      </c>
      <c r="B428" s="617">
        <f>+'[2]OLD Tables'!H70</f>
        <v>53687.952004907973</v>
      </c>
      <c r="C428" s="32">
        <f>IF($B428&gt;0,(GETPIVOTDATA(" New Retirement",'$ Pivot Table'!$A$3,"State","AL","Category2","Technical Institutes"))/$B428)*100</f>
        <v>12.458282423563686</v>
      </c>
      <c r="D428" s="32">
        <f>IF($B428&gt;0,(GETPIVOTDATA(" New Health",'$ Pivot Table'!$A$3,"State","AL","Category2","Technical Institutes"))/$B428)*100</f>
        <v>16.130200908951284</v>
      </c>
      <c r="E428" s="32">
        <f>IF($B428&gt;0,(GETPIVOTDATA(" New Disability",'$ Pivot Table'!$A$3,"State","AL","Category2","Technical Institutes"))/$B428)*100</f>
        <v>0</v>
      </c>
      <c r="F428" s="32"/>
      <c r="G428" s="32">
        <f>IF($B428&gt;0,(GETPIVOTDATA(" New Social Security",'$ Pivot Table'!$A$3,"State","AL","Category2","Technical Institutes"))/$B428)*100</f>
        <v>7.4345120771444462</v>
      </c>
      <c r="H428" s="32"/>
      <c r="I428" s="32">
        <f>IF($B428&gt;0,(GETPIVOTDATA(" New Unemployment",'$ Pivot Table'!$A$3,"State","AL","Category2","Technical Institutes"))/$B428)*100</f>
        <v>0</v>
      </c>
      <c r="J428" s="32">
        <f>IF($B428&gt;0,(GETPIVOTDATA(" New Life Insurance",'$ Pivot Table'!$A$3,"State","AL","Category2","Technical Institutes"))/$B428)*100</f>
        <v>13.752502236116273</v>
      </c>
      <c r="K428" s="32"/>
      <c r="L428" s="32">
        <f>IF($B428&gt;0,(GETPIVOTDATA(" New Worker's Comp",'$ Pivot Table'!$A$3,"State","AL","Category2","Technical Institutes"))/$B428)*100</f>
        <v>0</v>
      </c>
      <c r="M428" s="32">
        <f>IF($B428&gt;0,(GETPIVOTDATA(" New Tuition Plans",'$ Pivot Table'!$A$3,"State","AL","Category2","Technical Institutes"))/$B428)*100</f>
        <v>1.6744911408016019</v>
      </c>
      <c r="N428" s="32">
        <f>IF($B428&gt;0,(GETPIVOTDATA(" New Other",'$ Pivot Table'!$A$3,"State","AL","Category2","Technical Institutes"))/$B428)*100</f>
        <v>6.7054150243445685</v>
      </c>
      <c r="O428" s="90">
        <f>IF($B428&gt;0,(GETPIVOTDATA(" New Total",'$ Pivot Table'!$A$3,"State","AL","Category2","Technical Institutes"))/$B428)*100</f>
        <v>35.65915792092003</v>
      </c>
      <c r="P428" s="6"/>
      <c r="Q428" s="165"/>
      <c r="R428" s="165"/>
      <c r="S428" s="167"/>
      <c r="T428" s="168"/>
      <c r="U428" s="6"/>
    </row>
    <row r="429" spans="1:21">
      <c r="A429" s="149" t="s">
        <v>480</v>
      </c>
      <c r="B429" s="617">
        <f>+'[2]OLD Tables'!H71</f>
        <v>0</v>
      </c>
      <c r="C429" s="32">
        <f>IF($B429&gt;0,(GETPIVOTDATA(" New Retirement",'$ Pivot Table'!$A$3,"State","AR","Category2","Technical Institutes"))/$B429)*100</f>
        <v>0</v>
      </c>
      <c r="D429" s="32">
        <f>IF($B429&gt;0,(GETPIVOTDATA(" New Health",'$ Pivot Table'!$A$3,"State","AR","Category2","Technical Institutes"))/$B429)*100</f>
        <v>0</v>
      </c>
      <c r="E429" s="32">
        <f>IF($B429&gt;0,(GETPIVOTDATA(" New Disability",'$ Pivot Table'!$A$3,"State","AR","Category2","Technical Institutes"))/$B429)*100</f>
        <v>0</v>
      </c>
      <c r="F429" s="32"/>
      <c r="G429" s="32">
        <f>IF($B429&gt;0,(GETPIVOTDATA(" New Social Security",'$ Pivot Table'!$A$3,"State","AR","Category2","Technical Institutes"))/$B429)*100</f>
        <v>0</v>
      </c>
      <c r="H429" s="32"/>
      <c r="I429" s="32">
        <f>IF($B429&gt;0,(GETPIVOTDATA(" New Unemployment",'$ Pivot Table'!$A$3,"State","AR","Category2","Technical Institutes"))/$B429)*100</f>
        <v>0</v>
      </c>
      <c r="J429" s="32">
        <f>IF($B429&gt;0,(GETPIVOTDATA(" New Life Insurance",'$ Pivot Table'!$A$3,"State","AR","Category2","Technical Institutes"))/$B429)*100</f>
        <v>0</v>
      </c>
      <c r="K429" s="32"/>
      <c r="L429" s="32">
        <f>IF($B429&gt;0,(GETPIVOTDATA(" New Worker's Comp",'$ Pivot Table'!$A$3,"State","AR","Category2","Technical Institutes"))/$B429)*100</f>
        <v>0</v>
      </c>
      <c r="M429" s="32">
        <f>IF($B429&gt;0,(GETPIVOTDATA(" New Tuition Plans",'$ Pivot Table'!$A$3,"State","AR","Category2","Technical Institutes"))/$B429)*100</f>
        <v>0</v>
      </c>
      <c r="N429" s="32">
        <f>IF($B429&gt;0,(GETPIVOTDATA(" New Other",'$ Pivot Table'!$A$3,"State","AR","Category2","Technical Institutes"))/$B429)*100</f>
        <v>0</v>
      </c>
      <c r="O429" s="90">
        <f>IF($B429&gt;0,(GETPIVOTDATA(" New Total",'$ Pivot Table'!$A$3,"State","AR","Category2","Technical Institutes"))/$B429)*100</f>
        <v>0</v>
      </c>
      <c r="P429" s="6"/>
      <c r="Q429" s="165"/>
      <c r="R429" s="165"/>
      <c r="S429" s="167"/>
      <c r="T429" s="168"/>
      <c r="U429" s="6"/>
    </row>
    <row r="430" spans="1:21">
      <c r="A430" s="149" t="s">
        <v>494</v>
      </c>
      <c r="B430" s="617">
        <f>+'[2]OLD Tables'!H72</f>
        <v>0</v>
      </c>
      <c r="C430" s="32">
        <f>IF($B430&gt;0,(GETPIVOTDATA(" New Retirement",'$ Pivot Table'!$A$3,"State","DE","Category2","Technical Institutes"))/$B430)*100</f>
        <v>0</v>
      </c>
      <c r="D430" s="32">
        <f>IF($B430&gt;0,(GETPIVOTDATA(" New Health",'$ Pivot Table'!$A$3,"State","DE","Category2","Technical Institutes"))/$B430)*100</f>
        <v>0</v>
      </c>
      <c r="E430" s="32">
        <f>IF($B430&gt;0,(GETPIVOTDATA(" New Disability",'$ Pivot Table'!$A$3,"State","DE","Category2","Technical Institutes"))/$B430)*100</f>
        <v>0</v>
      </c>
      <c r="F430" s="32"/>
      <c r="G430" s="32">
        <f>IF($B430&gt;0,(GETPIVOTDATA(" New Social Security",'$ Pivot Table'!$A$3,"State","DE","Category2","Technical Institutes"))/$B430)*100</f>
        <v>0</v>
      </c>
      <c r="H430" s="32"/>
      <c r="I430" s="32">
        <f>IF($B430&gt;0,(GETPIVOTDATA(" New Unemployment",'$ Pivot Table'!$A$3,"State","DE","Category2","Technical Institutes"))/$B430)*100</f>
        <v>0</v>
      </c>
      <c r="J430" s="32">
        <f>IF($B430&gt;0,(GETPIVOTDATA(" New Life Insurance",'$ Pivot Table'!$A$3,"State","DE","Category2","Technical Institutes"))/$B430)*100</f>
        <v>0</v>
      </c>
      <c r="K430" s="32"/>
      <c r="L430" s="32">
        <f>IF($B430&gt;0,(GETPIVOTDATA(" New Worker's Comp",'$ Pivot Table'!$A$3,"State","DE","Category2","Technical Institutes"))/$B430)*100</f>
        <v>0</v>
      </c>
      <c r="M430" s="32">
        <f>IF($B430&gt;0,(GETPIVOTDATA(" New Tuition Plans",'$ Pivot Table'!$A$3,"State","DE","Category2","Technical Institutes"))/$B430)*100</f>
        <v>0</v>
      </c>
      <c r="N430" s="32">
        <f>IF($B430&gt;0,(GETPIVOTDATA(" New Other",'$ Pivot Table'!$A$3,"State","DE","Category2","Technical Institutes"))/$B430)*100</f>
        <v>0</v>
      </c>
      <c r="O430" s="90">
        <f>IF($B430&gt;0,(GETPIVOTDATA(" New Total",'$ Pivot Table'!$A$3,"State","DE","Category2","Technical Institutes"))/$B430)*100</f>
        <v>0</v>
      </c>
      <c r="P430" s="6"/>
      <c r="Q430" s="166"/>
      <c r="R430" s="166"/>
      <c r="S430" s="167"/>
      <c r="T430" s="169"/>
      <c r="U430" s="6"/>
    </row>
    <row r="431" spans="1:21">
      <c r="A431" s="149" t="s">
        <v>481</v>
      </c>
      <c r="B431" s="617">
        <f>+'[2]OLD Tables'!H73</f>
        <v>0</v>
      </c>
      <c r="C431" s="32">
        <f>IF($B431&gt;0,(GETPIVOTDATA(" New Retirement",'$ Pivot Table'!$A$3,"State","FL","Category2","Technical Institutes"))/$B431)*100</f>
        <v>0</v>
      </c>
      <c r="D431" s="32">
        <f>IF($B431&gt;0,(GETPIVOTDATA(" New Health",'$ Pivot Table'!$A$3,"State","FL","Category2","Technical Institutes"))/$B431)*100</f>
        <v>0</v>
      </c>
      <c r="E431" s="32">
        <f>IF($B431&gt;0,(GETPIVOTDATA(" New Disability",'$ Pivot Table'!$A$3,"State","FL","Category2","Technical Institutes"))/$B431)*100</f>
        <v>0</v>
      </c>
      <c r="F431" s="32"/>
      <c r="G431" s="32">
        <f>IF($B431&gt;0,(GETPIVOTDATA(" New Social Security",'$ Pivot Table'!$A$3,"State","FL","Category2","Technical Institutes"))/$B431)*100</f>
        <v>0</v>
      </c>
      <c r="H431" s="32"/>
      <c r="I431" s="32">
        <f>IF($B431&gt;0,(GETPIVOTDATA(" New Unemployment",'$ Pivot Table'!$A$3,"State","FL","Category2","Technical Institutes"))/$B431)*100</f>
        <v>0</v>
      </c>
      <c r="J431" s="32">
        <f>IF($B431&gt;0,(GETPIVOTDATA(" New Life Insurance",'$ Pivot Table'!$A$3,"State","FL","Category2","Technical Institutes"))/$B431)*100</f>
        <v>0</v>
      </c>
      <c r="K431" s="32"/>
      <c r="L431" s="32">
        <f>IF($B431&gt;0,(GETPIVOTDATA(" New Worker's Comp",'$ Pivot Table'!$A$3,"State","FL","Category2","Technical Institutes"))/$B431)*100</f>
        <v>0</v>
      </c>
      <c r="M431" s="32">
        <f>IF($B431&gt;0,(GETPIVOTDATA(" New Tuition Plans",'$ Pivot Table'!$A$3,"State","FL","Category2","Technical Institutes"))/$B431)*100</f>
        <v>0</v>
      </c>
      <c r="N431" s="32">
        <f>IF($B431&gt;0,(GETPIVOTDATA(" New Other",'$ Pivot Table'!$A$3,"State","FL","Category2","Technical Institutes"))/$B431)*100</f>
        <v>0</v>
      </c>
      <c r="O431" s="90">
        <f>IF($B431&gt;0,(GETPIVOTDATA(" New Total",'$ Pivot Table'!$A$3,"State","FL","Category2","Technical Institutes"))/$B431)*100</f>
        <v>0</v>
      </c>
      <c r="P431" s="6"/>
      <c r="Q431" s="165"/>
      <c r="R431" s="165"/>
      <c r="S431" s="167"/>
      <c r="T431" s="168"/>
      <c r="U431" s="6"/>
    </row>
    <row r="432" spans="1:21">
      <c r="A432" s="149" t="s">
        <v>482</v>
      </c>
      <c r="B432" s="617">
        <f>+'[2]OLD Tables'!H74</f>
        <v>0</v>
      </c>
      <c r="C432" s="32">
        <f>IF($B432&gt;0,(GETPIVOTDATA(" New Retirement",'$ Pivot Table'!$A$3,"State","GA","Category2","Technical Institutes"))/$B432)*100</f>
        <v>0</v>
      </c>
      <c r="D432" s="32">
        <f>IF($B432&gt;0,(GETPIVOTDATA(" New Health",'$ Pivot Table'!$A$3,"State","GA","Category2","Technical Institutes"))/$B432)*100</f>
        <v>0</v>
      </c>
      <c r="E432" s="90">
        <f>IF($B432&gt;0,(GETPIVOTDATA(" New Disability",'$ Pivot Table'!$A$3,"State","GA","Category2","Technical Institutes"))/$B432)*100</f>
        <v>0</v>
      </c>
      <c r="F432" s="90"/>
      <c r="G432" s="90">
        <f>IF($B432&gt;0,(GETPIVOTDATA(" New Social Security",'$ Pivot Table'!$A$3,"State","GA","Category2","Technical Institutes"))/$B432)*100</f>
        <v>0</v>
      </c>
      <c r="H432" s="91">
        <v>2</v>
      </c>
      <c r="I432" s="32">
        <f>IF($B432&gt;0,(GETPIVOTDATA(" New Unemployment",'$ Pivot Table'!$A$3,"State","GA","Category2","Technical Institutes"))/$B432)*100</f>
        <v>0</v>
      </c>
      <c r="J432" s="32">
        <f>IF($B432&gt;0,(GETPIVOTDATA(" New Life Insurance",'$ Pivot Table'!$A$3,"State","GA","Category2","Technical Institutes"))/$B432)*100</f>
        <v>0</v>
      </c>
      <c r="K432" s="32"/>
      <c r="L432" s="32">
        <f>IF($B432&gt;0,(GETPIVOTDATA(" New Worker's Comp",'$ Pivot Table'!$A$3,"State","GA","Category2","Technical Institutes"))/$B432)*100</f>
        <v>0</v>
      </c>
      <c r="M432" s="32">
        <f>IF($B432&gt;0,(GETPIVOTDATA(" New Tuition Plans",'$ Pivot Table'!$A$3,"State","GA","Category2","Technical Institutes"))/$B432)*100</f>
        <v>0</v>
      </c>
      <c r="N432" s="32">
        <f>IF($B432&gt;0,(GETPIVOTDATA(" New Other",'$ Pivot Table'!$A$3,"State","GA","Category2","Technical Institutes"))/$B432)*100</f>
        <v>0</v>
      </c>
      <c r="O432" s="90">
        <f>IF($B432&gt;0,(GETPIVOTDATA(" New Total",'$ Pivot Table'!$A$3,"State","GA","Category2","Technical Institutes"))/$B432)*100</f>
        <v>0</v>
      </c>
      <c r="P432" s="6"/>
      <c r="Q432" s="165"/>
      <c r="R432" s="165"/>
      <c r="S432" s="167"/>
      <c r="T432" s="168"/>
      <c r="U432" s="6"/>
    </row>
    <row r="433" spans="1:21">
      <c r="A433" s="149" t="s">
        <v>483</v>
      </c>
      <c r="B433" s="617">
        <f>+'[2]OLD Tables'!H75</f>
        <v>44879.06612536747</v>
      </c>
      <c r="C433" s="32">
        <f>IF($B433&gt;0,(GETPIVOTDATA(" New Retirement",'$ Pivot Table'!$A$3,"State","KY","Category2","Technical Institutes"))/$B433)*100</f>
        <v>12.40657806951792</v>
      </c>
      <c r="D433" s="32">
        <f>IF($B433&gt;0,(GETPIVOTDATA(" New Health",'$ Pivot Table'!$A$3,"State","KY","Category2","Technical Institutes"))/$B433)*100</f>
        <v>16.661513465279118</v>
      </c>
      <c r="E433" s="90">
        <f>IF($B433&gt;0,(GETPIVOTDATA(" New Disability",'$ Pivot Table'!$A$3,"State","KY","Category2","Technical Institutes"))/$B433)*100</f>
        <v>0</v>
      </c>
      <c r="F433" s="90"/>
      <c r="G433" s="90">
        <f>IF($B433&gt;0,(GETPIVOTDATA(" New Social Security",'$ Pivot Table'!$A$3,"State","KY","Category2","Technical Institutes"))/$B433)*100</f>
        <v>5.0841219134756575</v>
      </c>
      <c r="H433" s="90"/>
      <c r="I433" s="32">
        <f>IF($B433&gt;0,(GETPIVOTDATA(" New Unemployment",'$ Pivot Table'!$A$3,"State","KY","Category2","Technical Institutes"))/$B433)*100</f>
        <v>0</v>
      </c>
      <c r="J433" s="56">
        <f>IF($B433&gt;0,(GETPIVOTDATA(" New Life Insurance",'$ Pivot Table'!$A$3,"State","KY","Category2","Technical Institutes"))/$B433)*100</f>
        <v>4.0128565211556604E-2</v>
      </c>
      <c r="K433" s="32"/>
      <c r="L433" s="32">
        <f>IF($B433&gt;0,(GETPIVOTDATA(" New Worker's Comp",'$ Pivot Table'!$A$3,"State","KY","Category2","Technical Institutes"))/$B433)*100</f>
        <v>0</v>
      </c>
      <c r="M433" s="32">
        <f>IF($B433&gt;0,(GETPIVOTDATA(" New Tuition Plans",'$ Pivot Table'!$A$3,"State","KY","Category2","Technical Institutes"))/$B433)*100</f>
        <v>1.9151468027410128</v>
      </c>
      <c r="N433" s="32">
        <f>IF($B433&gt;0,(GETPIVOTDATA(" New Other",'$ Pivot Table'!$A$3,"State","KY","Category2","Technical Institutes"))/$B433)*100</f>
        <v>0</v>
      </c>
      <c r="O433" s="90">
        <f>IF($B433&gt;0,(GETPIVOTDATA(" New Total",'$ Pivot Table'!$A$3,"State","KY","Category2","Technical Institutes"))/$B433)*100</f>
        <v>31.927200104407522</v>
      </c>
      <c r="P433" s="6"/>
      <c r="Q433" s="165"/>
      <c r="R433" s="165"/>
      <c r="S433" s="167"/>
      <c r="T433" s="168"/>
      <c r="U433" s="6"/>
    </row>
    <row r="434" spans="1:21">
      <c r="A434" s="149" t="s">
        <v>484</v>
      </c>
      <c r="B434" s="617">
        <f>+'[2]OLD Tables'!H76</f>
        <v>44346.303811034486</v>
      </c>
      <c r="C434" s="32">
        <f>IF($B434&gt;0,(GETPIVOTDATA(" New Retirement",'$ Pivot Table'!$A$3,"State","LA","Category2","Technical Institutes"))/$B434)*100</f>
        <v>13.569362369247056</v>
      </c>
      <c r="D434" s="32">
        <f>IF($B434&gt;0,(GETPIVOTDATA(" New Health",'$ Pivot Table'!$A$3,"State","LA","Category2","Technical Institutes"))/$B434)*100</f>
        <v>13.300275013741251</v>
      </c>
      <c r="E434" s="90">
        <f>IF($B434&gt;0,(GETPIVOTDATA(" New Disability",'$ Pivot Table'!$A$3,"State","LA","Category2","Technical Institutes"))/$B434)*100</f>
        <v>0</v>
      </c>
      <c r="F434" s="90"/>
      <c r="G434" s="90">
        <f>IF($B434&gt;0,(GETPIVOTDATA(" New Social Security",'$ Pivot Table'!$A$3,"State","LA","Category2","Technical Institutes"))/$B434)*100</f>
        <v>1.1864157334101995</v>
      </c>
      <c r="H434" s="91">
        <v>2</v>
      </c>
      <c r="I434" s="32">
        <f>IF($B434&gt;0,(GETPIVOTDATA(" New Unemployment",'$ Pivot Table'!$A$3,"State","LA","Category2","Technical Institutes"))/$B434)*100</f>
        <v>0</v>
      </c>
      <c r="J434" s="32">
        <f>IF($B434&gt;0,(GETPIVOTDATA(" New Life Insurance",'$ Pivot Table'!$A$3,"State","LA","Category2","Technical Institutes"))/$B434)*100</f>
        <v>0.53110996207868932</v>
      </c>
      <c r="K434" s="32"/>
      <c r="L434" s="32">
        <f>IF($B434&gt;0,(GETPIVOTDATA(" New Worker's Comp",'$ Pivot Table'!$A$3,"State","LA","Category2","Technical Institutes"))/$B434)*100</f>
        <v>0.29151381037495383</v>
      </c>
      <c r="M434" s="32">
        <f>IF($B434&gt;0,(GETPIVOTDATA(" New Tuition Plans",'$ Pivot Table'!$A$3,"State","LA","Category2","Technical Institutes"))/$B434)*100</f>
        <v>0</v>
      </c>
      <c r="N434" s="32">
        <f>IF($B434&gt;0,(GETPIVOTDATA(" New Other",'$ Pivot Table'!$A$3,"State","LA","Category2","Technical Institutes"))/$B434)*100</f>
        <v>0</v>
      </c>
      <c r="O434" s="90">
        <f>IF($B434&gt;0,(GETPIVOTDATA(" New Total",'$ Pivot Table'!$A$3,"State","LA","Category2","Technical Institutes"))/$B434)*100</f>
        <v>22.582162873914857</v>
      </c>
      <c r="P434" s="6"/>
      <c r="Q434" s="165"/>
      <c r="R434" s="165"/>
      <c r="S434" s="167"/>
      <c r="T434" s="168"/>
      <c r="U434" s="6"/>
    </row>
    <row r="435" spans="1:21">
      <c r="A435" s="149" t="s">
        <v>485</v>
      </c>
      <c r="B435" s="617">
        <f>+'[2]OLD Tables'!H77</f>
        <v>40111.521519540227</v>
      </c>
      <c r="C435" s="32">
        <f>IF($B435&gt;0,(GETPIVOTDATA(" New Retirement",'$ Pivot Table'!$A$3,"State","MD","Category2","Technical Institutes"))/$B435)*100</f>
        <v>0</v>
      </c>
      <c r="D435" s="32">
        <f>IF($B435&gt;0,(GETPIVOTDATA(" New Health",'$ Pivot Table'!$A$3,"State","MD","Category2","Technical Institutes"))/$B435)*100</f>
        <v>0</v>
      </c>
      <c r="E435" s="90">
        <f>IF($B435&gt;0,(GETPIVOTDATA(" New Disability",'$ Pivot Table'!$A$3,"State","MD","Category2","Technical Institutes"))/$B435)*100</f>
        <v>0</v>
      </c>
      <c r="F435" s="90"/>
      <c r="G435" s="90">
        <f>IF($B435&gt;0,(GETPIVOTDATA(" New Social Security",'$ Pivot Table'!$A$3,"State","MD","Category2","Technical Institutes"))/$B435)*100</f>
        <v>0</v>
      </c>
      <c r="H435" s="90"/>
      <c r="I435" s="32">
        <f>IF($B435&gt;0,(GETPIVOTDATA(" New Unemployment",'$ Pivot Table'!$A$3,"State","MD","Category2","Technical Institutes"))/$B435)*100</f>
        <v>0</v>
      </c>
      <c r="J435" s="32">
        <f>IF($B435&gt;0,(GETPIVOTDATA(" New Life Insurance",'$ Pivot Table'!$A$3,"State","MD","Category2","Technical Institutes"))/$B435)*100</f>
        <v>0</v>
      </c>
      <c r="K435" s="32"/>
      <c r="L435" s="32">
        <f>IF($B435&gt;0,(GETPIVOTDATA(" New Worker's Comp",'$ Pivot Table'!$A$3,"State","MD","Category2","Technical Institutes"))/$B435)*100</f>
        <v>0</v>
      </c>
      <c r="M435" s="32">
        <f>IF($B435&gt;0,(GETPIVOTDATA(" New Tuition Plans",'$ Pivot Table'!$A$3,"State","MD","Category2","Technical Institutes"))/$B435)*100</f>
        <v>0</v>
      </c>
      <c r="N435" s="32">
        <f>IF($B435&gt;0,(GETPIVOTDATA(" New Other",'$ Pivot Table'!$A$3,"State","MD","Category2","Technical Institutes"))/$B435)*100</f>
        <v>0</v>
      </c>
      <c r="O435" s="90">
        <f>IF($B435&gt;0,(GETPIVOTDATA(" New Total",'$ Pivot Table'!$A$3,"State","MD","Category2","Technical Institutes"))/$B435)*100</f>
        <v>0</v>
      </c>
      <c r="P435" s="6"/>
      <c r="Q435" s="165"/>
      <c r="R435" s="165"/>
      <c r="S435" s="167"/>
      <c r="T435" s="168"/>
      <c r="U435" s="6"/>
    </row>
    <row r="436" spans="1:21">
      <c r="A436" s="149" t="s">
        <v>486</v>
      </c>
      <c r="B436" s="617">
        <f>+'[2]OLD Tables'!H78</f>
        <v>0</v>
      </c>
      <c r="C436" s="32">
        <f>IF($B436&gt;0,(GETPIVOTDATA(" New Retirement",'$ Pivot Table'!$A$3,"State","MS","Category2","Technical Institutes"))/$B436)*100</f>
        <v>0</v>
      </c>
      <c r="D436" s="32">
        <f>IF($B436&gt;0,(GETPIVOTDATA(" New Health",'$ Pivot Table'!$A$3,"State","MS","Category2","Technical Institutes"))/$B436)*100</f>
        <v>0</v>
      </c>
      <c r="E436" s="90">
        <f>IF($B436&gt;0,(GETPIVOTDATA(" New Disability",'$ Pivot Table'!$A$3,"State","MS","Category2","Technical Institutes"))/$B436)*100</f>
        <v>0</v>
      </c>
      <c r="F436" s="90"/>
      <c r="G436" s="90">
        <f>IF($B436&gt;0,(GETPIVOTDATA(" New Social Security",'$ Pivot Table'!$A$3,"State","MS","Category2","Technical Institutes"))/$B436)*100</f>
        <v>0</v>
      </c>
      <c r="H436" s="90"/>
      <c r="I436" s="32">
        <f>IF($B436&gt;0,(GETPIVOTDATA(" New Unemployment",'$ Pivot Table'!$A$3,"State","MS","Category2","Technical Institutes"))/$B436)*100</f>
        <v>0</v>
      </c>
      <c r="J436" s="32">
        <f>IF($B436&gt;0,(GETPIVOTDATA(" New Life Insurance",'$ Pivot Table'!$A$3,"State","MS","Category2","Technical Institutes"))/$B436)*100</f>
        <v>0</v>
      </c>
      <c r="K436" s="32"/>
      <c r="L436" s="32">
        <f>IF($B436&gt;0,(GETPIVOTDATA(" New Worker's Comp",'$ Pivot Table'!$A$3,"State","MS","Category2","Technical Institutes"))/$B436)*100</f>
        <v>0</v>
      </c>
      <c r="M436" s="32">
        <f>IF($B436&gt;0,(GETPIVOTDATA(" New Tuition Plans",'$ Pivot Table'!$A$3,"State","MS","Category2","Technical Institutes"))/$B436)*100</f>
        <v>0</v>
      </c>
      <c r="N436" s="32">
        <f>IF($B436&gt;0,(GETPIVOTDATA(" New Other",'$ Pivot Table'!$A$3,"State","MS","Category2","Technical Institutes"))/$B436)*100</f>
        <v>0</v>
      </c>
      <c r="O436" s="90">
        <f>IF($B436&gt;0,(GETPIVOTDATA(" New Total",'$ Pivot Table'!$A$3,"State","MS","Category2","Technical Institutes"))/$B436)*100</f>
        <v>0</v>
      </c>
      <c r="P436" s="6"/>
      <c r="Q436" s="165"/>
      <c r="R436" s="165"/>
      <c r="S436" s="167"/>
      <c r="T436" s="168"/>
      <c r="U436" s="6"/>
    </row>
    <row r="437" spans="1:21">
      <c r="A437" s="149" t="s">
        <v>487</v>
      </c>
      <c r="B437" s="617">
        <f>+'[2]OLD Tables'!H79</f>
        <v>0</v>
      </c>
      <c r="C437" s="32">
        <f>IF($B437&gt;0,(GETPIVOTDATA(" New Retirement",'$ Pivot Table'!$A$3,"State","NC","Category2","Technical Institutes"))/$B437)*100</f>
        <v>0</v>
      </c>
      <c r="D437" s="32">
        <f>IF($B437&gt;0,(GETPIVOTDATA(" New Health",'$ Pivot Table'!$A$3,"State","NC","Category2","Technical Institutes"))/$B437)*100</f>
        <v>0</v>
      </c>
      <c r="E437" s="90">
        <f>IF($B437&gt;0,(GETPIVOTDATA(" New Disability",'$ Pivot Table'!$A$3,"State","NC","Category2","Technical Institutes"))/$B437)*100</f>
        <v>0</v>
      </c>
      <c r="F437" s="90"/>
      <c r="G437" s="90">
        <f>IF($B437&gt;0,(GETPIVOTDATA(" New Social Security",'$ Pivot Table'!$A$3,"State","NC","Category2","Technical Institutes"))/$B437)*100</f>
        <v>0</v>
      </c>
      <c r="H437" s="90"/>
      <c r="I437" s="32">
        <f>IF($B437&gt;0,(GETPIVOTDATA(" New Unemployment",'$ Pivot Table'!$A$3,"State","NC","Category2","Technical Institutes"))/$B437)*100</f>
        <v>0</v>
      </c>
      <c r="J437" s="32">
        <f>IF($B437&gt;0,(GETPIVOTDATA(" New Life Insurance",'$ Pivot Table'!$A$3,"State","NC","Category2","Technical Institutes"))/$B437)*100</f>
        <v>0</v>
      </c>
      <c r="K437" s="32"/>
      <c r="L437" s="32">
        <f>IF($B437&gt;0,(GETPIVOTDATA(" New Worker's Comp",'$ Pivot Table'!$A$3,"State","NC","Category2","Technical Institutes"))/$B437)*100</f>
        <v>0</v>
      </c>
      <c r="M437" s="32">
        <f>IF($B437&gt;0,(GETPIVOTDATA(" New Tuition Plans",'$ Pivot Table'!$A$3,"State","NC","Category2","Technical Institutes"))/$B437)*100</f>
        <v>0</v>
      </c>
      <c r="N437" s="32">
        <f>IF($B437&gt;0,(GETPIVOTDATA(" New Other",'$ Pivot Table'!$A$3,"State","NC","Category2","Technical Institutes"))/$B437)*100</f>
        <v>0</v>
      </c>
      <c r="O437" s="90">
        <f>IF($B437&gt;0,(GETPIVOTDATA(" New Total",'$ Pivot Table'!$A$3,"State","NC","Category2","Technical Institutes"))/$B437)*100</f>
        <v>0</v>
      </c>
      <c r="P437" s="6"/>
      <c r="Q437" s="165"/>
      <c r="R437" s="165"/>
      <c r="S437" s="167"/>
      <c r="T437" s="168"/>
      <c r="U437" s="6"/>
    </row>
    <row r="438" spans="1:21">
      <c r="A438" s="149" t="s">
        <v>488</v>
      </c>
      <c r="B438" s="617">
        <f>+'[2]OLD Tables'!H80</f>
        <v>0</v>
      </c>
      <c r="C438" s="32">
        <f>IF($B438&gt;0,(GETPIVOTDATA(" New Retirement",'$ Pivot Table'!$A$3,"State","OK","Category2","Technical Institutes"))/$B438)*100</f>
        <v>0</v>
      </c>
      <c r="D438" s="32">
        <f>IF($B438&gt;0,(GETPIVOTDATA(" New Health",'$ Pivot Table'!$A$3,"State","OK","Category2","Technical Institutes"))/$B438)*100</f>
        <v>0</v>
      </c>
      <c r="E438" s="90">
        <f>IF($B438&gt;0,(GETPIVOTDATA(" New Disability",'$ Pivot Table'!$A$3,"State","OK","Category2","Technical Institutes"))/$B438)*100</f>
        <v>0</v>
      </c>
      <c r="F438" s="90"/>
      <c r="G438" s="90">
        <f>IF($B438&gt;0,(GETPIVOTDATA(" New Social Security",'$ Pivot Table'!$A$3,"State","OK","Category2","Technical Institutes"))/$B438)*100</f>
        <v>0</v>
      </c>
      <c r="H438" s="90"/>
      <c r="I438" s="32">
        <f>IF($B438&gt;0,(GETPIVOTDATA(" New Unemployment",'$ Pivot Table'!$A$3,"State","OK","Category2","Technical Institutes"))/$B438)*100</f>
        <v>0</v>
      </c>
      <c r="J438" s="32">
        <f>IF($B438&gt;0,(GETPIVOTDATA(" New Life Insurance",'$ Pivot Table'!$A$3,"State","OK","Category2","Technical Institutes"))/$B438)*100</f>
        <v>0</v>
      </c>
      <c r="K438" s="32"/>
      <c r="L438" s="32">
        <f>IF($B438&gt;0,(GETPIVOTDATA(" New Worker's Comp",'$ Pivot Table'!$A$3,"State","OK","Category2","Technical Institutes"))/$B438)*100</f>
        <v>0</v>
      </c>
      <c r="M438" s="32">
        <f>IF($B438&gt;0,(GETPIVOTDATA(" New Tuition Plans",'$ Pivot Table'!$A$3,"State","OK","Category2","Technical Institutes"))/$B438)*100</f>
        <v>0</v>
      </c>
      <c r="N438" s="32">
        <f>IF($B438&gt;0,(GETPIVOTDATA(" New Other",'$ Pivot Table'!$A$3,"State","OK","Category2","Technical Institutes"))/$B438)*100</f>
        <v>0</v>
      </c>
      <c r="O438" s="90">
        <f>IF($B438&gt;0,(GETPIVOTDATA(" New Total",'$ Pivot Table'!$A$3,"State","OK","Category2","Technical Institutes"))/$B438)*100</f>
        <v>0</v>
      </c>
      <c r="P438" s="6"/>
      <c r="Q438" s="165"/>
      <c r="R438" s="165"/>
      <c r="S438" s="167"/>
      <c r="T438" s="168"/>
      <c r="U438" s="6"/>
    </row>
    <row r="439" spans="1:21">
      <c r="A439" s="149" t="s">
        <v>489</v>
      </c>
      <c r="B439" s="617">
        <f>+'[2]OLD Tables'!H81</f>
        <v>0</v>
      </c>
      <c r="C439" s="32">
        <f>IF($B439&gt;0,(GETPIVOTDATA(" New Retirement",'$ Pivot Table'!$A$3,"State","SC","Category2","Technical Institutes"))/$B439)*100</f>
        <v>0</v>
      </c>
      <c r="D439" s="32">
        <f>IF($B439&gt;0,(GETPIVOTDATA(" New Health",'$ Pivot Table'!$A$3,"State","SC","Category2","Technical Institutes"))/$B439)*100</f>
        <v>0</v>
      </c>
      <c r="E439" s="32">
        <f>IF($B439&gt;0,(GETPIVOTDATA(" New Disability",'$ Pivot Table'!$A$3,"State","SC","Category2","Technical Institutes"))/$B439)*100</f>
        <v>0</v>
      </c>
      <c r="F439" s="32"/>
      <c r="G439" s="32">
        <f>IF($B439&gt;0,(GETPIVOTDATA(" New Social Security",'$ Pivot Table'!$A$3,"State","SC","Category2","Technical Institutes"))/$B439)*100</f>
        <v>0</v>
      </c>
      <c r="H439" s="32"/>
      <c r="I439" s="32">
        <f>IF($B439&gt;0,(GETPIVOTDATA(" New Unemployment",'$ Pivot Table'!$A$3,"State","SC","Category2","Technical Institutes"))/$B439)*100</f>
        <v>0</v>
      </c>
      <c r="J439" s="32">
        <f>IF($B439&gt;0,(GETPIVOTDATA(" New Life Insurance",'$ Pivot Table'!$A$3,"State","SC","Category2","Technical Institutes"))/$B439)*100</f>
        <v>0</v>
      </c>
      <c r="K439" s="32"/>
      <c r="L439" s="32">
        <f>IF($B439&gt;0,(GETPIVOTDATA(" New Worker's Comp",'$ Pivot Table'!$A$3,"State","SC","Category2","Technical Institutes"))/$B439)*100</f>
        <v>0</v>
      </c>
      <c r="M439" s="32">
        <f>IF($B439&gt;0,(GETPIVOTDATA(" New Tuition Plans",'$ Pivot Table'!$A$3,"State","SC","Category2","Technical Institutes"))/$B439)*100</f>
        <v>0</v>
      </c>
      <c r="N439" s="32">
        <f>IF($B439&gt;0,(GETPIVOTDATA(" New Other",'$ Pivot Table'!$A$3,"State","SC","Category2","Technical Institutes"))/$B439)*100</f>
        <v>0</v>
      </c>
      <c r="O439" s="90">
        <f>IF($B439&gt;0,(GETPIVOTDATA(" New Total",'$ Pivot Table'!$A$3,"State","SC","Category2","Technical Institutes"))/$B439)*100</f>
        <v>0</v>
      </c>
      <c r="P439" s="6"/>
      <c r="Q439" s="165"/>
      <c r="R439" s="165"/>
      <c r="S439" s="167"/>
      <c r="T439" s="168"/>
      <c r="U439" s="6"/>
    </row>
    <row r="440" spans="1:21">
      <c r="A440" s="149" t="s">
        <v>490</v>
      </c>
      <c r="B440" s="617">
        <f>+'[2]OLD Tables'!H82</f>
        <v>48726.991984505796</v>
      </c>
      <c r="C440" s="28">
        <f>IF($B440&gt;0,(GETPIVOTDATA(" New Retirement",'$ Pivot Table'!$A$3,"State","TN","Category2","Technical Institutes"))/$B440)*100</f>
        <v>7.5738755342676738</v>
      </c>
      <c r="D440" s="28">
        <f>IF($B440&gt;0,(GETPIVOTDATA(" New Health",'$ Pivot Table'!$A$3,"State","TN","Category2","Technical Institutes"))/$B440)*100</f>
        <v>15.083232636775421</v>
      </c>
      <c r="E440" s="28">
        <f>IF($B440&gt;0,(GETPIVOTDATA(" New Disability",'$ Pivot Table'!$A$3,"State","TN","Category2","Technical Institutes"))/$B440)*100</f>
        <v>0</v>
      </c>
      <c r="F440" s="28"/>
      <c r="G440" s="28">
        <f>IF($B440&gt;0,(GETPIVOTDATA(" New Social Security",'$ Pivot Table'!$A$3,"State","TN","Category2","Technical Institutes"))/$B440)*100</f>
        <v>5.7940147837147693</v>
      </c>
      <c r="H440" s="28"/>
      <c r="I440" s="28">
        <f>IF($B440&gt;0,(GETPIVOTDATA(" New Unemployment",'$ Pivot Table'!$A$3,"State","TN","Category2","Technical Institutes"))/$B440)*100</f>
        <v>0</v>
      </c>
      <c r="J440" s="28">
        <f>IF($B440&gt;0,(GETPIVOTDATA(" New Life Insurance",'$ Pivot Table'!$A$3,"State","TN","Category2","Technical Institutes"))/$B440)*100</f>
        <v>0</v>
      </c>
      <c r="K440" s="28"/>
      <c r="L440" s="28">
        <f>IF($B440&gt;0,(GETPIVOTDATA(" New Worker's Comp",'$ Pivot Table'!$A$3,"State","TN","Category2","Technical Institutes"))/$B440)*100</f>
        <v>0</v>
      </c>
      <c r="M440" s="28">
        <f>IF($B440&gt;0,(GETPIVOTDATA(" New Tuition Plans",'$ Pivot Table'!$A$3,"State","TN","Category2","Technical Institutes"))/$B440)*100</f>
        <v>0</v>
      </c>
      <c r="N440" s="28">
        <f>IF($B440&gt;0,(GETPIVOTDATA(" New Other",'$ Pivot Table'!$A$3,"State","TN","Category2","Technical Institutes"))/$B440)*100</f>
        <v>0</v>
      </c>
      <c r="O440" s="86">
        <f>IF($B440&gt;0,(GETPIVOTDATA(" New Total",'$ Pivot Table'!$A$3,"State","TN","Category2","Technical Institutes"))/$B440)*100</f>
        <v>25.708362833348541</v>
      </c>
      <c r="P440" s="6"/>
      <c r="Q440" s="165"/>
      <c r="R440" s="165"/>
      <c r="S440" s="167"/>
      <c r="T440" s="168"/>
      <c r="U440" s="6"/>
    </row>
    <row r="441" spans="1:21">
      <c r="A441" s="149" t="s">
        <v>491</v>
      </c>
      <c r="B441" s="617">
        <f>+'[2]OLD Tables'!H83</f>
        <v>0</v>
      </c>
      <c r="C441" s="28">
        <f>IF($B441&gt;0,(GETPIVOTDATA(" New Retirement",'$ Pivot Table'!$A$3,"State","TX","Category2","Technical Institutes"))/$B441)*100</f>
        <v>0</v>
      </c>
      <c r="D441" s="28">
        <f>IF($B441&gt;0,(GETPIVOTDATA(" New Health",'$ Pivot Table'!$A$3,"State","TX","Category2","Technical Institutes"))/$B441)*100</f>
        <v>0</v>
      </c>
      <c r="E441" s="28">
        <f>IF($B441&gt;0,(GETPIVOTDATA(" New Disability",'$ Pivot Table'!$A$3,"State","TX","Category2","Technical Institutes"))/$B441)*100</f>
        <v>0</v>
      </c>
      <c r="F441" s="28"/>
      <c r="G441" s="28">
        <f>IF($B441&gt;0,(GETPIVOTDATA(" New Social Security",'$ Pivot Table'!$A$3,"State","TX","Category2","Technical Institutes"))/$B441)*100</f>
        <v>0</v>
      </c>
      <c r="H441" s="28"/>
      <c r="I441" s="28">
        <f>IF($B441&gt;0,(GETPIVOTDATA(" New Unemployment",'$ Pivot Table'!$A$3,"State","TX","Category2","Technical Institutes"))/$B441)*100</f>
        <v>0</v>
      </c>
      <c r="J441" s="28">
        <f>IF($B441&gt;0,(GETPIVOTDATA(" New Life Insurance",'$ Pivot Table'!$A$3,"State","TX","Category2","Technical Institutes"))/$B441)*100</f>
        <v>0</v>
      </c>
      <c r="K441" s="28"/>
      <c r="L441" s="28">
        <f>IF($B441&gt;0,(GETPIVOTDATA(" New Worker's Comp",'$ Pivot Table'!$A$3,"State","TX","Category2","Technical Institutes"))/$B441)*100</f>
        <v>0</v>
      </c>
      <c r="M441" s="28">
        <f>IF($B441&gt;0,(GETPIVOTDATA(" New Tuition Plans",'$ Pivot Table'!$A$3,"State","TX","Category2","Technical Institutes"))/$B441)*100</f>
        <v>0</v>
      </c>
      <c r="N441" s="28">
        <f>IF($B441&gt;0,(GETPIVOTDATA(" New Other",'$ Pivot Table'!$A$3,"State","TX","Category2","Technical Institutes"))/$B441)*100</f>
        <v>0</v>
      </c>
      <c r="O441" s="86">
        <f>IF($B441&gt;0,(GETPIVOTDATA(" New Total",'$ Pivot Table'!$A$3,"State","TX","Category2","Technical Institutes"))/$B441)*100</f>
        <v>0</v>
      </c>
      <c r="P441" s="6"/>
      <c r="Q441" s="165"/>
      <c r="R441" s="165"/>
      <c r="S441" s="167"/>
      <c r="T441" s="168"/>
      <c r="U441" s="6"/>
    </row>
    <row r="442" spans="1:21">
      <c r="A442" s="149" t="s">
        <v>492</v>
      </c>
      <c r="B442" s="617">
        <f>+'[2]OLD Tables'!H84</f>
        <v>0</v>
      </c>
      <c r="C442" s="28">
        <f>IF($B442&gt;0,(GETPIVOTDATA(" New Retirement",'$ Pivot Table'!$A$3,"State","VA","Category2","Technical Institutes"))/$B442)*100</f>
        <v>0</v>
      </c>
      <c r="D442" s="28">
        <f>IF($B442&gt;0,(GETPIVOTDATA(" New Health",'$ Pivot Table'!$A$3,"State","VA","Category2","Technical Institutes"))/$B442)*100</f>
        <v>0</v>
      </c>
      <c r="E442" s="28">
        <f>IF($B442&gt;0,(GETPIVOTDATA(" New Disability",'$ Pivot Table'!$A$3,"State","VA","Category2","Technical Institutes"))/$B442)*100</f>
        <v>0</v>
      </c>
      <c r="F442" s="28"/>
      <c r="G442" s="28">
        <f>IF($B442&gt;0,(GETPIVOTDATA(" New Social Security",'$ Pivot Table'!$A$3,"State","VA","Category2","Technical Institutes"))/$B442)*100</f>
        <v>0</v>
      </c>
      <c r="H442" s="28"/>
      <c r="I442" s="28">
        <f>IF($B442&gt;0,(GETPIVOTDATA(" New Unemployment",'$ Pivot Table'!$A$3,"State","VA","Category2","Technical Institutes"))/$B442)*100</f>
        <v>0</v>
      </c>
      <c r="J442" s="28">
        <f>IF($B442&gt;0,(GETPIVOTDATA(" New Life Insurance",'$ Pivot Table'!$A$3,"State","VA","Category2","Technical Institutes"))/$B442)*100</f>
        <v>0</v>
      </c>
      <c r="K442" s="28"/>
      <c r="L442" s="28">
        <f>IF($B442&gt;0,(GETPIVOTDATA(" New Worker's Comp",'$ Pivot Table'!$A$3,"State","VA","Category2","Technical Institutes"))/$B442)*100</f>
        <v>0</v>
      </c>
      <c r="M442" s="28">
        <f>IF($B442&gt;0,(GETPIVOTDATA(" New Tuition Plans",'$ Pivot Table'!$A$3,"State","VA","Category2","Technical Institutes"))/$B442)*100</f>
        <v>0</v>
      </c>
      <c r="N442" s="28">
        <f>IF($B442&gt;0,(GETPIVOTDATA(" New Other",'$ Pivot Table'!$A$3,"State","VA","Category2","Technical Institutes"))/$B442)*100</f>
        <v>0</v>
      </c>
      <c r="O442" s="86">
        <f>IF($B442&gt;0,(GETPIVOTDATA(" New Total",'$ Pivot Table'!$A$3,"State","VA","Category2","Technical Institutes"))/$B442)*100</f>
        <v>0</v>
      </c>
      <c r="P442" s="6"/>
      <c r="Q442" s="165"/>
      <c r="R442" s="165"/>
      <c r="S442" s="167"/>
      <c r="T442" s="168"/>
      <c r="U442" s="6"/>
    </row>
    <row r="443" spans="1:21">
      <c r="A443" s="630" t="s">
        <v>493</v>
      </c>
      <c r="B443" s="618">
        <f>+'[2]OLD Tables'!H85</f>
        <v>37213.522648303377</v>
      </c>
      <c r="C443" s="30">
        <f>IF($B443&gt;0,(GETPIVOTDATA(" New Retirement",'$ Pivot Table'!$A$3,"State","WV","Category2","Technical Institutes"))/$B443)*100</f>
        <v>0</v>
      </c>
      <c r="D443" s="30">
        <f>IF($B443&gt;0,(GETPIVOTDATA(" New Health",'$ Pivot Table'!$A$3,"State","WV","Category2","Technical Institutes"))/$B443)*100</f>
        <v>0</v>
      </c>
      <c r="E443" s="30">
        <f>IF($B443&gt;0,(GETPIVOTDATA(" New Disability",'$ Pivot Table'!$A$3,"State","WV","Category2","Technical Institutes"))/$B443)*100</f>
        <v>0</v>
      </c>
      <c r="F443" s="30"/>
      <c r="G443" s="30">
        <f>IF($B443&gt;0,(GETPIVOTDATA(" New Social Security",'$ Pivot Table'!$A$3,"State","WV","Category2","Technical Institutes"))/$B443)*100</f>
        <v>0</v>
      </c>
      <c r="H443" s="30"/>
      <c r="I443" s="30">
        <f>IF($B443&gt;0,(GETPIVOTDATA(" New Unemployment",'$ Pivot Table'!$A$3,"State","WV","Category2","Technical Institutes"))/$B443)*100</f>
        <v>0</v>
      </c>
      <c r="J443" s="30">
        <f>IF($B443&gt;0,(GETPIVOTDATA(" New Life Insurance",'$ Pivot Table'!$A$3,"State","WV","Category2","Technical Institutes"))/$B443)*100</f>
        <v>0</v>
      </c>
      <c r="K443" s="30"/>
      <c r="L443" s="30">
        <f>IF($B443&gt;0,(GETPIVOTDATA(" New Worker's Comp",'$ Pivot Table'!$A$3,"State","WV","Category2","Technical Institutes"))/$B443)*100</f>
        <v>0</v>
      </c>
      <c r="M443" s="30">
        <f>IF($B443&gt;0,(GETPIVOTDATA(" New Tuition Plans",'$ Pivot Table'!$A$3,"State","WV","Category2","Technical Institutes"))/$B443)*100</f>
        <v>0</v>
      </c>
      <c r="N443" s="30">
        <f>IF($B443&gt;0,(GETPIVOTDATA(" New Other",'$ Pivot Table'!$A$3,"State","WV","Category2","Technical Institutes"))/$B443)*100</f>
        <v>0</v>
      </c>
      <c r="O443" s="115">
        <f>IF($B443&gt;0,(GETPIVOTDATA(" New Total",'$ Pivot Table'!$A$3,"State","WV","Category2","Technical Institutes"))/$B443)*100</f>
        <v>0</v>
      </c>
      <c r="P443" s="25"/>
      <c r="Q443" s="165"/>
      <c r="R443" s="165"/>
      <c r="S443" s="167"/>
      <c r="T443" s="168"/>
      <c r="U443" s="25"/>
    </row>
    <row r="444" spans="1:21" ht="18" customHeight="1">
      <c r="A444" s="628" t="s">
        <v>14</v>
      </c>
      <c r="B444" s="617"/>
      <c r="C444" s="47"/>
      <c r="D444" s="47"/>
      <c r="E444" s="47"/>
      <c r="F444" s="47"/>
      <c r="G444" s="47"/>
      <c r="H444" s="47"/>
      <c r="I444" s="47"/>
      <c r="J444" s="47"/>
      <c r="K444" s="47"/>
      <c r="L444" s="47"/>
      <c r="M444" s="47"/>
      <c r="N444" s="47"/>
      <c r="O444" s="77"/>
    </row>
    <row r="445" spans="1:21" ht="18" customHeight="1">
      <c r="A445" s="628" t="s">
        <v>678</v>
      </c>
      <c r="B445" s="617"/>
      <c r="C445" s="54"/>
      <c r="D445" s="54"/>
      <c r="E445" s="54"/>
      <c r="F445" s="54"/>
      <c r="G445" s="54"/>
      <c r="H445" s="54"/>
      <c r="I445" s="54"/>
      <c r="J445" s="54"/>
      <c r="K445" s="54"/>
      <c r="L445" s="54"/>
      <c r="M445" s="54"/>
      <c r="N445" s="54"/>
      <c r="O445" s="145"/>
    </row>
    <row r="446" spans="1:21" ht="18" customHeight="1">
      <c r="A446" s="628"/>
      <c r="B446" s="618"/>
      <c r="C446" s="47"/>
      <c r="D446" s="47"/>
      <c r="E446" s="47"/>
      <c r="F446" s="47"/>
      <c r="G446" s="47"/>
      <c r="H446" s="47"/>
      <c r="I446" s="47"/>
      <c r="J446" s="47"/>
      <c r="K446" s="47"/>
      <c r="L446" s="47"/>
      <c r="M446" s="47"/>
      <c r="N446" s="47"/>
      <c r="O446" s="637" t="s">
        <v>1321</v>
      </c>
      <c r="P446" s="172"/>
    </row>
    <row r="447" spans="1:21" ht="18">
      <c r="A447" s="595" t="s">
        <v>1114</v>
      </c>
      <c r="B447" s="48"/>
      <c r="C447" s="48"/>
      <c r="D447" s="48"/>
      <c r="E447" s="48"/>
      <c r="F447" s="48"/>
      <c r="G447" s="48"/>
      <c r="H447" s="48"/>
      <c r="I447" s="48"/>
      <c r="J447" s="48"/>
      <c r="K447" s="48"/>
      <c r="L447" s="48"/>
      <c r="M447" s="48"/>
      <c r="N447" s="48"/>
      <c r="O447" s="48"/>
    </row>
    <row r="448" spans="1:21">
      <c r="A448" s="622"/>
      <c r="B448" s="50"/>
      <c r="C448" s="49"/>
      <c r="D448" s="49"/>
      <c r="E448" s="49"/>
      <c r="F448" s="49"/>
      <c r="G448" s="49"/>
      <c r="H448" s="49"/>
      <c r="I448" s="49"/>
      <c r="J448" s="49"/>
      <c r="K448" s="49"/>
      <c r="L448" s="49"/>
      <c r="M448" s="49"/>
      <c r="N448" s="49"/>
      <c r="O448" s="148"/>
    </row>
    <row r="449" spans="1:15" ht="15.75">
      <c r="A449" s="633" t="s">
        <v>466</v>
      </c>
      <c r="B449" s="48"/>
      <c r="C449" s="48"/>
      <c r="D449" s="48"/>
      <c r="E449" s="48"/>
      <c r="F449" s="48"/>
      <c r="G449" s="48"/>
      <c r="H449" s="48"/>
      <c r="I449" s="48"/>
      <c r="J449" s="48"/>
      <c r="K449" s="48"/>
      <c r="L449" s="48"/>
      <c r="M449" s="48"/>
      <c r="N449" s="48"/>
      <c r="O449" s="147"/>
    </row>
    <row r="450" spans="1:15" ht="15.75">
      <c r="A450" s="633" t="s">
        <v>1065</v>
      </c>
      <c r="B450" s="48"/>
      <c r="C450" s="48"/>
      <c r="D450" s="48"/>
      <c r="E450" s="48"/>
      <c r="F450" s="48"/>
      <c r="G450" s="48"/>
      <c r="H450" s="48"/>
      <c r="I450" s="48"/>
      <c r="J450" s="48"/>
      <c r="K450" s="48"/>
      <c r="L450" s="48"/>
      <c r="M450" s="48"/>
      <c r="N450" s="48"/>
      <c r="O450" s="147"/>
    </row>
    <row r="451" spans="1:15">
      <c r="A451" s="148"/>
      <c r="B451" s="45"/>
      <c r="C451" s="54"/>
      <c r="D451" s="54"/>
      <c r="E451" s="54"/>
      <c r="F451" s="54"/>
      <c r="G451" s="54"/>
      <c r="H451" s="54"/>
      <c r="I451" s="54"/>
      <c r="J451" s="54"/>
      <c r="K451" s="54"/>
      <c r="L451" s="54"/>
      <c r="M451" s="54"/>
      <c r="N451" s="54"/>
      <c r="O451" s="145"/>
    </row>
    <row r="452" spans="1:15">
      <c r="A452" s="634"/>
      <c r="B452" s="2" t="s">
        <v>473</v>
      </c>
      <c r="C452" s="63" t="s">
        <v>593</v>
      </c>
      <c r="D452" s="63"/>
      <c r="E452" s="63"/>
      <c r="F452" s="63"/>
      <c r="G452" s="63"/>
      <c r="H452" s="63"/>
      <c r="I452" s="63"/>
      <c r="J452" s="63"/>
      <c r="K452" s="63"/>
      <c r="L452" s="63"/>
      <c r="M452" s="63"/>
      <c r="N452" s="63"/>
      <c r="O452" s="136"/>
    </row>
    <row r="453" spans="1:15">
      <c r="A453" s="635"/>
      <c r="B453" s="4" t="s">
        <v>474</v>
      </c>
      <c r="C453" s="3" t="s">
        <v>660</v>
      </c>
      <c r="D453" s="3"/>
      <c r="E453" s="57"/>
      <c r="F453" s="57"/>
      <c r="G453" s="3" t="s">
        <v>661</v>
      </c>
      <c r="H453" s="3"/>
      <c r="I453" s="3" t="s">
        <v>662</v>
      </c>
      <c r="J453" s="3" t="s">
        <v>663</v>
      </c>
      <c r="K453" s="3"/>
      <c r="L453" s="3" t="s">
        <v>664</v>
      </c>
      <c r="M453" s="3" t="s">
        <v>665</v>
      </c>
      <c r="N453" s="3"/>
      <c r="O453" s="124" t="s">
        <v>475</v>
      </c>
    </row>
    <row r="454" spans="1:15">
      <c r="A454" s="636"/>
      <c r="B454" s="15" t="s">
        <v>476</v>
      </c>
      <c r="C454" s="16" t="s">
        <v>667</v>
      </c>
      <c r="D454" s="16" t="s">
        <v>708</v>
      </c>
      <c r="E454" s="17" t="s">
        <v>709</v>
      </c>
      <c r="F454" s="17"/>
      <c r="G454" s="16" t="s">
        <v>668</v>
      </c>
      <c r="H454" s="16"/>
      <c r="I454" s="16" t="s">
        <v>667</v>
      </c>
      <c r="J454" s="16" t="s">
        <v>669</v>
      </c>
      <c r="K454" s="16"/>
      <c r="L454" s="16" t="s">
        <v>670</v>
      </c>
      <c r="M454" s="16" t="s">
        <v>671</v>
      </c>
      <c r="N454" s="16" t="s">
        <v>701</v>
      </c>
      <c r="O454" s="146" t="s">
        <v>15</v>
      </c>
    </row>
    <row r="455" spans="1:15">
      <c r="A455" s="149" t="s">
        <v>600</v>
      </c>
      <c r="B455" s="33">
        <f>+'[2]OLD Tables'!B68</f>
        <v>45758.964140479758</v>
      </c>
      <c r="C455" s="32">
        <f>IF($B455&gt;0,(GETPIVOTDATA(" New Retirement",'$ Pivot Table'!$A$3,"Category",12,"Category2","Technical Institutes"))/$B455)*100</f>
        <v>9.6085060115524605</v>
      </c>
      <c r="D455" s="32">
        <f>IF($B455&gt;0,(GETPIVOTDATA(" New Health",'$ Pivot Table'!$A$3,"Category",12,"Category2","Technical Institutes"))/$B455)*100</f>
        <v>24.790666436684596</v>
      </c>
      <c r="E455" s="32">
        <f>IF($B455&gt;0,(GETPIVOTDATA(" New Disability",'$ Pivot Table'!$A$3,"Category",12,"Category2","Technical Institutes"))/$B455)*100</f>
        <v>0</v>
      </c>
      <c r="F455" s="32"/>
      <c r="G455" s="32">
        <f>IF($B455&gt;0,(GETPIVOTDATA(" New Social Security",'$ Pivot Table'!$A$3,"Category",12,"Category2","Technical Institutes"))/$B455)*100</f>
        <v>3.1814969502266353</v>
      </c>
      <c r="H455" s="32"/>
      <c r="I455" s="32">
        <f>IF($B455&gt;0,(GETPIVOTDATA(" New Unemployment",'$ Pivot Table'!$A$3,"Category",12,"Category2","Technical Institutes"))/$B455)*100</f>
        <v>0.29624106677107742</v>
      </c>
      <c r="J455" s="32">
        <f>IF($B455&gt;0,(GETPIVOTDATA(" New Life Insurance",'$ Pivot Table'!$A$3,"Category",12,"Category2","Technical Institutes"))/$B455)*100</f>
        <v>0.11690954522214653</v>
      </c>
      <c r="K455" s="32"/>
      <c r="L455" s="32">
        <f>IF($B455&gt;0,(GETPIVOTDATA(" New Worker's Comp",'$ Pivot Table'!$A$3,"Category",12,"Category2","Technical Institutes"))/$B455)*100</f>
        <v>0.5804900947115057</v>
      </c>
      <c r="M455" s="32">
        <f>IF($B455&gt;0,(GETPIVOTDATA(" New Tuition Plans",'$ Pivot Table'!$A$3,"Category",12,"Category2","Technical Institutes"))/$B455)*100</f>
        <v>1.9690131036050884</v>
      </c>
      <c r="N455" s="32">
        <f>IF($B455&gt;0,(GETPIVOTDATA(" New Other",'$ Pivot Table'!$A$3,"Category",12,"Category2","Technical Institutes"))/$B455)*100</f>
        <v>15.001853490872152</v>
      </c>
      <c r="O455" s="90">
        <f>IF($B455&gt;0,(GETPIVOTDATA(" New Total",'$ Pivot Table'!$A$3,"Category",12,"Category2","Technical Institutes"))/$B455)*100</f>
        <v>32.141364546585244</v>
      </c>
    </row>
    <row r="456" spans="1:15">
      <c r="A456" s="149"/>
      <c r="B456" s="31">
        <f>+'[3]OLD Tables 107-126'!B69</f>
        <v>0</v>
      </c>
      <c r="C456" s="32"/>
      <c r="D456" s="34"/>
      <c r="E456" s="32"/>
      <c r="F456" s="32"/>
      <c r="G456" s="32"/>
      <c r="H456" s="32"/>
      <c r="I456" s="32"/>
      <c r="J456" s="32"/>
      <c r="K456" s="32"/>
      <c r="L456" s="32"/>
      <c r="M456" s="32"/>
      <c r="N456" s="32"/>
      <c r="O456" s="90"/>
    </row>
    <row r="457" spans="1:15">
      <c r="A457" s="149" t="s">
        <v>479</v>
      </c>
      <c r="B457" s="617">
        <f>+'[2]OLD Tables'!B70</f>
        <v>54025.01278918919</v>
      </c>
      <c r="C457" s="32">
        <f>IF($B457&gt;0,(GETPIVOTDATA(" New Retirement",'$ Pivot Table'!$A$3,"State","AL","Category",12,"Category2","Technical Institutes"))/$B457)*100</f>
        <v>12.621135193874542</v>
      </c>
      <c r="D457" s="32">
        <f>IF($B457&gt;0,(GETPIVOTDATA(" New Health",'$ Pivot Table'!$A$3,"State","AL","Category",12,"Category2","Technical Institutes"))/$B457)*100</f>
        <v>15.311426268936099</v>
      </c>
      <c r="E457" s="32">
        <f>IF($B457&gt;0,(GETPIVOTDATA(" New Disability",'$ Pivot Table'!$A$3,"State","AL","Category",12,"Category2","Technical Institutes"))/$B457)*100</f>
        <v>0</v>
      </c>
      <c r="F457" s="32"/>
      <c r="G457" s="32">
        <f>IF($B457&gt;0,(GETPIVOTDATA(" New Social Security",'$ Pivot Table'!$A$3,"State","AL","Category",12,"Category2","Technical Institutes"))/$B457)*100</f>
        <v>7.7179482642833879</v>
      </c>
      <c r="H457" s="32"/>
      <c r="I457" s="32">
        <f>IF($B457&gt;0,(GETPIVOTDATA(" New Unemployment",'$ Pivot Table'!$A$3,"State","AL","Category",12,"Category2","Technical Institutes"))/$B457)*100</f>
        <v>0</v>
      </c>
      <c r="J457" s="32">
        <f>IF($B457&gt;0,(GETPIVOTDATA(" New Life Insurance",'$ Pivot Table'!$A$3,"State","AL","Category",12,"Category2","Technical Institutes"))/$B457)*100</f>
        <v>0</v>
      </c>
      <c r="K457" s="32"/>
      <c r="L457" s="32">
        <f>IF($B457&gt;0,(GETPIVOTDATA(" New Worker's Comp",'$ Pivot Table'!$A$3,"State","AL","Category",12,"Category2","Technical Institutes"))/$B457)*100</f>
        <v>0</v>
      </c>
      <c r="M457" s="32">
        <f>IF($B457&gt;0,(GETPIVOTDATA(" New Tuition Plans",'$ Pivot Table'!$A$3,"State","AL","Category",12,"Category2","Technical Institutes"))/$B457)*100</f>
        <v>2.0518273717499595</v>
      </c>
      <c r="N457" s="32">
        <f>IF($B457&gt;0,(GETPIVOTDATA(" New Other",'$ Pivot Table'!$A$3,"State","AL","Category",12,"Category2","Technical Institutes"))/$B457)*100</f>
        <v>0</v>
      </c>
      <c r="O457" s="90">
        <f>IF($B457&gt;0,(GETPIVOTDATA(" New Total",'$ Pivot Table'!$A$3,"State","AL","Category",12,"Category2","Technical Institutes"))/$B457)*100</f>
        <v>35.448030581183346</v>
      </c>
    </row>
    <row r="458" spans="1:15">
      <c r="A458" s="149" t="s">
        <v>480</v>
      </c>
      <c r="B458" s="617">
        <f>+'[2]OLD Tables'!B71</f>
        <v>0</v>
      </c>
      <c r="C458" s="32">
        <f>IF($B458&gt;0,(GETPIVOTDATA(" New Retirement",'$ Pivot Table'!$A$3,"State","AR","Category",12,"Category2","Technical Institutes"))/$B458)*100</f>
        <v>0</v>
      </c>
      <c r="D458" s="32">
        <f>IF($B458&gt;0,(GETPIVOTDATA(" New Health",'$ Pivot Table'!$A$3,"State","AR","Category",12,"Category2","Technical Institutes"))/$B458)*100</f>
        <v>0</v>
      </c>
      <c r="E458" s="32">
        <f>IF($B458&gt;0,(GETPIVOTDATA(" New Disability",'$ Pivot Table'!$A$3,"State","AR","Category",12,"Category2","Technical Institutes"))/$B458)*100</f>
        <v>0</v>
      </c>
      <c r="F458" s="32"/>
      <c r="G458" s="32">
        <f>IF($B458&gt;0,(GETPIVOTDATA(" New Social Security",'$ Pivot Table'!$A$3,"State","AR","Category",12,"Category2","Technical Institutes"))/$B458)*100</f>
        <v>0</v>
      </c>
      <c r="H458" s="32"/>
      <c r="I458" s="32">
        <f>IF($B458&gt;0,(GETPIVOTDATA(" New Unemployment",'$ Pivot Table'!$A$3,"State","AR","Category",12,"Category2","Technical Institutes"))/$B458)*100</f>
        <v>0</v>
      </c>
      <c r="J458" s="32">
        <f>IF($B458&gt;0,(GETPIVOTDATA(" New Life Insurance",'$ Pivot Table'!$A$3,"State","AR","Category",12,"Category2","Technical Institutes"))/$B458)*100</f>
        <v>0</v>
      </c>
      <c r="K458" s="32"/>
      <c r="L458" s="32">
        <f>IF($B458&gt;0,(GETPIVOTDATA(" New Worker's Comp",'$ Pivot Table'!$A$3,"State","AR","Category",12,"Category2","Technical Institutes"))/$B458)*100</f>
        <v>0</v>
      </c>
      <c r="M458" s="32">
        <f>IF($B458&gt;0,(GETPIVOTDATA(" New Tuition Plans",'$ Pivot Table'!$A$3,"State","AR","Category",12,"Category2","Technical Institutes"))/$B458)*100</f>
        <v>0</v>
      </c>
      <c r="N458" s="32">
        <f>IF($B458&gt;0,(GETPIVOTDATA(" New Other",'$ Pivot Table'!$A$3,"State","AR","Category",12,"Category2","Technical Institutes"))/$B458)*100</f>
        <v>0</v>
      </c>
      <c r="O458" s="90">
        <f>IF($B458&gt;0,(GETPIVOTDATA(" New Total",'$ Pivot Table'!$A$3,"State","AR","Category",12,"Category2","Technical Institutes"))/$B458)*100</f>
        <v>0</v>
      </c>
    </row>
    <row r="459" spans="1:15">
      <c r="A459" s="149" t="s">
        <v>494</v>
      </c>
      <c r="B459" s="617">
        <f>+'[2]OLD Tables'!B72</f>
        <v>0</v>
      </c>
      <c r="C459" s="32">
        <f>IF($B459&gt;0,(GETPIVOTDATA(" New Retirement",'$ Pivot Table'!$A$3,"State","DE","Category",12,"Category2","Technical Institutes"))/$B459)*100</f>
        <v>0</v>
      </c>
      <c r="D459" s="32">
        <f>IF($B459&gt;0,(GETPIVOTDATA(" New Health",'$ Pivot Table'!$A$3,"State","DE","Category",12,"Category2","Technical Institutes"))/$B459)*100</f>
        <v>0</v>
      </c>
      <c r="E459" s="32">
        <f>IF($B459&gt;0,(GETPIVOTDATA(" New Disability",'$ Pivot Table'!$A$3,"State","DE","Category",12,"Category2","Technical Institutes"))/$B459)*100</f>
        <v>0</v>
      </c>
      <c r="F459" s="32"/>
      <c r="G459" s="32">
        <f>IF($B459&gt;0,(GETPIVOTDATA(" New Social Security",'$ Pivot Table'!$A$3,"State","DE","Category",12,"Category2","Technical Institutes"))/$B459)*100</f>
        <v>0</v>
      </c>
      <c r="H459" s="32"/>
      <c r="I459" s="32">
        <f>IF($B459&gt;0,(GETPIVOTDATA(" New Unemployment",'$ Pivot Table'!$A$3,"State","DE","Category",12,"Category2","Technical Institutes"))/$B459)*100</f>
        <v>0</v>
      </c>
      <c r="J459" s="32">
        <f>IF($B459&gt;0,(GETPIVOTDATA(" New Life Insurance",'$ Pivot Table'!$A$3,"State","DE","Category",12,"Category2","Technical Institutes"))/$B459)*100</f>
        <v>0</v>
      </c>
      <c r="K459" s="32"/>
      <c r="L459" s="32">
        <f>IF($B459&gt;0,(GETPIVOTDATA(" New Worker's Comp",'$ Pivot Table'!$A$3,"State","DE","Category",12,"Category2","Technical Institutes"))/$B459)*100</f>
        <v>0</v>
      </c>
      <c r="M459" s="32">
        <f>IF($B459&gt;0,(GETPIVOTDATA(" New Tuition Plans",'$ Pivot Table'!$A$3,"State","DE","Category",12,"Category2","Technical Institutes"))/$B459)*100</f>
        <v>0</v>
      </c>
      <c r="N459" s="32">
        <f>IF($B459&gt;0,(GETPIVOTDATA(" New Other",'$ Pivot Table'!$A$3,"State","DE","Category",12,"Category2","Technical Institutes"))/$B459)*100</f>
        <v>0</v>
      </c>
      <c r="O459" s="90">
        <f>IF($B459&gt;0,(GETPIVOTDATA(" New Total",'$ Pivot Table'!$A$3,"State","DE","Category",12,"Category2","Technical Institutes"))/$B459)*100</f>
        <v>0</v>
      </c>
    </row>
    <row r="460" spans="1:15">
      <c r="A460" s="149" t="s">
        <v>481</v>
      </c>
      <c r="B460" s="617">
        <f>+'[2]OLD Tables'!B73</f>
        <v>0</v>
      </c>
      <c r="C460" s="32">
        <f>IF($B460&gt;0,(GETPIVOTDATA(" New Retirement",'$ Pivot Table'!$A$3,"State","FL","Category",12,"Category2","Technical Institutes"))/$B460)*100</f>
        <v>0</v>
      </c>
      <c r="D460" s="32">
        <f>IF($B460&gt;0,(GETPIVOTDATA(" New Health",'$ Pivot Table'!$A$3,"State","FL","Category",12,"Category2","Technical Institutes"))/$B460)*100</f>
        <v>0</v>
      </c>
      <c r="E460" s="32">
        <f>IF($B460&gt;0,(GETPIVOTDATA(" New Disability",'$ Pivot Table'!$A$3,"State","FL","Category",12,"Category2","Technical Institutes"))/$B460)*100</f>
        <v>0</v>
      </c>
      <c r="F460" s="32"/>
      <c r="G460" s="32">
        <f>IF($B460&gt;0,(GETPIVOTDATA(" New Social Security",'$ Pivot Table'!$A$3,"State","FL","Category",12,"Category2","Technical Institutes"))/$B460)*100</f>
        <v>0</v>
      </c>
      <c r="H460" s="32"/>
      <c r="I460" s="32">
        <f>IF($B460&gt;0,(GETPIVOTDATA(" New Unemployment",'$ Pivot Table'!$A$3,"State","FL","Category",12,"Category2","Technical Institutes"))/$B460)*100</f>
        <v>0</v>
      </c>
      <c r="J460" s="32">
        <f>IF($B460&gt;0,(GETPIVOTDATA(" New Life Insurance",'$ Pivot Table'!$A$3,"State","FL","Category",12,"Category2","Technical Institutes"))/$B460)*100</f>
        <v>0</v>
      </c>
      <c r="K460" s="32"/>
      <c r="L460" s="32">
        <f>IF($B460&gt;0,(GETPIVOTDATA(" New Worker's Comp",'$ Pivot Table'!$A$3,"State","FL","Category",12,"Category2","Technical Institutes"))/$B460)*100</f>
        <v>0</v>
      </c>
      <c r="M460" s="32">
        <f>IF($B460&gt;0,(GETPIVOTDATA(" New Tuition Plans",'$ Pivot Table'!$A$3,"State","FL","Category",12,"Category2","Technical Institutes"))/$B460)*100</f>
        <v>0</v>
      </c>
      <c r="N460" s="32">
        <f>IF($B460&gt;0,(GETPIVOTDATA(" New Other",'$ Pivot Table'!$A$3,"State","FL","Category",12,"Category2","Technical Institutes"))/$B460)*100</f>
        <v>0</v>
      </c>
      <c r="O460" s="90">
        <f>IF($B460&gt;0,(GETPIVOTDATA(" New Total",'$ Pivot Table'!$A$3,"State","FL","Category",12,"Category2","Technical Institutes"))/$B460)*100</f>
        <v>0</v>
      </c>
    </row>
    <row r="461" spans="1:15">
      <c r="A461" s="149"/>
      <c r="B461" s="617">
        <f>+'[2]OLD Tables'!B74</f>
        <v>0</v>
      </c>
      <c r="C461" s="32"/>
      <c r="D461" s="34"/>
      <c r="E461" s="32"/>
      <c r="F461" s="32"/>
      <c r="G461" s="32"/>
      <c r="H461" s="32"/>
      <c r="I461" s="32"/>
      <c r="J461" s="32"/>
      <c r="K461" s="32"/>
      <c r="L461" s="32"/>
      <c r="M461" s="32"/>
      <c r="N461" s="32"/>
      <c r="O461" s="90"/>
    </row>
    <row r="462" spans="1:15">
      <c r="A462" s="149" t="s">
        <v>482</v>
      </c>
      <c r="B462" s="617">
        <f>+'[2]OLD Tables'!B75</f>
        <v>44984.557607792209</v>
      </c>
      <c r="C462" s="32">
        <f>IF($B462&gt;0,(GETPIVOTDATA(" New Retirement",'$ Pivot Table'!$A$3,"State","GA","Category",12,"Category2","Technical Institutes"))/$B462)*100</f>
        <v>9.3988952130425343</v>
      </c>
      <c r="D462" s="32">
        <f>IF($B462&gt;0,(GETPIVOTDATA(" New Health",'$ Pivot Table'!$A$3,"State","GA","Category",12,"Category2","Technical Institutes"))/$B462)*100</f>
        <v>27.108806132362741</v>
      </c>
      <c r="E462" s="32">
        <f>IF($B462&gt;0,(GETPIVOTDATA(" New Disability",'$ Pivot Table'!$A$3,"State","GA","Category",12,"Category2","Technical Institutes"))/$B462)*100</f>
        <v>0</v>
      </c>
      <c r="F462" s="32"/>
      <c r="G462" s="90">
        <f>IF($B462&gt;0,(GETPIVOTDATA(" New Social Security",'$ Pivot Table'!$A$3,"State","GA","Category",12,"Category2","Technical Institutes"))/$B462)*100</f>
        <v>2.798252276066914</v>
      </c>
      <c r="H462" s="91">
        <v>2</v>
      </c>
      <c r="I462" s="32">
        <f>IF($B462&gt;0,(GETPIVOTDATA(" New Unemployment",'$ Pivot Table'!$A$3,"State","GA","Category",12,"Category2","Technical Institutes"))/$B462)*100</f>
        <v>0.30134083943880091</v>
      </c>
      <c r="J462" s="32">
        <f>IF($B462&gt;0,(GETPIVOTDATA(" New Life Insurance",'$ Pivot Table'!$A$3,"State","GA","Category",12,"Category2","Technical Institutes"))/$B462)*100</f>
        <v>0</v>
      </c>
      <c r="K462" s="32"/>
      <c r="L462" s="32">
        <f>IF($B462&gt;0,(GETPIVOTDATA(" New Worker's Comp",'$ Pivot Table'!$A$3,"State","GA","Category",12,"Category2","Technical Institutes"))/$B462)*100</f>
        <v>0.59048319779866687</v>
      </c>
      <c r="M462" s="32">
        <f>IF($B462&gt;0,(GETPIVOTDATA(" New Tuition Plans",'$ Pivot Table'!$A$3,"State","GA","Category",12,"Category2","Technical Institutes"))/$B462)*100</f>
        <v>0</v>
      </c>
      <c r="N462" s="32">
        <f>IF($B462&gt;0,(GETPIVOTDATA(" New Other",'$ Pivot Table'!$A$3,"State","GA","Category",12,"Category2","Technical Institutes"))/$B462)*100</f>
        <v>29.059679314382741</v>
      </c>
      <c r="O462" s="90">
        <f>IF($B462&gt;0,(GETPIVOTDATA(" New Total",'$ Pivot Table'!$A$3,"State","GA","Category",12,"Category2","Technical Institutes"))/$B462)*100</f>
        <v>34.678705289738176</v>
      </c>
    </row>
    <row r="463" spans="1:15">
      <c r="A463" s="149" t="s">
        <v>483</v>
      </c>
      <c r="B463" s="617">
        <f>+'[2]OLD Tables'!B76</f>
        <v>44346.303811034486</v>
      </c>
      <c r="C463" s="32">
        <f>IF($B463&gt;0,(GETPIVOTDATA(" New Retirement",'$ Pivot Table'!$A$3,"State","KY","Category",12,"Category2","Technical Institutes"))/$B463)*100</f>
        <v>12.555626731463551</v>
      </c>
      <c r="D463" s="32">
        <f>IF($B463&gt;0,(GETPIVOTDATA(" New Health",'$ Pivot Table'!$A$3,"State","KY","Category",12,"Category2","Technical Institutes"))/$B463)*100</f>
        <v>16.861679560561306</v>
      </c>
      <c r="E463" s="32">
        <f>IF($B463&gt;0,(GETPIVOTDATA(" New Disability",'$ Pivot Table'!$A$3,"State","KY","Category",12,"Category2","Technical Institutes"))/$B463)*100</f>
        <v>0</v>
      </c>
      <c r="F463" s="32"/>
      <c r="G463" s="90">
        <f>IF($B463&gt;0,(GETPIVOTDATA(" New Social Security",'$ Pivot Table'!$A$3,"State","KY","Category",12,"Category2","Technical Institutes"))/$B463)*100</f>
        <v>5.1452009285050986</v>
      </c>
      <c r="H463" s="90"/>
      <c r="I463" s="32">
        <f>IF($B463&gt;0,(GETPIVOTDATA(" New Unemployment",'$ Pivot Table'!$A$3,"State","KY","Category",12,"Category2","Technical Institutes"))/$B463)*100</f>
        <v>0</v>
      </c>
      <c r="J463" s="56">
        <f>IF($B463&gt;0,(GETPIVOTDATA(" New Life Insurance",'$ Pivot Table'!$A$3,"State","KY","Category",12,"Category2","Technical Institutes"))/$B463)*100</f>
        <v>4.0610656962969977E-2</v>
      </c>
      <c r="K463" s="32"/>
      <c r="L463" s="32">
        <f>IF($B463&gt;0,(GETPIVOTDATA(" New Worker's Comp",'$ Pivot Table'!$A$3,"State","KY","Category",12,"Category2","Technical Institutes"))/$B463)*100</f>
        <v>0</v>
      </c>
      <c r="M463" s="32">
        <f>IF($B463&gt;0,(GETPIVOTDATA(" New Tuition Plans",'$ Pivot Table'!$A$3,"State","KY","Category",12,"Category2","Technical Institutes"))/$B463)*100</f>
        <v>1.9381547640643155</v>
      </c>
      <c r="N463" s="32">
        <f>IF($B463&gt;0,(GETPIVOTDATA(" New Other",'$ Pivot Table'!$A$3,"State","KY","Category",12,"Category2","Technical Institutes"))/$B463)*100</f>
        <v>0</v>
      </c>
      <c r="O463" s="90">
        <f>IF($B463&gt;0,(GETPIVOTDATA(" New Total",'$ Pivot Table'!$A$3,"State","KY","Category",12,"Category2","Technical Institutes"))/$B463)*100</f>
        <v>32.310763277795694</v>
      </c>
    </row>
    <row r="464" spans="1:15">
      <c r="A464" s="149" t="s">
        <v>484</v>
      </c>
      <c r="B464" s="617">
        <f>+'[2]OLD Tables'!B77</f>
        <v>41512.950705882351</v>
      </c>
      <c r="C464" s="32">
        <f>IF($B464&gt;0,(GETPIVOTDATA(" New Retirement",'$ Pivot Table'!$A$3,"State","LA","Category",12,"Category2","Technical Institutes"))/$B464)*100</f>
        <v>14.64909474889604</v>
      </c>
      <c r="D464" s="32">
        <f>IF($B464&gt;0,(GETPIVOTDATA(" New Health",'$ Pivot Table'!$A$3,"State","LA","Category",12,"Category2","Technical Institutes"))/$B464)*100</f>
        <v>14.182722660165878</v>
      </c>
      <c r="E464" s="32">
        <f>IF($B464&gt;0,(GETPIVOTDATA(" New Disability",'$ Pivot Table'!$A$3,"State","LA","Category",12,"Category2","Technical Institutes"))/$B464)*100</f>
        <v>0</v>
      </c>
      <c r="F464" s="32"/>
      <c r="G464" s="32">
        <f>IF($B464&gt;0,(GETPIVOTDATA(" New Social Security",'$ Pivot Table'!$A$3,"State","LA","Category",12,"Category2","Technical Institutes"))/$B464)*100</f>
        <v>0</v>
      </c>
      <c r="H464" s="32"/>
      <c r="I464" s="32">
        <f>IF($B464&gt;0,(GETPIVOTDATA(" New Unemployment",'$ Pivot Table'!$A$3,"State","LA","Category",12,"Category2","Technical Institutes"))/$B464)*100</f>
        <v>0</v>
      </c>
      <c r="J464" s="32">
        <f>IF($B464&gt;0,(GETPIVOTDATA(" New Life Insurance",'$ Pivot Table'!$A$3,"State","LA","Category",12,"Category2","Technical Institutes"))/$B464)*100</f>
        <v>0.52612023857694468</v>
      </c>
      <c r="K464" s="32"/>
      <c r="L464" s="32">
        <f>IF($B464&gt;0,(GETPIVOTDATA(" New Worker's Comp",'$ Pivot Table'!$A$3,"State","LA","Category",12,"Category2","Technical Institutes"))/$B464)*100</f>
        <v>0</v>
      </c>
      <c r="M464" s="32">
        <f>IF($B464&gt;0,(GETPIVOTDATA(" New Tuition Plans",'$ Pivot Table'!$A$3,"State","LA","Category",12,"Category2","Technical Institutes"))/$B464)*100</f>
        <v>0</v>
      </c>
      <c r="N464" s="32">
        <f>IF($B464&gt;0,(GETPIVOTDATA(" New Other",'$ Pivot Table'!$A$3,"State","LA","Category",12,"Category2","Technical Institutes"))/$B464)*100</f>
        <v>0</v>
      </c>
      <c r="O464" s="90">
        <f>IF($B464&gt;0,(GETPIVOTDATA(" New Total",'$ Pivot Table'!$A$3,"State","LA","Category",12,"Category2","Technical Institutes"))/$B464)*100</f>
        <v>24.283931205572451</v>
      </c>
    </row>
    <row r="465" spans="1:16">
      <c r="A465" s="149" t="s">
        <v>485</v>
      </c>
      <c r="B465" s="617">
        <f>+'[2]OLD Tables'!B78</f>
        <v>0</v>
      </c>
      <c r="C465" s="32">
        <f>IF($B465&gt;0,(GETPIVOTDATA(" New Retirement",'$ Pivot Table'!$A$3,"State","MD","Category",12,"Category2","Technical Institutes"))/$B465)*100</f>
        <v>0</v>
      </c>
      <c r="D465" s="32">
        <f>IF($B465&gt;0,(GETPIVOTDATA(" New Health",'$ Pivot Table'!$A$3,"State","MD","Category",12,"Category2","Technical Institutes"))/$B465)*100</f>
        <v>0</v>
      </c>
      <c r="E465" s="32">
        <f>IF($B465&gt;0,(GETPIVOTDATA(" New Disability",'$ Pivot Table'!$A$3,"State","MD","Category",12,"Category2","Technical Institutes"))/$B465)*100</f>
        <v>0</v>
      </c>
      <c r="F465" s="32"/>
      <c r="G465" s="32">
        <f>IF($B465&gt;0,(GETPIVOTDATA(" New Social Security",'$ Pivot Table'!$A$3,"State","MD","Category",12,"Category2","Technical Institutes"))/$B465)*100</f>
        <v>0</v>
      </c>
      <c r="H465" s="32"/>
      <c r="I465" s="32">
        <f>IF($B465&gt;0,(GETPIVOTDATA(" New Unemployment",'$ Pivot Table'!$A$3,"State","MD","Category",12,"Category2","Technical Institutes"))/$B465)*100</f>
        <v>0</v>
      </c>
      <c r="J465" s="32">
        <f>IF($B465&gt;0,(GETPIVOTDATA(" New Life Insurance",'$ Pivot Table'!$A$3,"State","MD","Category",12,"Category2","Technical Institutes"))/$B465)*100</f>
        <v>0</v>
      </c>
      <c r="K465" s="32"/>
      <c r="L465" s="32">
        <f>IF($B465&gt;0,(GETPIVOTDATA(" New Worker's Comp",'$ Pivot Table'!$A$3,"State","MD","Category",12,"Category2","Technical Institutes"))/$B465)*100</f>
        <v>0</v>
      </c>
      <c r="M465" s="32">
        <f>IF($B465&gt;0,(GETPIVOTDATA(" New Tuition Plans",'$ Pivot Table'!$A$3,"State","MD","Category",12,"Category2","Technical Institutes"))/$B465)*100</f>
        <v>0</v>
      </c>
      <c r="N465" s="32">
        <f>IF($B465&gt;0,(GETPIVOTDATA(" New Other",'$ Pivot Table'!$A$3,"State","MD","Category",12,"Category2","Technical Institutes"))/$B465)*100</f>
        <v>0</v>
      </c>
      <c r="O465" s="90">
        <f>IF($B465&gt;0,(GETPIVOTDATA(" New Total",'$ Pivot Table'!$A$3,"State","MD","Category",12,"Category2","Technical Institutes"))/$B465)*100</f>
        <v>0</v>
      </c>
    </row>
    <row r="466" spans="1:16">
      <c r="A466" s="149"/>
      <c r="B466" s="617">
        <f>+'[2]OLD Tables'!B79</f>
        <v>0</v>
      </c>
      <c r="C466" s="32"/>
      <c r="D466" s="34"/>
      <c r="E466" s="32"/>
      <c r="F466" s="32"/>
      <c r="G466" s="32"/>
      <c r="H466" s="32"/>
      <c r="I466" s="32"/>
      <c r="J466" s="32"/>
      <c r="K466" s="32"/>
      <c r="L466" s="32"/>
      <c r="M466" s="32"/>
      <c r="N466" s="32"/>
      <c r="O466" s="90"/>
    </row>
    <row r="467" spans="1:16">
      <c r="A467" s="149" t="s">
        <v>486</v>
      </c>
      <c r="B467" s="617">
        <f>+'[2]OLD Tables'!B80</f>
        <v>0</v>
      </c>
      <c r="C467" s="32">
        <f>IF($B467&gt;0,(GETPIVOTDATA(" New Retirement",'$ Pivot Table'!$A$3,"State","MS","Category",12,"Category2","Technical Institutes"))/$B467)*100</f>
        <v>0</v>
      </c>
      <c r="D467" s="32">
        <f>IF($B467&gt;0,(GETPIVOTDATA(" New Health",'$ Pivot Table'!$A$3,"State","MS","Category",12,"Category2","Technical Institutes"))/$B467)*100</f>
        <v>0</v>
      </c>
      <c r="E467" s="32">
        <f>IF($B467&gt;0,(GETPIVOTDATA(" New Disability",'$ Pivot Table'!$A$3,"State","MS","Category",12,"Category2","Technical Institutes"))/$B467)*100</f>
        <v>0</v>
      </c>
      <c r="F467" s="32"/>
      <c r="G467" s="32">
        <f>IF($B467&gt;0,(GETPIVOTDATA(" New Social Security",'$ Pivot Table'!$A$3,"State","MS","Category",12,"Category2","Technical Institutes"))/$B467)*100</f>
        <v>0</v>
      </c>
      <c r="H467" s="32"/>
      <c r="I467" s="32">
        <f>IF($B467&gt;0,(GETPIVOTDATA(" New Unemployment",'$ Pivot Table'!$A$3,"State","MS","Category",12,"Category2","Technical Institutes"))/$B467)*100</f>
        <v>0</v>
      </c>
      <c r="J467" s="32">
        <f>IF($B467&gt;0,(GETPIVOTDATA(" New Life Insurance",'$ Pivot Table'!$A$3,"State","MS","Category",12,"Category2","Technical Institutes"))/$B467)*100</f>
        <v>0</v>
      </c>
      <c r="K467" s="32"/>
      <c r="L467" s="32">
        <f>IF($B467&gt;0,(GETPIVOTDATA(" New Worker's Comp",'$ Pivot Table'!$A$3,"State","MS","Category",12,"Category2","Technical Institutes"))/$B467)*100</f>
        <v>0</v>
      </c>
      <c r="M467" s="32">
        <f>IF($B467&gt;0,(GETPIVOTDATA(" New Tuition Plans",'$ Pivot Table'!$A$3,"State","MS","Category",12,"Category2","Technical Institutes"))/$B467)*100</f>
        <v>0</v>
      </c>
      <c r="N467" s="32">
        <f>IF($B467&gt;0,(GETPIVOTDATA(" New Other",'$ Pivot Table'!$A$3,"State","MS","Category",12,"Category2","Technical Institutes"))/$B467)*100</f>
        <v>0</v>
      </c>
      <c r="O467" s="90">
        <f>IF($B467&gt;0,(GETPIVOTDATA(" New Total",'$ Pivot Table'!$A$3,"State","MS","Category",12,"Category2","Technical Institutes"))/$B467)*100</f>
        <v>0</v>
      </c>
    </row>
    <row r="468" spans="1:16">
      <c r="A468" s="149" t="s">
        <v>487</v>
      </c>
      <c r="B468" s="617">
        <f>+'[2]OLD Tables'!B81</f>
        <v>0</v>
      </c>
      <c r="C468" s="32">
        <f>IF($B468&gt;0,(GETPIVOTDATA(" New Retirement",'$ Pivot Table'!$A$3,"State","NC","Category",12,"Category2","Technical Institutes"))/$B468)*100</f>
        <v>0</v>
      </c>
      <c r="D468" s="32">
        <f>IF($B468&gt;0,(GETPIVOTDATA(" New Health",'$ Pivot Table'!$A$3,"State","NC","Category",12,"Category2","Technical Institutes"))/$B468)*100</f>
        <v>0</v>
      </c>
      <c r="E468" s="32">
        <f>IF($B468&gt;0,(GETPIVOTDATA(" New Disability",'$ Pivot Table'!$A$3,"State","NC","Category",12,"Category2","Technical Institutes"))/$B468)*100</f>
        <v>0</v>
      </c>
      <c r="F468" s="32"/>
      <c r="G468" s="32">
        <f>IF($B468&gt;0,(GETPIVOTDATA(" New Social Security",'$ Pivot Table'!$A$3,"State","NC","Category",12,"Category2","Technical Institutes"))/$B468)*100</f>
        <v>0</v>
      </c>
      <c r="H468" s="32"/>
      <c r="I468" s="32">
        <f>IF($B468&gt;0,(GETPIVOTDATA(" New Unemployment",'$ Pivot Table'!$A$3,"State","NC","Category",12,"Category2","Technical Institutes"))/$B468)*100</f>
        <v>0</v>
      </c>
      <c r="J468" s="32">
        <f>IF($B468&gt;0,(GETPIVOTDATA(" New Life Insurance",'$ Pivot Table'!$A$3,"State","NC","Category",12,"Category2","Technical Institutes"))/$B468)*100</f>
        <v>0</v>
      </c>
      <c r="K468" s="32"/>
      <c r="L468" s="32">
        <f>IF($B468&gt;0,(GETPIVOTDATA(" New Worker's Comp",'$ Pivot Table'!$A$3,"State","NC","Category",12,"Category2","Technical Institutes"))/$B468)*100</f>
        <v>0</v>
      </c>
      <c r="M468" s="32">
        <f>IF($B468&gt;0,(GETPIVOTDATA(" New Tuition Plans",'$ Pivot Table'!$A$3,"State","NC","Category",12,"Category2","Technical Institutes"))/$B468)*100</f>
        <v>0</v>
      </c>
      <c r="N468" s="32">
        <f>IF($B468&gt;0,(GETPIVOTDATA(" New Other",'$ Pivot Table'!$A$3,"State","NC","Category",12,"Category2","Technical Institutes"))/$B468)*100</f>
        <v>0</v>
      </c>
      <c r="O468" s="90">
        <f>IF($B468&gt;0,(GETPIVOTDATA(" New Total",'$ Pivot Table'!$A$3,"State","NC","Category",12,"Category2","Technical Institutes"))/$B468)*100</f>
        <v>0</v>
      </c>
    </row>
    <row r="469" spans="1:16">
      <c r="A469" s="149" t="s">
        <v>488</v>
      </c>
      <c r="B469" s="617">
        <f>+'[2]OLD Tables'!B82</f>
        <v>50698.925209271525</v>
      </c>
      <c r="C469" s="32">
        <f>IF($B469&gt;0,(GETPIVOTDATA(" New Retirement",'$ Pivot Table'!$A$3,"State","OK","Category",12,"Category2","Technical Institutes"))/$B469)*100</f>
        <v>8.2024352906259281</v>
      </c>
      <c r="D469" s="32">
        <f>IF($B469&gt;0,(GETPIVOTDATA(" New Health",'$ Pivot Table'!$A$3,"State","OK","Category",12,"Category2","Technical Institutes"))/$B469)*100</f>
        <v>12.738652690055316</v>
      </c>
      <c r="E469" s="32">
        <f>IF($B469&gt;0,(GETPIVOTDATA(" New Disability",'$ Pivot Table'!$A$3,"State","OK","Category",12,"Category2","Technical Institutes"))/$B469)*100</f>
        <v>0</v>
      </c>
      <c r="F469" s="32"/>
      <c r="G469" s="32">
        <f>IF($B469&gt;0,(GETPIVOTDATA(" New Social Security",'$ Pivot Table'!$A$3,"State","OK","Category",12,"Category2","Technical Institutes"))/$B469)*100</f>
        <v>0</v>
      </c>
      <c r="H469" s="32"/>
      <c r="I469" s="32">
        <f>IF($B469&gt;0,(GETPIVOTDATA(" New Unemployment",'$ Pivot Table'!$A$3,"State","OK","Category",12,"Category2","Technical Institutes"))/$B469)*100</f>
        <v>0</v>
      </c>
      <c r="J469" s="32">
        <f>IF($B469&gt;0,(GETPIVOTDATA(" New Life Insurance",'$ Pivot Table'!$A$3,"State","OK","Category",12,"Category2","Technical Institutes"))/$B469)*100</f>
        <v>0</v>
      </c>
      <c r="K469" s="32"/>
      <c r="L469" s="32">
        <f>IF($B469&gt;0,(GETPIVOTDATA(" New Worker's Comp",'$ Pivot Table'!$A$3,"State","OK","Category",12,"Category2","Technical Institutes"))/$B469)*100</f>
        <v>0</v>
      </c>
      <c r="M469" s="32">
        <f>IF($B469&gt;0,(GETPIVOTDATA(" New Tuition Plans",'$ Pivot Table'!$A$3,"State","OK","Category",12,"Category2","Technical Institutes"))/$B469)*100</f>
        <v>0</v>
      </c>
      <c r="N469" s="32">
        <f>IF($B469&gt;0,(GETPIVOTDATA(" New Other",'$ Pivot Table'!$A$3,"State","OK","Category",12,"Category2","Technical Institutes"))/$B469)*100</f>
        <v>4.2833350056885093</v>
      </c>
      <c r="O469" s="90">
        <f>IF($B469&gt;0,(GETPIVOTDATA(" New Total",'$ Pivot Table'!$A$3,"State","OK","Category",12,"Category2","Technical Institutes"))/$B469)*100</f>
        <v>16.170311061813734</v>
      </c>
    </row>
    <row r="470" spans="1:16">
      <c r="A470" s="149" t="s">
        <v>489</v>
      </c>
      <c r="B470" s="617">
        <f>+'[2]OLD Tables'!B83</f>
        <v>0</v>
      </c>
      <c r="C470" s="32">
        <f>IF($B470&gt;0,(GETPIVOTDATA(" New Retirement",'$ Pivot Table'!$A$3,"State","SC","Category",12,"Category2","Technical Institutes"))/$B470)*100</f>
        <v>0</v>
      </c>
      <c r="D470" s="32">
        <f>IF($B470&gt;0,(GETPIVOTDATA(" New Health",'$ Pivot Table'!$A$3,"State","SC","Category",12,"Category2","Technical Institutes"))/$B470)*100</f>
        <v>0</v>
      </c>
      <c r="E470" s="32">
        <f>IF($B470&gt;0,(GETPIVOTDATA(" New Disability",'$ Pivot Table'!$A$3,"State","SC","Category",12,"Category2","Technical Institutes"))/$B470)*100</f>
        <v>0</v>
      </c>
      <c r="F470" s="32"/>
      <c r="G470" s="32">
        <f>IF($B470&gt;0,(GETPIVOTDATA(" New Social Security",'$ Pivot Table'!$A$3,"State","SC","Category",12,"Category2","Technical Institutes"))/$B470)*100</f>
        <v>0</v>
      </c>
      <c r="H470" s="32"/>
      <c r="I470" s="32">
        <f>IF($B470&gt;0,(GETPIVOTDATA(" New Unemployment",'$ Pivot Table'!$A$3,"State","SC","Category",12,"Category2","Technical Institutes"))/$B470)*100</f>
        <v>0</v>
      </c>
      <c r="J470" s="32">
        <f>IF($B470&gt;0,(GETPIVOTDATA(" New Life Insurance",'$ Pivot Table'!$A$3,"State","SC","Category",12,"Category2","Technical Institutes"))/$B470)*100</f>
        <v>0</v>
      </c>
      <c r="K470" s="32"/>
      <c r="L470" s="32">
        <f>IF($B470&gt;0,(GETPIVOTDATA(" New Worker's Comp",'$ Pivot Table'!$A$3,"State","SC","Category",12,"Category2","Technical Institutes"))/$B470)*100</f>
        <v>0</v>
      </c>
      <c r="M470" s="32">
        <f>IF($B470&gt;0,(GETPIVOTDATA(" New Tuition Plans",'$ Pivot Table'!$A$3,"State","SC","Category",12,"Category2","Technical Institutes"))/$B470)*100</f>
        <v>0</v>
      </c>
      <c r="N470" s="32">
        <f>IF($B470&gt;0,(GETPIVOTDATA(" New Other",'$ Pivot Table'!$A$3,"State","SC","Category",12,"Category2","Technical Institutes"))/$B470)*100</f>
        <v>0</v>
      </c>
      <c r="O470" s="90">
        <f>IF($B470&gt;0,(GETPIVOTDATA(" New Total",'$ Pivot Table'!$A$3,"State","SC","Category",12,"Category2","Technical Institutes"))/$B470)*100</f>
        <v>0</v>
      </c>
    </row>
    <row r="471" spans="1:16">
      <c r="A471" s="149"/>
      <c r="B471" s="617">
        <f>+'[2]OLD Tables'!B84</f>
        <v>0</v>
      </c>
      <c r="C471" s="32"/>
      <c r="D471" s="34"/>
      <c r="E471" s="32"/>
      <c r="F471" s="32"/>
      <c r="G471" s="32"/>
      <c r="H471" s="32"/>
      <c r="I471" s="32"/>
      <c r="J471" s="32"/>
      <c r="K471" s="32"/>
      <c r="L471" s="32"/>
      <c r="M471" s="32"/>
      <c r="N471" s="32"/>
      <c r="O471" s="90"/>
    </row>
    <row r="472" spans="1:16">
      <c r="A472" s="149" t="s">
        <v>490</v>
      </c>
      <c r="B472" s="617">
        <f>+'[2]OLD Tables'!B85</f>
        <v>0</v>
      </c>
      <c r="C472" s="28">
        <f>IF($B472&gt;0,(GETPIVOTDATA(" New Retirement",'$ Pivot Table'!$A$3,"State","TN","Category",12,"Category2","Technical Institutes"))/$B472)*100</f>
        <v>0</v>
      </c>
      <c r="D472" s="28">
        <f>IF($B472&gt;0,(GETPIVOTDATA(" New Health",'$ Pivot Table'!$A$3,"State","TN","Category",12,"Category2","Technical Institutes"))/$B472)*100</f>
        <v>0</v>
      </c>
      <c r="E472" s="28">
        <f>IF($B472&gt;0,(GETPIVOTDATA(" New Disability",'$ Pivot Table'!$A$3,"State","TN","Category",12,"Category2","Technical Institutes"))/$B472)*100</f>
        <v>0</v>
      </c>
      <c r="F472" s="28"/>
      <c r="G472" s="28">
        <f>IF($B472&gt;0,(GETPIVOTDATA(" New Social Security",'$ Pivot Table'!$A$3,"State","TN","Category",12,"Category2","Technical Institutes"))/$B472)*100</f>
        <v>0</v>
      </c>
      <c r="H472" s="28"/>
      <c r="I472" s="28">
        <f>IF($B472&gt;0,(GETPIVOTDATA(" New Unemployment",'$ Pivot Table'!$A$3,"State","TN","Category",12,"Category2","Technical Institutes"))/$B472)*100</f>
        <v>0</v>
      </c>
      <c r="J472" s="28">
        <f>IF($B472&gt;0,(GETPIVOTDATA(" New Life Insurance",'$ Pivot Table'!$A$3,"State","TN","Category",12,"Category2","Technical Institutes"))/$B472)*100</f>
        <v>0</v>
      </c>
      <c r="K472" s="28"/>
      <c r="L472" s="28">
        <f>IF($B472&gt;0,(GETPIVOTDATA(" New Worker's Comp",'$ Pivot Table'!$A$3,"State","TN","Category",12,"Category2","Technical Institutes"))/$B472)*100</f>
        <v>0</v>
      </c>
      <c r="M472" s="28">
        <f>IF($B472&gt;0,(GETPIVOTDATA(" New Tuition Plans",'$ Pivot Table'!$A$3,"State","TN","Category",12,"Category2","Technical Institutes"))/$B472)*100</f>
        <v>0</v>
      </c>
      <c r="N472" s="28">
        <f>IF($B472&gt;0,(GETPIVOTDATA(" New Other",'$ Pivot Table'!$A$3,"State","TN","Category",12,"Category2","Technical Institutes"))/$B472)*100</f>
        <v>0</v>
      </c>
      <c r="O472" s="86">
        <f>IF($B472&gt;0,(GETPIVOTDATA(" New Total",'$ Pivot Table'!$A$3,"State","TN","Category",12,"Category2","Technical Institutes"))/$B472)*100</f>
        <v>0</v>
      </c>
    </row>
    <row r="473" spans="1:16">
      <c r="A473" s="149" t="s">
        <v>491</v>
      </c>
      <c r="B473" s="617">
        <f>+'[2]OLD Tables'!B86</f>
        <v>0</v>
      </c>
      <c r="C473" s="28">
        <f>IF($B473&gt;0,(GETPIVOTDATA(" New Retirement",'$ Pivot Table'!$A$3,"State","TX","Category",12,"Category2","Technical Institutes"))/$B473)*100</f>
        <v>0</v>
      </c>
      <c r="D473" s="28">
        <f>IF($B473&gt;0,(GETPIVOTDATA(" New Health",'$ Pivot Table'!$A$3,"State","TX","Category",12,"Category2","Technical Institutes"))/$B473)*100</f>
        <v>0</v>
      </c>
      <c r="E473" s="28">
        <f>IF($B473&gt;0,(GETPIVOTDATA(" New Disability",'$ Pivot Table'!$A$3,"State","TX","Category",12,"Category2","Technical Institutes"))/$B473)*100</f>
        <v>0</v>
      </c>
      <c r="F473" s="28"/>
      <c r="G473" s="28">
        <f>IF($B473&gt;0,(GETPIVOTDATA(" New Social Security",'$ Pivot Table'!$A$3,"State","TX","Category",12,"Category2","Technical Institutes"))/$B473)*100</f>
        <v>0</v>
      </c>
      <c r="H473" s="28"/>
      <c r="I473" s="28">
        <f>IF($B473&gt;0,(GETPIVOTDATA(" New Unemployment",'$ Pivot Table'!$A$3,"State","TX","Category",12,"Category2","Technical Institutes"))/$B473)*100</f>
        <v>0</v>
      </c>
      <c r="J473" s="28">
        <f>IF($B473&gt;0,(GETPIVOTDATA(" New Life Insurance",'$ Pivot Table'!$A$3,"State","TX","Category",12,"Category2","Technical Institutes"))/$B473)*100</f>
        <v>0</v>
      </c>
      <c r="K473" s="28"/>
      <c r="L473" s="28">
        <f>IF($B473&gt;0,(GETPIVOTDATA(" New Worker's Comp",'$ Pivot Table'!$A$3,"State","TX","Category",12,"Category2","Technical Institutes"))/$B473)*100</f>
        <v>0</v>
      </c>
      <c r="M473" s="28">
        <f>IF($B473&gt;0,(GETPIVOTDATA(" New Tuition Plans",'$ Pivot Table'!$A$3,"State","TX","Category",12,"Category2","Technical Institutes"))/$B473)*100</f>
        <v>0</v>
      </c>
      <c r="N473" s="28">
        <f>IF($B473&gt;0,(GETPIVOTDATA(" New Other",'$ Pivot Table'!$A$3,"State","TX","Category",12,"Category2","Technical Institutes"))/$B473)*100</f>
        <v>0</v>
      </c>
      <c r="O473" s="86">
        <f>IF($B473&gt;0,(GETPIVOTDATA(" New Total",'$ Pivot Table'!$A$3,"State","TX","Category",12,"Category2","Technical Institutes"))/$B473)*100</f>
        <v>0</v>
      </c>
    </row>
    <row r="474" spans="1:16">
      <c r="A474" s="149" t="s">
        <v>492</v>
      </c>
      <c r="B474" s="617">
        <f>+'[2]OLD Tables'!B87</f>
        <v>0</v>
      </c>
      <c r="C474" s="28">
        <f>IF($B474&gt;0,(GETPIVOTDATA(" New Retirement",'$ Pivot Table'!$A$3,"State","VA","Category",12,"Category2","Technical Institutes"))/$B474)*100</f>
        <v>0</v>
      </c>
      <c r="D474" s="28">
        <f>IF($B474&gt;0,(GETPIVOTDATA(" New Health",'$ Pivot Table'!$A$3,"State","VA","Category",12,"Category2","Technical Institutes"))/$B474)*100</f>
        <v>0</v>
      </c>
      <c r="E474" s="28">
        <f>IF($B474&gt;0,(GETPIVOTDATA(" New Disability",'$ Pivot Table'!$A$3,"State","VA","Category",12,"Category2","Technical Institutes"))/$B474)*100</f>
        <v>0</v>
      </c>
      <c r="F474" s="28"/>
      <c r="G474" s="28">
        <f>IF($B474&gt;0,(GETPIVOTDATA(" New Social Security",'$ Pivot Table'!$A$3,"State","VA","Category",12,"Category2","Technical Institutes"))/$B474)*100</f>
        <v>0</v>
      </c>
      <c r="H474" s="28"/>
      <c r="I474" s="28">
        <f>IF($B474&gt;0,(GETPIVOTDATA(" New Unemployment",'$ Pivot Table'!$A$3,"State","VA","Category",12,"Category2","Technical Institutes"))/$B474)*100</f>
        <v>0</v>
      </c>
      <c r="J474" s="28">
        <f>IF($B474&gt;0,(GETPIVOTDATA(" New Life Insurance",'$ Pivot Table'!$A$3,"State","VA","Category",12,"Category2","Technical Institutes"))/$B474)*100</f>
        <v>0</v>
      </c>
      <c r="K474" s="28"/>
      <c r="L474" s="28">
        <f>IF($B474&gt;0,(GETPIVOTDATA(" New Worker's Comp",'$ Pivot Table'!$A$3,"State","VA","Category",12,"Category2","Technical Institutes"))/$B474)*100</f>
        <v>0</v>
      </c>
      <c r="M474" s="28">
        <f>IF($B474&gt;0,(GETPIVOTDATA(" New Tuition Plans",'$ Pivot Table'!$A$3,"State","VA","Category",12,"Category2","Technical Institutes"))/$B474)*100</f>
        <v>0</v>
      </c>
      <c r="N474" s="28">
        <f>IF($B474&gt;0,(GETPIVOTDATA(" New Other",'$ Pivot Table'!$A$3,"State","VA","Category",12,"Category2","Technical Institutes"))/$B474)*100</f>
        <v>0</v>
      </c>
      <c r="O474" s="86">
        <f>IF($B474&gt;0,(GETPIVOTDATA(" New Total",'$ Pivot Table'!$A$3,"State","VA","Category",12,"Category2","Technical Institutes"))/$B474)*100</f>
        <v>0</v>
      </c>
    </row>
    <row r="475" spans="1:16">
      <c r="A475" s="630" t="s">
        <v>493</v>
      </c>
      <c r="B475" s="618">
        <f>+'[2]OLD Tables'!B88</f>
        <v>0</v>
      </c>
      <c r="C475" s="30">
        <f>IF($B475&gt;0,(GETPIVOTDATA(" New Retirement",'$ Pivot Table'!$A$3,"State","WV","Category",12,"Category2","Technical Institutes"))/$B475)*100</f>
        <v>0</v>
      </c>
      <c r="D475" s="30">
        <f>IF($B475&gt;0,(GETPIVOTDATA(" New Health",'$ Pivot Table'!$A$3,"State","WV","Category",12,"Category2","Technical Institutes"))/$B475)*100</f>
        <v>0</v>
      </c>
      <c r="E475" s="30">
        <f>IF($B475&gt;0,(GETPIVOTDATA(" New Disability",'$ Pivot Table'!$A$3,"State","WV","Category",12,"Category2","Technical Institutes"))/$B475)*100</f>
        <v>0</v>
      </c>
      <c r="F475" s="30"/>
      <c r="G475" s="30">
        <f>IF($B475&gt;0,(GETPIVOTDATA(" New Social Security",'$ Pivot Table'!$A$3,"State","WV","Category",12,"Category2","Technical Institutes"))/$B475)*100</f>
        <v>0</v>
      </c>
      <c r="H475" s="30"/>
      <c r="I475" s="30">
        <f>IF($B475&gt;0,(GETPIVOTDATA(" New Unemployment",'$ Pivot Table'!$A$3,"State","WV","Category",12,"Category2","Technical Institutes"))/$B475)*100</f>
        <v>0</v>
      </c>
      <c r="J475" s="30">
        <f>IF($B475&gt;0,(GETPIVOTDATA(" New Life Insurance",'$ Pivot Table'!$A$3,"State","WV","Category",12,"Category2","Technical Institutes"))/$B475)*100</f>
        <v>0</v>
      </c>
      <c r="K475" s="30"/>
      <c r="L475" s="30">
        <f>IF($B475&gt;0,(GETPIVOTDATA(" New Worker's Comp",'$ Pivot Table'!$A$3,"State","WV","Category",12,"Category2","Technical Institutes"))/$B475)*100</f>
        <v>0</v>
      </c>
      <c r="M475" s="30">
        <f>IF($B475&gt;0,(GETPIVOTDATA(" New Tuition Plans",'$ Pivot Table'!$A$3,"State","WV","Category",12,"Category2","Technical Institutes"))/$B475)*100</f>
        <v>0</v>
      </c>
      <c r="N475" s="30">
        <f>IF($B475&gt;0,(GETPIVOTDATA(" New Other",'$ Pivot Table'!$A$3,"State","WV","Category",12,"Category2","Technical Institutes"))/$B475)*100</f>
        <v>0</v>
      </c>
      <c r="O475" s="115">
        <f>IF($B475&gt;0,(GETPIVOTDATA(" New Total",'$ Pivot Table'!$A$3,"State","WV","Category",12,"Category2","Technical Institutes"))/$B475)*100</f>
        <v>0</v>
      </c>
    </row>
    <row r="476" spans="1:16" ht="18" customHeight="1">
      <c r="A476" s="628" t="s">
        <v>14</v>
      </c>
      <c r="B476" s="45"/>
      <c r="C476" s="47"/>
      <c r="D476" s="47"/>
      <c r="E476" s="47"/>
      <c r="F476" s="47"/>
      <c r="G476" s="47"/>
      <c r="H476" s="47"/>
      <c r="I476" s="47"/>
      <c r="J476" s="47"/>
      <c r="K476" s="47"/>
      <c r="L476" s="47"/>
      <c r="M476" s="47"/>
      <c r="N476" s="47"/>
      <c r="O476" s="77"/>
    </row>
    <row r="477" spans="1:16" ht="18" customHeight="1">
      <c r="A477" s="628" t="s">
        <v>678</v>
      </c>
      <c r="B477" s="45"/>
      <c r="C477" s="54"/>
      <c r="D477" s="54"/>
      <c r="E477" s="54"/>
      <c r="F477" s="54"/>
      <c r="G477" s="54"/>
      <c r="H477" s="54"/>
      <c r="I477" s="54"/>
      <c r="J477" s="54"/>
      <c r="K477" s="54"/>
      <c r="L477" s="54"/>
      <c r="M477" s="54"/>
      <c r="N477" s="54"/>
      <c r="O477" s="145"/>
    </row>
    <row r="478" spans="1:16" ht="18" customHeight="1">
      <c r="A478" s="628"/>
      <c r="B478" s="45"/>
      <c r="C478" s="47"/>
      <c r="D478" s="47"/>
      <c r="E478" s="47"/>
      <c r="F478" s="47"/>
      <c r="G478" s="47"/>
      <c r="H478" s="47"/>
      <c r="I478" s="47"/>
      <c r="J478" s="47"/>
      <c r="K478" s="47"/>
      <c r="L478" s="47"/>
      <c r="M478" s="47"/>
      <c r="N478" s="47"/>
      <c r="O478" s="637" t="s">
        <v>1321</v>
      </c>
      <c r="P478" s="172"/>
    </row>
    <row r="479" spans="1:16" ht="18">
      <c r="A479" s="595" t="s">
        <v>1115</v>
      </c>
      <c r="B479" s="48"/>
      <c r="C479" s="48"/>
      <c r="D479" s="48"/>
      <c r="E479" s="48"/>
      <c r="F479" s="48"/>
      <c r="G479" s="48"/>
      <c r="H479" s="48"/>
      <c r="I479" s="48"/>
      <c r="J479" s="48"/>
      <c r="K479" s="48"/>
      <c r="L479" s="48"/>
      <c r="M479" s="48"/>
      <c r="N479" s="48"/>
      <c r="O479" s="48"/>
    </row>
    <row r="480" spans="1:16">
      <c r="A480" s="622"/>
      <c r="B480" s="50"/>
      <c r="C480" s="49"/>
      <c r="D480" s="49"/>
      <c r="E480" s="49"/>
      <c r="F480" s="49"/>
      <c r="G480" s="49"/>
      <c r="H480" s="49"/>
      <c r="I480" s="49"/>
      <c r="J480" s="49"/>
      <c r="K480" s="49"/>
      <c r="L480" s="49"/>
      <c r="M480" s="49"/>
      <c r="N480" s="49"/>
      <c r="O480" s="148"/>
    </row>
    <row r="481" spans="1:15" ht="15.75">
      <c r="A481" s="633" t="s">
        <v>466</v>
      </c>
      <c r="B481" s="48"/>
      <c r="C481" s="48"/>
      <c r="D481" s="48"/>
      <c r="E481" s="48"/>
      <c r="F481" s="48"/>
      <c r="G481" s="48"/>
      <c r="H481" s="48"/>
      <c r="I481" s="48"/>
      <c r="J481" s="48"/>
      <c r="K481" s="48"/>
      <c r="L481" s="48"/>
      <c r="M481" s="48"/>
      <c r="N481" s="48"/>
      <c r="O481" s="147"/>
    </row>
    <row r="482" spans="1:15" ht="15.75">
      <c r="A482" s="633" t="s">
        <v>1066</v>
      </c>
      <c r="B482" s="48"/>
      <c r="C482" s="48"/>
      <c r="D482" s="48"/>
      <c r="E482" s="48"/>
      <c r="F482" s="48"/>
      <c r="G482" s="48"/>
      <c r="H482" s="48"/>
      <c r="I482" s="48"/>
      <c r="J482" s="48"/>
      <c r="K482" s="48"/>
      <c r="L482" s="48"/>
      <c r="M482" s="48"/>
      <c r="N482" s="48"/>
      <c r="O482" s="147"/>
    </row>
    <row r="483" spans="1:15">
      <c r="A483" s="148"/>
      <c r="B483" s="45"/>
      <c r="C483" s="54"/>
      <c r="D483" s="54"/>
      <c r="E483" s="54"/>
      <c r="F483" s="54"/>
      <c r="G483" s="54"/>
      <c r="H483" s="54"/>
      <c r="I483" s="54"/>
      <c r="J483" s="54"/>
      <c r="K483" s="54"/>
      <c r="L483" s="54"/>
      <c r="M483" s="54"/>
      <c r="N483" s="54"/>
      <c r="O483" s="145"/>
    </row>
    <row r="484" spans="1:15">
      <c r="A484" s="634"/>
      <c r="B484" s="2" t="s">
        <v>473</v>
      </c>
      <c r="C484" s="63" t="s">
        <v>593</v>
      </c>
      <c r="D484" s="63"/>
      <c r="E484" s="63"/>
      <c r="F484" s="63"/>
      <c r="G484" s="63"/>
      <c r="H484" s="63"/>
      <c r="I484" s="63"/>
      <c r="J484" s="63"/>
      <c r="K484" s="63"/>
      <c r="L484" s="63"/>
      <c r="M484" s="63"/>
      <c r="N484" s="63"/>
      <c r="O484" s="136"/>
    </row>
    <row r="485" spans="1:15">
      <c r="A485" s="635"/>
      <c r="B485" s="4" t="s">
        <v>474</v>
      </c>
      <c r="C485" s="3" t="s">
        <v>660</v>
      </c>
      <c r="D485" s="3"/>
      <c r="E485" s="57"/>
      <c r="F485" s="57"/>
      <c r="G485" s="3" t="s">
        <v>661</v>
      </c>
      <c r="H485" s="3"/>
      <c r="I485" s="3" t="s">
        <v>662</v>
      </c>
      <c r="J485" s="3" t="s">
        <v>663</v>
      </c>
      <c r="K485" s="3"/>
      <c r="L485" s="3" t="s">
        <v>664</v>
      </c>
      <c r="M485" s="3" t="s">
        <v>665</v>
      </c>
      <c r="N485" s="3"/>
      <c r="O485" s="124" t="s">
        <v>475</v>
      </c>
    </row>
    <row r="486" spans="1:15">
      <c r="A486" s="636"/>
      <c r="B486" s="15" t="s">
        <v>476</v>
      </c>
      <c r="C486" s="16" t="s">
        <v>667</v>
      </c>
      <c r="D486" s="16" t="s">
        <v>708</v>
      </c>
      <c r="E486" s="17" t="s">
        <v>709</v>
      </c>
      <c r="F486" s="17"/>
      <c r="G486" s="16" t="s">
        <v>668</v>
      </c>
      <c r="H486" s="16"/>
      <c r="I486" s="16" t="s">
        <v>667</v>
      </c>
      <c r="J486" s="16" t="s">
        <v>669</v>
      </c>
      <c r="K486" s="16"/>
      <c r="L486" s="16" t="s">
        <v>670</v>
      </c>
      <c r="M486" s="16" t="s">
        <v>671</v>
      </c>
      <c r="N486" s="16" t="s">
        <v>701</v>
      </c>
      <c r="O486" s="146" t="s">
        <v>15</v>
      </c>
    </row>
    <row r="487" spans="1:15">
      <c r="A487" s="149" t="s">
        <v>600</v>
      </c>
      <c r="B487" s="33">
        <f>+'[2]OLD Tables'!D68</f>
        <v>44171.575398780493</v>
      </c>
      <c r="C487" s="32">
        <f>IF($B487&gt;0,(GETPIVOTDATA(" New Retirement",'$ Pivot Table'!$A$3,"Category",13,"Category2","Technical Institutes"))/$B487)*100</f>
        <v>8.6142385489075597</v>
      </c>
      <c r="D487" s="32">
        <f>IF($B487&gt;0,(GETPIVOTDATA(" New Health",'$ Pivot Table'!$A$3,"Category",13,"Category2","Technical Institutes"))/$B487)*100</f>
        <v>15.057961627361284</v>
      </c>
      <c r="E487" s="32">
        <f>IF($B487&gt;0,(GETPIVOTDATA(" New Disability",'$ Pivot Table'!$A$3,"Category",13,"Category2","Technical Institutes"))/$B487)*100</f>
        <v>0</v>
      </c>
      <c r="F487" s="32"/>
      <c r="G487" s="32">
        <f>IF($B487&gt;0,(GETPIVOTDATA(" New Social Security",'$ Pivot Table'!$A$3,"Category",13,"Category2","Technical Institutes"))/$B487)*100</f>
        <v>6.1483283918922469</v>
      </c>
      <c r="H487" s="32"/>
      <c r="I487" s="32">
        <f>IF($B487&gt;0,(GETPIVOTDATA(" New Unemployment",'$ Pivot Table'!$A$3,"Category",13,"Category2","Technical Institutes"))/$B487)*100</f>
        <v>0.24496952072647055</v>
      </c>
      <c r="J487" s="32">
        <f>IF($B487&gt;0,(GETPIVOTDATA(" New Life Insurance",'$ Pivot Table'!$A$3,"Category",13,"Category2","Technical Institutes"))/$B487)*100</f>
        <v>3.2621237114001387</v>
      </c>
      <c r="K487" s="32"/>
      <c r="L487" s="32">
        <f>IF($B487&gt;0,(GETPIVOTDATA(" New Worker's Comp",'$ Pivot Table'!$A$3,"Category",13,"Category2","Technical Institutes"))/$B487)*100</f>
        <v>7.8372400860501776E-2</v>
      </c>
      <c r="M487" s="32">
        <f>IF($B487&gt;0,(GETPIVOTDATA(" New Tuition Plans",'$ Pivot Table'!$A$3,"Category",13,"Category2","Technical Institutes"))/$B487)*100</f>
        <v>1.0866716789396016</v>
      </c>
      <c r="N487" s="32">
        <f>IF($B487&gt;0,(GETPIVOTDATA(" New Other",'$ Pivot Table'!$A$3,"Category",13,"Category2","Technical Institutes"))/$B487)*100</f>
        <v>6.698771142156251</v>
      </c>
      <c r="O487" s="90">
        <f>IF($B487&gt;0,(GETPIVOTDATA(" New Total",'$ Pivot Table'!$A$3,"Category",13,"Category2","Technical Institutes"))/$B487)*100</f>
        <v>26.896954866892681</v>
      </c>
    </row>
    <row r="488" spans="1:15">
      <c r="A488" s="149"/>
      <c r="B488" s="31">
        <f>+'[3]OLD Tables 107-126'!D69</f>
        <v>0</v>
      </c>
      <c r="C488" s="32"/>
      <c r="D488" s="34"/>
      <c r="E488" s="32"/>
      <c r="F488" s="32"/>
      <c r="G488" s="32"/>
      <c r="H488" s="32"/>
      <c r="I488" s="32"/>
      <c r="J488" s="32"/>
      <c r="K488" s="32"/>
      <c r="L488" s="32"/>
      <c r="M488" s="32"/>
      <c r="N488" s="32"/>
      <c r="O488" s="90"/>
    </row>
    <row r="489" spans="1:15">
      <c r="A489" s="149" t="s">
        <v>479</v>
      </c>
      <c r="B489" s="617">
        <f>+'[2]OLD Tables'!D70</f>
        <v>53407.699217977526</v>
      </c>
      <c r="C489" s="32">
        <f>IF($B489&gt;0,(GETPIVOTDATA(" New Retirement",'$ Pivot Table'!$A$3,"State","AL","Category",13,"Category2","Technical Institutes"))/$B489)*100</f>
        <v>12.306063432361986</v>
      </c>
      <c r="D489" s="32">
        <f>IF($B489&gt;0,(GETPIVOTDATA(" New Health",'$ Pivot Table'!$A$3,"State","AL","Category",13,"Category2","Technical Institutes"))/$B489)*100</f>
        <v>16.896440273844334</v>
      </c>
      <c r="E489" s="32">
        <f>IF($B489&gt;0,(GETPIVOTDATA(" New Disability",'$ Pivot Table'!$A$3,"State","AL","Category",13,"Category2","Technical Institutes"))/$B489)*100</f>
        <v>0</v>
      </c>
      <c r="F489" s="32"/>
      <c r="G489" s="32">
        <f>IF($B489&gt;0,(GETPIVOTDATA(" New Social Security",'$ Pivot Table'!$A$3,"State","AL","Category",13,"Category2","Technical Institutes"))/$B489)*100</f>
        <v>7.1752177036711569</v>
      </c>
      <c r="H489" s="32"/>
      <c r="I489" s="32">
        <f>IF($B489&gt;0,(GETPIVOTDATA(" New Unemployment",'$ Pivot Table'!$A$3,"State","AL","Category",13,"Category2","Technical Institutes"))/$B489)*100</f>
        <v>0</v>
      </c>
      <c r="J489" s="32">
        <f>IF($B489&gt;0,(GETPIVOTDATA(" New Life Insurance",'$ Pivot Table'!$A$3,"State","AL","Category",13,"Category2","Technical Institutes"))/$B489)*100</f>
        <v>13.824667432059435</v>
      </c>
      <c r="K489" s="32"/>
      <c r="L489" s="32">
        <f>IF($B489&gt;0,(GETPIVOTDATA(" New Worker's Comp",'$ Pivot Table'!$A$3,"State","AL","Category",13,"Category2","Technical Institutes"))/$B489)*100</f>
        <v>0</v>
      </c>
      <c r="M489" s="32">
        <f>IF($B489&gt;0,(GETPIVOTDATA(" New Tuition Plans",'$ Pivot Table'!$A$3,"State","AL","Category",13,"Category2","Technical Institutes"))/$B489)*100</f>
        <v>0.89874682307682618</v>
      </c>
      <c r="N489" s="32">
        <f>IF($B489&gt;0,(GETPIVOTDATA(" New Other",'$ Pivot Table'!$A$3,"State","AL","Category",13,"Category2","Technical Institutes"))/$B489)*100</f>
        <v>6.7406011730761968</v>
      </c>
      <c r="O489" s="90">
        <f>IF($B489&gt;0,(GETPIVOTDATA(" New Total",'$ Pivot Table'!$A$3,"State","AL","Category",13,"Category2","Technical Institutes"))/$B489)*100</f>
        <v>35.836011696944816</v>
      </c>
    </row>
    <row r="490" spans="1:15">
      <c r="A490" s="149" t="s">
        <v>480</v>
      </c>
      <c r="B490" s="617">
        <f>+'[2]OLD Tables'!D71</f>
        <v>0</v>
      </c>
      <c r="C490" s="32">
        <f>IF($B490&gt;0,(GETPIVOTDATA(" New Retirement",'$ Pivot Table'!$A$3,"State","AR","Category",13,"Category2","Technical Institutes"))/$B490)*100</f>
        <v>0</v>
      </c>
      <c r="D490" s="32">
        <f>IF($B490&gt;0,(GETPIVOTDATA(" New Health",'$ Pivot Table'!$A$3,"State","AR","Category",13,"Category2","Technical Institutes"))/$B490)*100</f>
        <v>0</v>
      </c>
      <c r="E490" s="32">
        <f>IF($B490&gt;0,(GETPIVOTDATA(" New Disability",'$ Pivot Table'!$A$3,"State","AR","Category",13,"Category2","Technical Institutes"))/$B490)*100</f>
        <v>0</v>
      </c>
      <c r="F490" s="32"/>
      <c r="G490" s="32">
        <f>IF($B490&gt;0,(GETPIVOTDATA(" New Social Security",'$ Pivot Table'!$A$3,"State","AR","Category",13,"Category2","Technical Institutes"))/$B490)*100</f>
        <v>0</v>
      </c>
      <c r="H490" s="32"/>
      <c r="I490" s="32">
        <f>IF($B490&gt;0,(GETPIVOTDATA(" New Unemployment",'$ Pivot Table'!$A$3,"State","AR","Category",13,"Category2","Technical Institutes"))/$B490)*100</f>
        <v>0</v>
      </c>
      <c r="J490" s="32">
        <f>IF($B490&gt;0,(GETPIVOTDATA(" New Life Insurance",'$ Pivot Table'!$A$3,"State","AR","Category",13,"Category2","Technical Institutes"))/$B490)*100</f>
        <v>0</v>
      </c>
      <c r="K490" s="32"/>
      <c r="L490" s="32">
        <f>IF($B490&gt;0,(GETPIVOTDATA(" New Worker's Comp",'$ Pivot Table'!$A$3,"State","AR","Category",13,"Category2","Technical Institutes"))/$B490)*100</f>
        <v>0</v>
      </c>
      <c r="M490" s="32">
        <f>IF($B490&gt;0,(GETPIVOTDATA(" New Tuition Plans",'$ Pivot Table'!$A$3,"State","AR","Category",13,"Category2","Technical Institutes"))/$B490)*100</f>
        <v>0</v>
      </c>
      <c r="N490" s="32">
        <f>IF($B490&gt;0,(GETPIVOTDATA(" New Other",'$ Pivot Table'!$A$3,"State","AR","Category",13,"Category2","Technical Institutes"))/$B490)*100</f>
        <v>0</v>
      </c>
      <c r="O490" s="90">
        <f>IF($B490&gt;0,(GETPIVOTDATA(" New Total",'$ Pivot Table'!$A$3,"State","AR","Category",13,"Category2","Technical Institutes"))/$B490)*100</f>
        <v>0</v>
      </c>
    </row>
    <row r="491" spans="1:15">
      <c r="A491" s="149" t="s">
        <v>494</v>
      </c>
      <c r="B491" s="617">
        <f>+'[2]OLD Tables'!D72</f>
        <v>0</v>
      </c>
      <c r="C491" s="32">
        <f>IF($B491&gt;0,(GETPIVOTDATA(" New Retirement",'$ Pivot Table'!$A$3,"State","DE","Category",13,"Category2","Technical Institutes"))/$B491)*100</f>
        <v>0</v>
      </c>
      <c r="D491" s="32">
        <f>IF($B491&gt;0,(GETPIVOTDATA(" New Health",'$ Pivot Table'!$A$3,"State","DE","Category",13,"Category2","Technical Institutes"))/$B491)*100</f>
        <v>0</v>
      </c>
      <c r="E491" s="32">
        <f>IF($B491&gt;0,(GETPIVOTDATA(" New Disability",'$ Pivot Table'!$A$3,"State","DE","Category",13,"Category2","Technical Institutes"))/$B491)*100</f>
        <v>0</v>
      </c>
      <c r="F491" s="32"/>
      <c r="G491" s="32">
        <f>IF($B491&gt;0,(GETPIVOTDATA(" New Social Security",'$ Pivot Table'!$A$3,"State","DE","Category",13,"Category2","Technical Institutes"))/$B491)*100</f>
        <v>0</v>
      </c>
      <c r="H491" s="32"/>
      <c r="I491" s="32">
        <f>IF($B491&gt;0,(GETPIVOTDATA(" New Unemployment",'$ Pivot Table'!$A$3,"State","DE","Category",13,"Category2","Technical Institutes"))/$B491)*100</f>
        <v>0</v>
      </c>
      <c r="J491" s="32">
        <f>IF($B491&gt;0,(GETPIVOTDATA(" New Life Insurance",'$ Pivot Table'!$A$3,"State","DE","Category",13,"Category2","Technical Institutes"))/$B491)*100</f>
        <v>0</v>
      </c>
      <c r="K491" s="32"/>
      <c r="L491" s="32">
        <f>IF($B491&gt;0,(GETPIVOTDATA(" New Worker's Comp",'$ Pivot Table'!$A$3,"State","DE","Category",13,"Category2","Technical Institutes"))/$B491)*100</f>
        <v>0</v>
      </c>
      <c r="M491" s="32">
        <f>IF($B491&gt;0,(GETPIVOTDATA(" New Tuition Plans",'$ Pivot Table'!$A$3,"State","DE","Category",13,"Category2","Technical Institutes"))/$B491)*100</f>
        <v>0</v>
      </c>
      <c r="N491" s="32">
        <f>IF($B491&gt;0,(GETPIVOTDATA(" New Other",'$ Pivot Table'!$A$3,"State","DE","Category",13,"Category2","Technical Institutes"))/$B491)*100</f>
        <v>0</v>
      </c>
      <c r="O491" s="90">
        <f>IF($B491&gt;0,(GETPIVOTDATA(" New Total",'$ Pivot Table'!$A$3,"State","DE","Category",13,"Category2","Technical Institutes"))/$B491)*100</f>
        <v>0</v>
      </c>
    </row>
    <row r="492" spans="1:15">
      <c r="A492" s="149" t="s">
        <v>481</v>
      </c>
      <c r="B492" s="617">
        <f>+'[2]OLD Tables'!D73</f>
        <v>0</v>
      </c>
      <c r="C492" s="32">
        <f>IF($B492&gt;0,(GETPIVOTDATA(" New Retirement",'$ Pivot Table'!$A$3,"State","FL","Category",13,"Category2","Technical Institutes"))/$B492)*100</f>
        <v>0</v>
      </c>
      <c r="D492" s="32">
        <f>IF($B492&gt;0,(GETPIVOTDATA(" New Health",'$ Pivot Table'!$A$3,"State","FL","Category",13,"Category2","Technical Institutes"))/$B492)*100</f>
        <v>0</v>
      </c>
      <c r="E492" s="32">
        <f>IF($B492&gt;0,(GETPIVOTDATA(" New Disability",'$ Pivot Table'!$A$3,"State","FL","Category",13,"Category2","Technical Institutes"))/$B492)*100</f>
        <v>0</v>
      </c>
      <c r="F492" s="32"/>
      <c r="G492" s="32">
        <f>IF($B492&gt;0,(GETPIVOTDATA(" New Social Security",'$ Pivot Table'!$A$3,"State","FL","Category",13,"Category2","Technical Institutes"))/$B492)*100</f>
        <v>0</v>
      </c>
      <c r="H492" s="32"/>
      <c r="I492" s="32">
        <f>IF($B492&gt;0,(GETPIVOTDATA(" New Unemployment",'$ Pivot Table'!$A$3,"State","FL","Category",13,"Category2","Technical Institutes"))/$B492)*100</f>
        <v>0</v>
      </c>
      <c r="J492" s="32">
        <f>IF($B492&gt;0,(GETPIVOTDATA(" New Life Insurance",'$ Pivot Table'!$A$3,"State","FL","Category",13,"Category2","Technical Institutes"))/$B492)*100</f>
        <v>0</v>
      </c>
      <c r="K492" s="32"/>
      <c r="L492" s="32">
        <f>IF($B492&gt;0,(GETPIVOTDATA(" New Worker's Comp",'$ Pivot Table'!$A$3,"State","FL","Category",13,"Category2","Technical Institutes"))/$B492)*100</f>
        <v>0</v>
      </c>
      <c r="M492" s="32">
        <f>IF($B492&gt;0,(GETPIVOTDATA(" New Tuition Plans",'$ Pivot Table'!$A$3,"State","FL","Category",13,"Category2","Technical Institutes"))/$B492)*100</f>
        <v>0</v>
      </c>
      <c r="N492" s="32">
        <f>IF($B492&gt;0,(GETPIVOTDATA(" New Other",'$ Pivot Table'!$A$3,"State","FL","Category",13,"Category2","Technical Institutes"))/$B492)*100</f>
        <v>0</v>
      </c>
      <c r="O492" s="90">
        <f>IF($B492&gt;0,(GETPIVOTDATA(" New Total",'$ Pivot Table'!$A$3,"State","FL","Category",13,"Category2","Technical Institutes"))/$B492)*100</f>
        <v>0</v>
      </c>
    </row>
    <row r="493" spans="1:15">
      <c r="A493" s="149"/>
      <c r="B493" s="617">
        <f>+'[2]OLD Tables'!D74</f>
        <v>0</v>
      </c>
      <c r="C493" s="32"/>
      <c r="D493" s="34"/>
      <c r="E493" s="32"/>
      <c r="F493" s="32"/>
      <c r="G493" s="32"/>
      <c r="H493" s="32"/>
      <c r="I493" s="32"/>
      <c r="J493" s="32"/>
      <c r="K493" s="32"/>
      <c r="L493" s="32"/>
      <c r="M493" s="32"/>
      <c r="N493" s="32"/>
      <c r="O493" s="90"/>
    </row>
    <row r="494" spans="1:15">
      <c r="A494" s="149" t="s">
        <v>482</v>
      </c>
      <c r="B494" s="617">
        <f>+'[2]OLD Tables'!D75</f>
        <v>37568.506393333337</v>
      </c>
      <c r="C494" s="32">
        <f>IF($B494&gt;0,(GETPIVOTDATA(" New Retirement",'$ Pivot Table'!$A$3,"State","GA","Category",13,"Category2","Technical Institutes"))/$B494)*100</f>
        <v>10.160748807928719</v>
      </c>
      <c r="D494" s="32">
        <f>IF($B494&gt;0,(GETPIVOTDATA(" New Health",'$ Pivot Table'!$A$3,"State","GA","Category",13,"Category2","Technical Institutes"))/$B494)*100</f>
        <v>30.908408933359823</v>
      </c>
      <c r="E494" s="32">
        <f>IF($B494&gt;0,(GETPIVOTDATA(" New Disability",'$ Pivot Table'!$A$3,"State","GA","Category",13,"Category2","Technical Institutes"))/$B494)*100</f>
        <v>0</v>
      </c>
      <c r="F494" s="32"/>
      <c r="G494" s="90">
        <f>IF($B494&gt;0,(GETPIVOTDATA(" New Social Security",'$ Pivot Table'!$A$3,"State","GA","Category",13,"Category2","Technical Institutes"))/$B494)*100</f>
        <v>1.4332005162753916</v>
      </c>
      <c r="H494" s="91">
        <v>2</v>
      </c>
      <c r="I494" s="32">
        <f>IF($B494&gt;0,(GETPIVOTDATA(" New Unemployment",'$ Pivot Table'!$A$3,"State","GA","Category",13,"Category2","Technical Institutes"))/$B494)*100</f>
        <v>0.28802554836442962</v>
      </c>
      <c r="J494" s="32">
        <f>IF($B494&gt;0,(GETPIVOTDATA(" New Life Insurance",'$ Pivot Table'!$A$3,"State","GA","Category",13,"Category2","Technical Institutes"))/$B494)*100</f>
        <v>0</v>
      </c>
      <c r="K494" s="32"/>
      <c r="L494" s="32">
        <f>IF($B494&gt;0,(GETPIVOTDATA(" New Worker's Comp",'$ Pivot Table'!$A$3,"State","GA","Category",13,"Category2","Technical Institutes"))/$B494)*100</f>
        <v>9.2147193118314055E-2</v>
      </c>
      <c r="M494" s="32">
        <f>IF($B494&gt;0,(GETPIVOTDATA(" New Tuition Plans",'$ Pivot Table'!$A$3,"State","GA","Category",13,"Category2","Technical Institutes"))/$B494)*100</f>
        <v>0</v>
      </c>
      <c r="N494" s="32">
        <f>IF($B494&gt;0,(GETPIVOTDATA(" New Other",'$ Pivot Table'!$A$3,"State","GA","Category",13,"Category2","Technical Institutes"))/$B494)*100</f>
        <v>0</v>
      </c>
      <c r="O494" s="90">
        <f>IF($B494&gt;0,(GETPIVOTDATA(" New Total",'$ Pivot Table'!$A$3,"State","GA","Category",13,"Category2","Technical Institutes"))/$B494)*100</f>
        <v>37.210109627790338</v>
      </c>
    </row>
    <row r="495" spans="1:15">
      <c r="A495" s="149" t="s">
        <v>483</v>
      </c>
      <c r="B495" s="617">
        <f>+'[2]OLD Tables'!D76</f>
        <v>0</v>
      </c>
      <c r="C495" s="32">
        <f>IF($B495&gt;0,(GETPIVOTDATA(" New Retirement",'$ Pivot Table'!$A$3,"State","KY","Category",13,"Category2","Technical Institutes"))/$B495)*100</f>
        <v>0</v>
      </c>
      <c r="D495" s="32">
        <f>IF($B495&gt;0,(GETPIVOTDATA(" New Health",'$ Pivot Table'!$A$3,"State","KY","Category",13,"Category2","Technical Institutes"))/$B495)*100</f>
        <v>0</v>
      </c>
      <c r="E495" s="32">
        <f>IF($B495&gt;0,(GETPIVOTDATA(" New Disability",'$ Pivot Table'!$A$3,"State","KY","Category",13,"Category2","Technical Institutes"))/$B495)*100</f>
        <v>0</v>
      </c>
      <c r="F495" s="32"/>
      <c r="G495" s="90">
        <f>IF($B495&gt;0,(GETPIVOTDATA(" New Social Security",'$ Pivot Table'!$A$3,"State","KY","Category",13,"Category2","Technical Institutes"))/$B495)*100</f>
        <v>0</v>
      </c>
      <c r="H495" s="90"/>
      <c r="I495" s="32">
        <f>IF($B495&gt;0,(GETPIVOTDATA(" New Unemployment",'$ Pivot Table'!$A$3,"State","KY","Category",13,"Category2","Technical Institutes"))/$B495)*100</f>
        <v>0</v>
      </c>
      <c r="J495" s="56">
        <f>IF($B495&gt;0,(GETPIVOTDATA(" New Life Insurance",'$ Pivot Table'!$A$3,"State","KY","Category",13,"Category2","Technical Institutes"))/$B495)*100</f>
        <v>0</v>
      </c>
      <c r="K495" s="32"/>
      <c r="L495" s="32">
        <f>IF($B495&gt;0,(GETPIVOTDATA(" New Worker's Comp",'$ Pivot Table'!$A$3,"State","KY","Category",13,"Category2","Technical Institutes"))/$B495)*100</f>
        <v>0</v>
      </c>
      <c r="M495" s="32">
        <f>IF($B495&gt;0,(GETPIVOTDATA(" New Tuition Plans",'$ Pivot Table'!$A$3,"State","KY","Category",13,"Category2","Technical Institutes"))/$B495)*100</f>
        <v>0</v>
      </c>
      <c r="N495" s="32">
        <f>IF($B495&gt;0,(GETPIVOTDATA(" New Other",'$ Pivot Table'!$A$3,"State","KY","Category",13,"Category2","Technical Institutes"))/$B495)*100</f>
        <v>0</v>
      </c>
      <c r="O495" s="90">
        <f>IF($B495&gt;0,(GETPIVOTDATA(" New Total",'$ Pivot Table'!$A$3,"State","KY","Category",13,"Category2","Technical Institutes"))/$B495)*100</f>
        <v>0</v>
      </c>
    </row>
    <row r="496" spans="1:15">
      <c r="A496" s="149" t="s">
        <v>484</v>
      </c>
      <c r="B496" s="617">
        <f>+'[2]OLD Tables'!D77</f>
        <v>37662.391721951222</v>
      </c>
      <c r="C496" s="32">
        <f>IF($B496&gt;0,(GETPIVOTDATA(" New Retirement",'$ Pivot Table'!$A$3,"State","LA","Category",13,"Category2","Technical Institutes"))/$B496)*100</f>
        <v>14.632578650771563</v>
      </c>
      <c r="D496" s="32">
        <f>IF($B496&gt;0,(GETPIVOTDATA(" New Health",'$ Pivot Table'!$A$3,"State","LA","Category",13,"Category2","Technical Institutes"))/$B496)*100</f>
        <v>15.984023430282285</v>
      </c>
      <c r="E496" s="32">
        <f>IF($B496&gt;0,(GETPIVOTDATA(" New Disability",'$ Pivot Table'!$A$3,"State","LA","Category",13,"Category2","Technical Institutes"))/$B496)*100</f>
        <v>0</v>
      </c>
      <c r="F496" s="32"/>
      <c r="G496" s="90">
        <f>IF($B496&gt;0,(GETPIVOTDATA(" New Social Security",'$ Pivot Table'!$A$3,"State","LA","Category",13,"Category2","Technical Institutes"))/$B496)*100</f>
        <v>1.3313829713787009</v>
      </c>
      <c r="H496" s="91">
        <v>2</v>
      </c>
      <c r="I496" s="32">
        <f>IF($B496&gt;0,(GETPIVOTDATA(" New Unemployment",'$ Pivot Table'!$A$3,"State","LA","Category",13,"Category2","Technical Institutes"))/$B496)*100</f>
        <v>0</v>
      </c>
      <c r="J496" s="32">
        <f>IF($B496&gt;0,(GETPIVOTDATA(" New Life Insurance",'$ Pivot Table'!$A$3,"State","LA","Category",13,"Category2","Technical Institutes"))/$B496)*100</f>
        <v>0.50415723750635266</v>
      </c>
      <c r="K496" s="32"/>
      <c r="L496" s="32">
        <f>IF($B496&gt;0,(GETPIVOTDATA(" New Worker's Comp",'$ Pivot Table'!$A$3,"State","LA","Category",13,"Category2","Technical Institutes"))/$B496)*100</f>
        <v>0</v>
      </c>
      <c r="M496" s="32">
        <f>IF($B496&gt;0,(GETPIVOTDATA(" New Tuition Plans",'$ Pivot Table'!$A$3,"State","LA","Category",13,"Category2","Technical Institutes"))/$B496)*100</f>
        <v>0</v>
      </c>
      <c r="N496" s="32">
        <f>IF($B496&gt;0,(GETPIVOTDATA(" New Other",'$ Pivot Table'!$A$3,"State","LA","Category",13,"Category2","Technical Institutes"))/$B496)*100</f>
        <v>0</v>
      </c>
      <c r="O496" s="90">
        <f>IF($B496&gt;0,(GETPIVOTDATA(" New Total",'$ Pivot Table'!$A$3,"State","LA","Category",13,"Category2","Technical Institutes"))/$B496)*100</f>
        <v>26.09436950028693</v>
      </c>
    </row>
    <row r="497" spans="1:16">
      <c r="A497" s="149" t="s">
        <v>485</v>
      </c>
      <c r="B497" s="617">
        <f>+'[2]OLD Tables'!D78</f>
        <v>0</v>
      </c>
      <c r="C497" s="32">
        <f>IF($B497&gt;0,(GETPIVOTDATA(" New Retirement",'$ Pivot Table'!$A$3,"State","MD","Category",13,"Category2","Technical Institutes"))/$B497)*100</f>
        <v>0</v>
      </c>
      <c r="D497" s="32">
        <f>IF($B497&gt;0,(GETPIVOTDATA(" New Health",'$ Pivot Table'!$A$3,"State","MD","Category",13,"Category2","Technical Institutes"))/$B497)*100</f>
        <v>0</v>
      </c>
      <c r="E497" s="32">
        <f>IF($B497&gt;0,(GETPIVOTDATA(" New Disability",'$ Pivot Table'!$A$3,"State","MD","Category",13,"Category2","Technical Institutes"))/$B497)*100</f>
        <v>0</v>
      </c>
      <c r="F497" s="32"/>
      <c r="G497" s="32">
        <f>IF($B497&gt;0,(GETPIVOTDATA(" New Social Security",'$ Pivot Table'!$A$3,"State","MD","Category",13,"Category2","Technical Institutes"))/$B497)*100</f>
        <v>0</v>
      </c>
      <c r="H497" s="32"/>
      <c r="I497" s="32">
        <f>IF($B497&gt;0,(GETPIVOTDATA(" New Unemployment",'$ Pivot Table'!$A$3,"State","MD","Category",13,"Category2","Technical Institutes"))/$B497)*100</f>
        <v>0</v>
      </c>
      <c r="J497" s="32">
        <f>IF($B497&gt;0,(GETPIVOTDATA(" New Life Insurance",'$ Pivot Table'!$A$3,"State","MD","Category",13,"Category2","Technical Institutes"))/$B497)*100</f>
        <v>0</v>
      </c>
      <c r="K497" s="32"/>
      <c r="L497" s="32">
        <f>IF($B497&gt;0,(GETPIVOTDATA(" New Worker's Comp",'$ Pivot Table'!$A$3,"State","MD","Category",13,"Category2","Technical Institutes"))/$B497)*100</f>
        <v>0</v>
      </c>
      <c r="M497" s="32">
        <f>IF($B497&gt;0,(GETPIVOTDATA(" New Tuition Plans",'$ Pivot Table'!$A$3,"State","MD","Category",13,"Category2","Technical Institutes"))/$B497)*100</f>
        <v>0</v>
      </c>
      <c r="N497" s="32">
        <f>IF($B497&gt;0,(GETPIVOTDATA(" New Other",'$ Pivot Table'!$A$3,"State","MD","Category",13,"Category2","Technical Institutes"))/$B497)*100</f>
        <v>0</v>
      </c>
      <c r="O497" s="90">
        <f>IF($B497&gt;0,(GETPIVOTDATA(" New Total",'$ Pivot Table'!$A$3,"State","MD","Category",13,"Category2","Technical Institutes"))/$B497)*100</f>
        <v>0</v>
      </c>
    </row>
    <row r="498" spans="1:16">
      <c r="A498" s="149"/>
      <c r="B498" s="617">
        <f>+'[2]OLD Tables'!D79</f>
        <v>0</v>
      </c>
      <c r="C498" s="32"/>
      <c r="D498" s="34"/>
      <c r="E498" s="32"/>
      <c r="F498" s="32"/>
      <c r="G498" s="32"/>
      <c r="H498" s="32"/>
      <c r="I498" s="32"/>
      <c r="J498" s="32"/>
      <c r="K498" s="32"/>
      <c r="L498" s="32"/>
      <c r="M498" s="32"/>
      <c r="N498" s="32"/>
      <c r="O498" s="90"/>
    </row>
    <row r="499" spans="1:16">
      <c r="A499" s="149" t="s">
        <v>486</v>
      </c>
      <c r="B499" s="617">
        <f>+'[2]OLD Tables'!D80</f>
        <v>0</v>
      </c>
      <c r="C499" s="32">
        <f>IF($B499&gt;0,(GETPIVOTDATA(" New Retirement",'$ Pivot Table'!$A$3,"State","MS","Category",13,"Category2","Technical Institutes"))/$B499)*100</f>
        <v>0</v>
      </c>
      <c r="D499" s="32">
        <f>IF($B499&gt;0,(GETPIVOTDATA(" New Health",'$ Pivot Table'!$A$3,"State","MS","Category",13,"Category2","Technical Institutes"))/$B499)*100</f>
        <v>0</v>
      </c>
      <c r="E499" s="32">
        <f>IF($B499&gt;0,(GETPIVOTDATA(" New Disability",'$ Pivot Table'!$A$3,"State","MS","Category",13,"Category2","Technical Institutes"))/$B499)*100</f>
        <v>0</v>
      </c>
      <c r="F499" s="32"/>
      <c r="G499" s="32">
        <f>IF($B499&gt;0,(GETPIVOTDATA(" New Social Security",'$ Pivot Table'!$A$3,"State","MS","Category",13,"Category2","Technical Institutes"))/$B499)*100</f>
        <v>0</v>
      </c>
      <c r="H499" s="32"/>
      <c r="I499" s="32">
        <f>IF($B499&gt;0,(GETPIVOTDATA(" New Unemployment",'$ Pivot Table'!$A$3,"State","MS","Category",13,"Category2","Technical Institutes"))/$B499)*100</f>
        <v>0</v>
      </c>
      <c r="J499" s="32">
        <f>IF($B499&gt;0,(GETPIVOTDATA(" New Life Insurance",'$ Pivot Table'!$A$3,"State","MS","Category",13,"Category2","Technical Institutes"))/$B499)*100</f>
        <v>0</v>
      </c>
      <c r="K499" s="32"/>
      <c r="L499" s="32">
        <f>IF($B499&gt;0,(GETPIVOTDATA(" New Worker's Comp",'$ Pivot Table'!$A$3,"State","MS","Category",13,"Category2","Technical Institutes"))/$B499)*100</f>
        <v>0</v>
      </c>
      <c r="M499" s="32">
        <f>IF($B499&gt;0,(GETPIVOTDATA(" New Tuition Plans",'$ Pivot Table'!$A$3,"State","MS","Category",13,"Category2","Technical Institutes"))/$B499)*100</f>
        <v>0</v>
      </c>
      <c r="N499" s="32">
        <f>IF($B499&gt;0,(GETPIVOTDATA(" New Other",'$ Pivot Table'!$A$3,"State","MS","Category",13,"Category2","Technical Institutes"))/$B499)*100</f>
        <v>0</v>
      </c>
      <c r="O499" s="90">
        <f>IF($B499&gt;0,(GETPIVOTDATA(" New Total",'$ Pivot Table'!$A$3,"State","MS","Category",13,"Category2","Technical Institutes"))/$B499)*100</f>
        <v>0</v>
      </c>
    </row>
    <row r="500" spans="1:16">
      <c r="A500" s="149" t="s">
        <v>487</v>
      </c>
      <c r="B500" s="617">
        <f>+'[2]OLD Tables'!D81</f>
        <v>0</v>
      </c>
      <c r="C500" s="32">
        <f>IF($B500&gt;0,(GETPIVOTDATA(" New Retirement",'$ Pivot Table'!$A$3,"State","NC","Category",13,"Category2","Technical Institutes"))/$B500)*100</f>
        <v>0</v>
      </c>
      <c r="D500" s="32">
        <f>IF($B500&gt;0,(GETPIVOTDATA(" New Health",'$ Pivot Table'!$A$3,"State","NC","Category",13,"Category2","Technical Institutes"))/$B500)*100</f>
        <v>0</v>
      </c>
      <c r="E500" s="32">
        <f>IF($B500&gt;0,(GETPIVOTDATA(" New Disability",'$ Pivot Table'!$A$3,"State","NC","Category",13,"Category2","Technical Institutes"))/$B500)*100</f>
        <v>0</v>
      </c>
      <c r="F500" s="32"/>
      <c r="G500" s="32">
        <f>IF($B500&gt;0,(GETPIVOTDATA(" New Social Security",'$ Pivot Table'!$A$3,"State","NC","Category",13,"Category2","Technical Institutes"))/$B500)*100</f>
        <v>0</v>
      </c>
      <c r="H500" s="32"/>
      <c r="I500" s="32">
        <f>IF($B500&gt;0,(GETPIVOTDATA(" New Unemployment",'$ Pivot Table'!$A$3,"State","NC","Category",13,"Category2","Technical Institutes"))/$B500)*100</f>
        <v>0</v>
      </c>
      <c r="J500" s="32">
        <f>IF($B500&gt;0,(GETPIVOTDATA(" New Life Insurance",'$ Pivot Table'!$A$3,"State","NC","Category",13,"Category2","Technical Institutes"))/$B500)*100</f>
        <v>0</v>
      </c>
      <c r="K500" s="32"/>
      <c r="L500" s="32">
        <f>IF($B500&gt;0,(GETPIVOTDATA(" New Worker's Comp",'$ Pivot Table'!$A$3,"State","NC","Category",13,"Category2","Technical Institutes"))/$B500)*100</f>
        <v>0</v>
      </c>
      <c r="M500" s="32">
        <f>IF($B500&gt;0,(GETPIVOTDATA(" New Tuition Plans",'$ Pivot Table'!$A$3,"State","NC","Category",13,"Category2","Technical Institutes"))/$B500)*100</f>
        <v>0</v>
      </c>
      <c r="N500" s="32">
        <f>IF($B500&gt;0,(GETPIVOTDATA(" New Other",'$ Pivot Table'!$A$3,"State","NC","Category",13,"Category2","Technical Institutes"))/$B500)*100</f>
        <v>0</v>
      </c>
      <c r="O500" s="90">
        <f>IF($B500&gt;0,(GETPIVOTDATA(" New Total",'$ Pivot Table'!$A$3,"State","NC","Category",13,"Category2","Technical Institutes"))/$B500)*100</f>
        <v>0</v>
      </c>
    </row>
    <row r="501" spans="1:16">
      <c r="A501" s="149" t="s">
        <v>488</v>
      </c>
      <c r="B501" s="617">
        <f>+'[2]OLD Tables'!D82</f>
        <v>48010.763139877301</v>
      </c>
      <c r="C501" s="32">
        <f>IF($B501&gt;0,(GETPIVOTDATA(" New Retirement",'$ Pivot Table'!$A$3,"State","OK","Category",13,"Category2","Technical Institutes"))/$B501)*100</f>
        <v>7.2864360742054917</v>
      </c>
      <c r="D501" s="32">
        <f>IF($B501&gt;0,(GETPIVOTDATA(" New Health",'$ Pivot Table'!$A$3,"State","OK","Category",13,"Category2","Technical Institutes"))/$B501)*100</f>
        <v>11.857804256549423</v>
      </c>
      <c r="E501" s="32">
        <f>IF($B501&gt;0,(GETPIVOTDATA(" New Disability",'$ Pivot Table'!$A$3,"State","OK","Category",13,"Category2","Technical Institutes"))/$B501)*100</f>
        <v>0</v>
      </c>
      <c r="F501" s="32"/>
      <c r="G501" s="32">
        <f>IF($B501&gt;0,(GETPIVOTDATA(" New Social Security",'$ Pivot Table'!$A$3,"State","OK","Category",13,"Category2","Technical Institutes"))/$B501)*100</f>
        <v>0</v>
      </c>
      <c r="H501" s="32"/>
      <c r="I501" s="32">
        <f>IF($B501&gt;0,(GETPIVOTDATA(" New Unemployment",'$ Pivot Table'!$A$3,"State","OK","Category",13,"Category2","Technical Institutes"))/$B501)*100</f>
        <v>0</v>
      </c>
      <c r="J501" s="32">
        <f>IF($B501&gt;0,(GETPIVOTDATA(" New Life Insurance",'$ Pivot Table'!$A$3,"State","OK","Category",13,"Category2","Technical Institutes"))/$B501)*100</f>
        <v>0</v>
      </c>
      <c r="K501" s="32"/>
      <c r="L501" s="32">
        <f>IF($B501&gt;0,(GETPIVOTDATA(" New Worker's Comp",'$ Pivot Table'!$A$3,"State","OK","Category",13,"Category2","Technical Institutes"))/$B501)*100</f>
        <v>0</v>
      </c>
      <c r="M501" s="32">
        <f>IF($B501&gt;0,(GETPIVOTDATA(" New Tuition Plans",'$ Pivot Table'!$A$3,"State","OK","Category",13,"Category2","Technical Institutes"))/$B501)*100</f>
        <v>0</v>
      </c>
      <c r="N501" s="32">
        <f>IF($B501&gt;0,(GETPIVOTDATA(" New Other",'$ Pivot Table'!$A$3,"State","OK","Category",13,"Category2","Technical Institutes"))/$B501)*100</f>
        <v>6.1562468719113435</v>
      </c>
      <c r="O501" s="90">
        <f>IF($B501&gt;0,(GETPIVOTDATA(" New Total",'$ Pivot Table'!$A$3,"State","OK","Category",13,"Category2","Technical Institutes"))/$B501)*100</f>
        <v>22.34304169669344</v>
      </c>
    </row>
    <row r="502" spans="1:16">
      <c r="A502" s="149" t="s">
        <v>489</v>
      </c>
      <c r="B502" s="617">
        <f>+'[2]OLD Tables'!D83</f>
        <v>0</v>
      </c>
      <c r="C502" s="32">
        <f>IF($B502&gt;0,(GETPIVOTDATA(" New Retirement",'$ Pivot Table'!$A$3,"State","SC","Category",13,"Category2","Technical Institutes"))/$B502)*100</f>
        <v>0</v>
      </c>
      <c r="D502" s="32">
        <f>IF($B502&gt;0,(GETPIVOTDATA(" New Health",'$ Pivot Table'!$A$3,"State","SC","Category",13,"Category2","Technical Institutes"))/$B502)*100</f>
        <v>0</v>
      </c>
      <c r="E502" s="32">
        <f>IF($B502&gt;0,(GETPIVOTDATA(" New Disability",'$ Pivot Table'!$A$3,"State","SC","Category",13,"Category2","Technical Institutes"))/$B502)*100</f>
        <v>0</v>
      </c>
      <c r="F502" s="32"/>
      <c r="G502" s="32">
        <f>IF($B502&gt;0,(GETPIVOTDATA(" New Social Security",'$ Pivot Table'!$A$3,"State","SC","Category",13,"Category2","Technical Institutes"))/$B502)*100</f>
        <v>0</v>
      </c>
      <c r="H502" s="32"/>
      <c r="I502" s="32">
        <f>IF($B502&gt;0,(GETPIVOTDATA(" New Unemployment",'$ Pivot Table'!$A$3,"State","SC","Category",13,"Category2","Technical Institutes"))/$B502)*100</f>
        <v>0</v>
      </c>
      <c r="J502" s="32">
        <f>IF($B502&gt;0,(GETPIVOTDATA(" New Life Insurance",'$ Pivot Table'!$A$3,"State","SC","Category",13,"Category2","Technical Institutes"))/$B502)*100</f>
        <v>0</v>
      </c>
      <c r="K502" s="32"/>
      <c r="L502" s="32">
        <f>IF($B502&gt;0,(GETPIVOTDATA(" New Worker's Comp",'$ Pivot Table'!$A$3,"State","SC","Category",13,"Category2","Technical Institutes"))/$B502)*100</f>
        <v>0</v>
      </c>
      <c r="M502" s="32">
        <f>IF($B502&gt;0,(GETPIVOTDATA(" New Tuition Plans",'$ Pivot Table'!$A$3,"State","SC","Category",13,"Category2","Technical Institutes"))/$B502)*100</f>
        <v>0</v>
      </c>
      <c r="N502" s="32">
        <f>IF($B502&gt;0,(GETPIVOTDATA(" New Other",'$ Pivot Table'!$A$3,"State","SC","Category",13,"Category2","Technical Institutes"))/$B502)*100</f>
        <v>0</v>
      </c>
      <c r="O502" s="90">
        <f>IF($B502&gt;0,(GETPIVOTDATA(" New Total",'$ Pivot Table'!$A$3,"State","SC","Category",13,"Category2","Technical Institutes"))/$B502)*100</f>
        <v>0</v>
      </c>
    </row>
    <row r="503" spans="1:16">
      <c r="A503" s="149"/>
      <c r="B503" s="617">
        <f>+'[2]OLD Tables'!D84</f>
        <v>0</v>
      </c>
      <c r="C503" s="32"/>
      <c r="D503" s="34"/>
      <c r="E503" s="32"/>
      <c r="F503" s="32"/>
      <c r="G503" s="32"/>
      <c r="H503" s="32"/>
      <c r="I503" s="32"/>
      <c r="J503" s="32"/>
      <c r="K503" s="32"/>
      <c r="L503" s="32"/>
      <c r="M503" s="32"/>
      <c r="N503" s="32"/>
      <c r="O503" s="90"/>
    </row>
    <row r="504" spans="1:16">
      <c r="A504" s="149" t="s">
        <v>490</v>
      </c>
      <c r="B504" s="617">
        <f>+'[2]OLD Tables'!D85</f>
        <v>37213.522648303377</v>
      </c>
      <c r="C504" s="28">
        <f>IF($B504&gt;0,(GETPIVOTDATA(" New Retirement",'$ Pivot Table'!$A$3,"State","TN","Category",13,"Category2","Technical Institutes"))/$B504)*100</f>
        <v>9.9171523195407882</v>
      </c>
      <c r="D504" s="28">
        <f>IF($B504&gt;0,(GETPIVOTDATA(" New Health",'$ Pivot Table'!$A$3,"State","TN","Category",13,"Category2","Technical Institutes"))/$B504)*100</f>
        <v>19.749824888617475</v>
      </c>
      <c r="E504" s="28">
        <f>IF($B504&gt;0,(GETPIVOTDATA(" New Disability",'$ Pivot Table'!$A$3,"State","TN","Category",13,"Category2","Technical Institutes"))/$B504)*100</f>
        <v>0</v>
      </c>
      <c r="F504" s="28"/>
      <c r="G504" s="28">
        <f>IF($B504&gt;0,(GETPIVOTDATA(" New Social Security",'$ Pivot Table'!$A$3,"State","TN","Category",13,"Category2","Technical Institutes"))/$B504)*100</f>
        <v>7.5866215244487014</v>
      </c>
      <c r="H504" s="28"/>
      <c r="I504" s="28">
        <f>IF($B504&gt;0,(GETPIVOTDATA(" New Unemployment",'$ Pivot Table'!$A$3,"State","TN","Category",13,"Category2","Technical Institutes"))/$B504)*100</f>
        <v>0</v>
      </c>
      <c r="J504" s="28">
        <f>IF($B504&gt;0,(GETPIVOTDATA(" New Life Insurance",'$ Pivot Table'!$A$3,"State","TN","Category",13,"Category2","Technical Institutes"))/$B504)*100</f>
        <v>0</v>
      </c>
      <c r="K504" s="28"/>
      <c r="L504" s="28">
        <f>IF($B504&gt;0,(GETPIVOTDATA(" New Worker's Comp",'$ Pivot Table'!$A$3,"State","TN","Category",13,"Category2","Technical Institutes"))/$B504)*100</f>
        <v>0</v>
      </c>
      <c r="M504" s="28">
        <f>IF($B504&gt;0,(GETPIVOTDATA(" New Tuition Plans",'$ Pivot Table'!$A$3,"State","TN","Category",13,"Category2","Technical Institutes"))/$B504)*100</f>
        <v>0</v>
      </c>
      <c r="N504" s="28">
        <f>IF($B504&gt;0,(GETPIVOTDATA(" New Other",'$ Pivot Table'!$A$3,"State","TN","Category",13,"Category2","Technical Institutes"))/$B504)*100</f>
        <v>0</v>
      </c>
      <c r="O504" s="86">
        <f>IF($B504&gt;0,(GETPIVOTDATA(" New Total",'$ Pivot Table'!$A$3,"State","TN","Category",13,"Category2","Technical Institutes"))/$B504)*100</f>
        <v>33.662257710839242</v>
      </c>
    </row>
    <row r="505" spans="1:16">
      <c r="A505" s="149" t="s">
        <v>491</v>
      </c>
      <c r="B505" s="617">
        <f>+'[2]OLD Tables'!D86</f>
        <v>0</v>
      </c>
      <c r="C505" s="28">
        <f>IF($B505&gt;0,(GETPIVOTDATA(" New Retirement",'$ Pivot Table'!$A$3,"State","TX","Category",13,"Category2","Technical Institutes"))/$B505)*100</f>
        <v>0</v>
      </c>
      <c r="D505" s="28">
        <f>IF($B505&gt;0,(GETPIVOTDATA(" New Health",'$ Pivot Table'!$A$3,"State","TX","Category",13,"Category2","Technical Institutes"))/$B505)*100</f>
        <v>0</v>
      </c>
      <c r="E505" s="28">
        <f>IF($B505&gt;0,(GETPIVOTDATA(" New Disability",'$ Pivot Table'!$A$3,"State","TX","Category",13,"Category2","Technical Institutes"))/$B505)*100</f>
        <v>0</v>
      </c>
      <c r="F505" s="28"/>
      <c r="G505" s="28">
        <f>IF($B505&gt;0,(GETPIVOTDATA(" New Social Security",'$ Pivot Table'!$A$3,"State","TX","Category",13,"Category2","Technical Institutes"))/$B505)*100</f>
        <v>0</v>
      </c>
      <c r="H505" s="28"/>
      <c r="I505" s="28">
        <f>IF($B505&gt;0,(GETPIVOTDATA(" New Unemployment",'$ Pivot Table'!$A$3,"State","TX","Category",13,"Category2","Technical Institutes"))/$B505)*100</f>
        <v>0</v>
      </c>
      <c r="J505" s="28">
        <f>IF($B505&gt;0,(GETPIVOTDATA(" New Life Insurance",'$ Pivot Table'!$A$3,"State","TX","Category",13,"Category2","Technical Institutes"))/$B505)*100</f>
        <v>0</v>
      </c>
      <c r="K505" s="28"/>
      <c r="L505" s="28">
        <f>IF($B505&gt;0,(GETPIVOTDATA(" New Worker's Comp",'$ Pivot Table'!$A$3,"State","TX","Category",13,"Category2","Technical Institutes"))/$B505)*100</f>
        <v>0</v>
      </c>
      <c r="M505" s="28">
        <f>IF($B505&gt;0,(GETPIVOTDATA(" New Tuition Plans",'$ Pivot Table'!$A$3,"State","TX","Category",13,"Category2","Technical Institutes"))/$B505)*100</f>
        <v>0</v>
      </c>
      <c r="N505" s="28">
        <f>IF($B505&gt;0,(GETPIVOTDATA(" New Other",'$ Pivot Table'!$A$3,"State","TX","Category",13,"Category2","Technical Institutes"))/$B505)*100</f>
        <v>0</v>
      </c>
      <c r="O505" s="86">
        <f>IF($B505&gt;0,(GETPIVOTDATA(" New Total",'$ Pivot Table'!$A$3,"State","TX","Category",13,"Category2","Technical Institutes"))/$B505)*100</f>
        <v>0</v>
      </c>
    </row>
    <row r="506" spans="1:16">
      <c r="A506" s="149" t="s">
        <v>492</v>
      </c>
      <c r="B506" s="617">
        <f>+'[2]OLD Tables'!D87</f>
        <v>0</v>
      </c>
      <c r="C506" s="28">
        <f>IF($B506&gt;0,(GETPIVOTDATA(" New Retirement",'$ Pivot Table'!$A$3,"State","VA","Category",13,"Category2","Technical Institutes"))/$B506)*100</f>
        <v>0</v>
      </c>
      <c r="D506" s="28">
        <f>IF($B506&gt;0,(GETPIVOTDATA(" New Health",'$ Pivot Table'!$A$3,"State","VA","Category",13,"Category2","Technical Institutes"))/$B506)*100</f>
        <v>0</v>
      </c>
      <c r="E506" s="28">
        <f>IF($B506&gt;0,(GETPIVOTDATA(" New Disability",'$ Pivot Table'!$A$3,"State","VA","Category",13,"Category2","Technical Institutes"))/$B506)*100</f>
        <v>0</v>
      </c>
      <c r="F506" s="28"/>
      <c r="G506" s="28">
        <f>IF($B506&gt;0,(GETPIVOTDATA(" New Social Security",'$ Pivot Table'!$A$3,"State","VA","Category",13,"Category2","Technical Institutes"))/$B506)*100</f>
        <v>0</v>
      </c>
      <c r="H506" s="28"/>
      <c r="I506" s="28">
        <f>IF($B506&gt;0,(GETPIVOTDATA(" New Unemployment",'$ Pivot Table'!$A$3,"State","VA","Category",13,"Category2","Technical Institutes"))/$B506)*100</f>
        <v>0</v>
      </c>
      <c r="J506" s="28">
        <f>IF($B506&gt;0,(GETPIVOTDATA(" New Life Insurance",'$ Pivot Table'!$A$3,"State","VA","Category",13,"Category2","Technical Institutes"))/$B506)*100</f>
        <v>0</v>
      </c>
      <c r="K506" s="28"/>
      <c r="L506" s="28">
        <f>IF($B506&gt;0,(GETPIVOTDATA(" New Worker's Comp",'$ Pivot Table'!$A$3,"State","VA","Category",13,"Category2","Technical Institutes"))/$B506)*100</f>
        <v>0</v>
      </c>
      <c r="M506" s="28">
        <f>IF($B506&gt;0,(GETPIVOTDATA(" New Tuition Plans",'$ Pivot Table'!$A$3,"State","VA","Category",13,"Category2","Technical Institutes"))/$B506)*100</f>
        <v>0</v>
      </c>
      <c r="N506" s="28">
        <f>IF($B506&gt;0,(GETPIVOTDATA(" New Other",'$ Pivot Table'!$A$3,"State","VA","Category",13,"Category2","Technical Institutes"))/$B506)*100</f>
        <v>0</v>
      </c>
      <c r="O506" s="86">
        <f>IF($B506&gt;0,(GETPIVOTDATA(" New Total",'$ Pivot Table'!$A$3,"State","VA","Category",13,"Category2","Technical Institutes"))/$B506)*100</f>
        <v>0</v>
      </c>
    </row>
    <row r="507" spans="1:16">
      <c r="A507" s="630" t="s">
        <v>493</v>
      </c>
      <c r="B507" s="618">
        <f>+'[2]OLD Tables'!D88</f>
        <v>0</v>
      </c>
      <c r="C507" s="30">
        <f>IF($B507&gt;0,(GETPIVOTDATA(" New Retirement",'$ Pivot Table'!$A$3,"State","WV","Category",13,"Category2","Technical Institutes"))/$B507)*100</f>
        <v>0</v>
      </c>
      <c r="D507" s="30">
        <f>IF($B507&gt;0,(GETPIVOTDATA(" New Health",'$ Pivot Table'!$A$3,"State","WV","Category",13,"Category2","Technical Institutes"))/$B507)*100</f>
        <v>0</v>
      </c>
      <c r="E507" s="30">
        <f>IF($B507&gt;0,(GETPIVOTDATA(" New Disability",'$ Pivot Table'!$A$3,"State","WV","Category",13,"Category2","Technical Institutes"))/$B507)*100</f>
        <v>0</v>
      </c>
      <c r="F507" s="30"/>
      <c r="G507" s="30">
        <f>IF($B507&gt;0,(GETPIVOTDATA(" New Social Security",'$ Pivot Table'!$A$3,"State","WV","Category",13,"Category2","Technical Institutes"))/$B507)*100</f>
        <v>0</v>
      </c>
      <c r="H507" s="30"/>
      <c r="I507" s="30">
        <f>IF($B507&gt;0,(GETPIVOTDATA(" New Unemployment",'$ Pivot Table'!$A$3,"State","WV","Category",13,"Category2","Technical Institutes"))/$B507)*100</f>
        <v>0</v>
      </c>
      <c r="J507" s="30">
        <f>IF($B507&gt;0,(GETPIVOTDATA(" New Life Insurance",'$ Pivot Table'!$A$3,"State","WV","Category",13,"Category2","Technical Institutes"))/$B507)*100</f>
        <v>0</v>
      </c>
      <c r="K507" s="30"/>
      <c r="L507" s="30">
        <f>IF($B507&gt;0,(GETPIVOTDATA(" New Worker's Comp",'$ Pivot Table'!$A$3,"State","WV","Category",13,"Category2","Technical Institutes"))/$B507)*100</f>
        <v>0</v>
      </c>
      <c r="M507" s="30">
        <f>IF($B507&gt;0,(GETPIVOTDATA(" New Tuition Plans",'$ Pivot Table'!$A$3,"State","WV","Category",13,"Category2","Technical Institutes"))/$B507)*100</f>
        <v>0</v>
      </c>
      <c r="N507" s="30">
        <f>IF($B507&gt;0,(GETPIVOTDATA(" New Other",'$ Pivot Table'!$A$3,"State","WV","Category",13,"Category2","Technical Institutes"))/$B507)*100</f>
        <v>0</v>
      </c>
      <c r="O507" s="115">
        <f>IF($B507&gt;0,(GETPIVOTDATA(" New Total",'$ Pivot Table'!$A$3,"State","WV","Category",13,"Category2","Technical Institutes"))/$B507)*100</f>
        <v>0</v>
      </c>
    </row>
    <row r="508" spans="1:16" ht="18" customHeight="1">
      <c r="A508" s="628" t="s">
        <v>14</v>
      </c>
      <c r="B508" s="45"/>
      <c r="C508" s="47"/>
      <c r="D508" s="47"/>
      <c r="E508" s="47"/>
      <c r="F508" s="47"/>
      <c r="G508" s="47"/>
      <c r="H508" s="47"/>
      <c r="I508" s="47"/>
      <c r="J508" s="47"/>
      <c r="K508" s="47"/>
      <c r="L508" s="47"/>
      <c r="M508" s="47"/>
      <c r="N508" s="47"/>
      <c r="O508" s="77"/>
    </row>
    <row r="509" spans="1:16" ht="18" customHeight="1">
      <c r="A509" s="628" t="s">
        <v>678</v>
      </c>
      <c r="B509" s="45"/>
      <c r="C509" s="54"/>
      <c r="D509" s="54"/>
      <c r="E509" s="54"/>
      <c r="F509" s="54"/>
      <c r="G509" s="54"/>
      <c r="H509" s="54"/>
      <c r="I509" s="54"/>
      <c r="J509" s="54"/>
      <c r="K509" s="54"/>
      <c r="L509" s="54"/>
      <c r="M509" s="54"/>
      <c r="N509" s="54"/>
      <c r="O509" s="145"/>
    </row>
    <row r="510" spans="1:16" ht="18" customHeight="1">
      <c r="A510" s="628"/>
      <c r="B510" s="45"/>
      <c r="C510" s="47"/>
      <c r="D510" s="47"/>
      <c r="E510" s="47"/>
      <c r="F510" s="47"/>
      <c r="G510" s="47"/>
      <c r="H510" s="47"/>
      <c r="I510" s="47"/>
      <c r="J510" s="47"/>
      <c r="K510" s="47"/>
      <c r="L510" s="47"/>
      <c r="M510" s="47"/>
      <c r="N510" s="47"/>
      <c r="O510" s="637" t="s">
        <v>1321</v>
      </c>
      <c r="P510" s="172"/>
    </row>
    <row r="511" spans="1:16" ht="18">
      <c r="A511" s="595" t="s">
        <v>1116</v>
      </c>
      <c r="B511" s="48"/>
      <c r="C511" s="48"/>
      <c r="D511" s="48"/>
      <c r="E511" s="48"/>
      <c r="F511" s="48"/>
      <c r="G511" s="48"/>
      <c r="H511" s="48"/>
      <c r="I511" s="48"/>
      <c r="J511" s="48"/>
      <c r="K511" s="48"/>
      <c r="L511" s="48"/>
      <c r="M511" s="48"/>
      <c r="N511" s="48"/>
      <c r="O511" s="48"/>
    </row>
    <row r="512" spans="1:16">
      <c r="A512" s="622"/>
      <c r="B512" s="50"/>
      <c r="C512" s="49"/>
      <c r="D512" s="49"/>
      <c r="E512" s="49"/>
      <c r="F512" s="49"/>
      <c r="G512" s="49"/>
      <c r="H512" s="49"/>
      <c r="I512" s="49"/>
      <c r="J512" s="49"/>
      <c r="K512" s="49"/>
      <c r="L512" s="49"/>
      <c r="M512" s="49"/>
      <c r="N512" s="49"/>
      <c r="O512" s="148"/>
    </row>
    <row r="513" spans="1:15" ht="15.75">
      <c r="A513" s="633" t="s">
        <v>466</v>
      </c>
      <c r="B513" s="48"/>
      <c r="C513" s="48"/>
      <c r="D513" s="48"/>
      <c r="E513" s="48"/>
      <c r="F513" s="48"/>
      <c r="G513" s="48"/>
      <c r="H513" s="48"/>
      <c r="I513" s="48"/>
      <c r="J513" s="48"/>
      <c r="K513" s="48"/>
      <c r="L513" s="48"/>
      <c r="M513" s="48"/>
      <c r="N513" s="48"/>
      <c r="O513" s="147"/>
    </row>
    <row r="514" spans="1:15" ht="15.75">
      <c r="A514" s="633" t="s">
        <v>1067</v>
      </c>
      <c r="B514" s="48"/>
      <c r="C514" s="48"/>
      <c r="D514" s="48"/>
      <c r="E514" s="48"/>
      <c r="F514" s="48"/>
      <c r="G514" s="48"/>
      <c r="H514" s="48"/>
      <c r="I514" s="48"/>
      <c r="J514" s="48"/>
      <c r="K514" s="48"/>
      <c r="L514" s="48"/>
      <c r="M514" s="48"/>
      <c r="N514" s="48"/>
      <c r="O514" s="147"/>
    </row>
    <row r="515" spans="1:15">
      <c r="A515" s="148"/>
      <c r="B515" s="45"/>
      <c r="C515" s="54"/>
      <c r="D515" s="54"/>
      <c r="E515" s="54"/>
      <c r="F515" s="54"/>
      <c r="G515" s="54"/>
      <c r="H515" s="54"/>
      <c r="I515" s="54"/>
      <c r="J515" s="54"/>
      <c r="K515" s="54"/>
      <c r="L515" s="54"/>
      <c r="M515" s="54"/>
      <c r="N515" s="54"/>
      <c r="O515" s="145"/>
    </row>
    <row r="516" spans="1:15">
      <c r="A516" s="634"/>
      <c r="B516" s="2" t="s">
        <v>473</v>
      </c>
      <c r="C516" s="63" t="s">
        <v>593</v>
      </c>
      <c r="D516" s="63"/>
      <c r="E516" s="63"/>
      <c r="F516" s="63"/>
      <c r="G516" s="63"/>
      <c r="H516" s="63"/>
      <c r="I516" s="63"/>
      <c r="J516" s="63"/>
      <c r="K516" s="63"/>
      <c r="L516" s="63"/>
      <c r="M516" s="63"/>
      <c r="N516" s="63"/>
      <c r="O516" s="136"/>
    </row>
    <row r="517" spans="1:15">
      <c r="A517" s="635"/>
      <c r="B517" s="4" t="s">
        <v>474</v>
      </c>
      <c r="C517" s="3" t="s">
        <v>660</v>
      </c>
      <c r="D517" s="3"/>
      <c r="E517" s="57"/>
      <c r="F517" s="57"/>
      <c r="G517" s="3" t="s">
        <v>661</v>
      </c>
      <c r="H517" s="3"/>
      <c r="I517" s="3" t="s">
        <v>662</v>
      </c>
      <c r="J517" s="3" t="s">
        <v>663</v>
      </c>
      <c r="K517" s="3"/>
      <c r="L517" s="3" t="s">
        <v>664</v>
      </c>
      <c r="M517" s="3" t="s">
        <v>665</v>
      </c>
      <c r="N517" s="3"/>
      <c r="O517" s="124" t="s">
        <v>475</v>
      </c>
    </row>
    <row r="518" spans="1:15">
      <c r="A518" s="636"/>
      <c r="B518" s="15" t="s">
        <v>476</v>
      </c>
      <c r="C518" s="16" t="s">
        <v>667</v>
      </c>
      <c r="D518" s="16" t="s">
        <v>708</v>
      </c>
      <c r="E518" s="17" t="s">
        <v>709</v>
      </c>
      <c r="F518" s="17"/>
      <c r="G518" s="16" t="s">
        <v>668</v>
      </c>
      <c r="H518" s="16"/>
      <c r="I518" s="16" t="s">
        <v>667</v>
      </c>
      <c r="J518" s="16" t="s">
        <v>669</v>
      </c>
      <c r="K518" s="16"/>
      <c r="L518" s="16" t="s">
        <v>670</v>
      </c>
      <c r="M518" s="16" t="s">
        <v>671</v>
      </c>
      <c r="N518" s="16" t="s">
        <v>701</v>
      </c>
      <c r="O518" s="146" t="s">
        <v>15</v>
      </c>
    </row>
    <row r="519" spans="1:15">
      <c r="A519" s="149" t="s">
        <v>600</v>
      </c>
      <c r="B519" s="33">
        <f>+'[2]OLD Tables'!F68</f>
        <v>40200.47929486166</v>
      </c>
      <c r="C519" s="32">
        <f>IF($B519&gt;0,(GETPIVOTDATA(" New Retirement",'$ Pivot Table'!$A$3,"Category",14,"Category2","Technical Institutes"))/$B519)*100</f>
        <v>15.057190220076569</v>
      </c>
      <c r="D519" s="32">
        <f>IF($B519&gt;0,(GETPIVOTDATA(" New Health",'$ Pivot Table'!$A$3,"Category",14,"Category2","Technical Institutes"))/$B519)*100</f>
        <v>14.651056696737536</v>
      </c>
      <c r="E519" s="32">
        <f>IF($B519&gt;0,(GETPIVOTDATA(" New Disability",'$ Pivot Table'!$A$3,"Category",14,"Category2","Technical Institutes"))/$B519)*100</f>
        <v>0</v>
      </c>
      <c r="F519" s="32"/>
      <c r="G519" s="32">
        <f>IF($B519&gt;0,(GETPIVOTDATA(" New Social Security",'$ Pivot Table'!$A$3,"Category",14,"Category2","Technical Institutes"))/$B519)*100</f>
        <v>1.3204729390976215</v>
      </c>
      <c r="H519" s="32"/>
      <c r="I519" s="32">
        <f>IF($B519&gt;0,(GETPIVOTDATA(" New Unemployment",'$ Pivot Table'!$A$3,"Category",14,"Category2","Technical Institutes"))/$B519)*100</f>
        <v>0</v>
      </c>
      <c r="J519" s="32">
        <f>IF($B519&gt;0,(GETPIVOTDATA(" New Life Insurance",'$ Pivot Table'!$A$3,"Category",14,"Category2","Technical Institutes"))/$B519)*100</f>
        <v>0.60355652699314821</v>
      </c>
      <c r="K519" s="32"/>
      <c r="L519" s="32">
        <f>IF($B519&gt;0,(GETPIVOTDATA(" New Worker's Comp",'$ Pivot Table'!$A$3,"Category",14,"Category2","Technical Institutes"))/$B519)*100</f>
        <v>0.32157726043958818</v>
      </c>
      <c r="M519" s="32">
        <f>IF($B519&gt;0,(GETPIVOTDATA(" New Tuition Plans",'$ Pivot Table'!$A$3,"Category",14,"Category2","Technical Institutes"))/$B519)*100</f>
        <v>0</v>
      </c>
      <c r="N519" s="32">
        <f>IF($B519&gt;0,(GETPIVOTDATA(" New Other",'$ Pivot Table'!$A$3,"Category",14,"Category2","Technical Institutes"))/$B519)*100</f>
        <v>0</v>
      </c>
      <c r="O519" s="90">
        <f>IF($B519&gt;0,(GETPIVOTDATA(" New Total",'$ Pivot Table'!$A$3,"Category",14,"Category2","Technical Institutes"))/$B519)*100</f>
        <v>24.930225319708722</v>
      </c>
    </row>
    <row r="520" spans="1:15">
      <c r="A520" s="149"/>
      <c r="B520" s="31">
        <f>+'[3]OLD Tables 107-126'!F69</f>
        <v>0</v>
      </c>
      <c r="C520" s="32"/>
      <c r="D520" s="34"/>
      <c r="E520" s="32"/>
      <c r="F520" s="32"/>
      <c r="G520" s="32"/>
      <c r="H520" s="32"/>
      <c r="I520" s="32"/>
      <c r="J520" s="32"/>
      <c r="K520" s="32"/>
      <c r="L520" s="32"/>
      <c r="M520" s="32"/>
      <c r="N520" s="32"/>
      <c r="O520" s="90"/>
    </row>
    <row r="521" spans="1:15">
      <c r="A521" s="149" t="s">
        <v>479</v>
      </c>
      <c r="B521" s="617">
        <f>+'[2]OLD Tables'!F70</f>
        <v>0</v>
      </c>
      <c r="C521" s="32">
        <f>IF($B521&gt;0,(GETPIVOTDATA(" New Retirement",'$ Pivot Table'!$A$3,"State","AL","Category",14,"Category2","Technical Institutes"))/$B521)*100</f>
        <v>0</v>
      </c>
      <c r="D521" s="32">
        <f>IF($B521&gt;0,(GETPIVOTDATA(" New Health",'$ Pivot Table'!$A$3,"State","AL","Category",14,"Category2","Technical Institutes"))/$B521)*100</f>
        <v>0</v>
      </c>
      <c r="E521" s="32">
        <f>IF($B521&gt;0,(GETPIVOTDATA(" New Disability",'$ Pivot Table'!$A$3,"State","AL","Category",14,"Category2","Technical Institutes"))/$B521)*100</f>
        <v>0</v>
      </c>
      <c r="F521" s="32"/>
      <c r="G521" s="32">
        <f>IF($B521&gt;0,(GETPIVOTDATA(" New Social Security",'$ Pivot Table'!$A$3,"State","AL","Category",14,"Category2","Technical Institutes"))/$B521)*100</f>
        <v>0</v>
      </c>
      <c r="H521" s="32"/>
      <c r="I521" s="32">
        <f>IF($B521&gt;0,(GETPIVOTDATA(" New Unemployment",'$ Pivot Table'!$A$3,"State","AL","Category",14,"Category2","Technical Institutes"))/$B521)*100</f>
        <v>0</v>
      </c>
      <c r="J521" s="32">
        <f>IF($B521&gt;0,(GETPIVOTDATA(" New Life Insurance",'$ Pivot Table'!$A$3,"State","AL","Category",14,"Category2","Technical Institutes"))/$B521)*100</f>
        <v>0</v>
      </c>
      <c r="K521" s="32"/>
      <c r="L521" s="32">
        <f>IF($B521&gt;0,(GETPIVOTDATA(" New Worker's Comp",'$ Pivot Table'!$A$3,"State","AL","Category",14,"Category2","Technical Institutes"))/$B521)*100</f>
        <v>0</v>
      </c>
      <c r="M521" s="32">
        <f>IF($B521&gt;0,(GETPIVOTDATA(" New Tuition Plans",'$ Pivot Table'!$A$3,"State","AL","Category",14,"Category2","Technical Institutes"))/$B521)*100</f>
        <v>0</v>
      </c>
      <c r="N521" s="32">
        <f>IF($B521&gt;0,(GETPIVOTDATA(" New Other",'$ Pivot Table'!$A$3,"State","AL","Category",14,"Category2","Technical Institutes"))/$B521)*100</f>
        <v>0</v>
      </c>
      <c r="O521" s="90">
        <f>IF($B521&gt;0,(GETPIVOTDATA(" New Total",'$ Pivot Table'!$A$3,"State","AL","Category",14,"Category2","Technical Institutes"))/$B521)*100</f>
        <v>0</v>
      </c>
    </row>
    <row r="522" spans="1:15">
      <c r="A522" s="149" t="s">
        <v>480</v>
      </c>
      <c r="B522" s="617">
        <f>+'[2]OLD Tables'!F71</f>
        <v>0</v>
      </c>
      <c r="C522" s="32">
        <f>IF($B522&gt;0,(GETPIVOTDATA(" New Retirement",'$ Pivot Table'!$A$3,"State","AR","Category",14,"Category2","Technical Institutes"))/$B522)*100</f>
        <v>0</v>
      </c>
      <c r="D522" s="32">
        <f>IF($B522&gt;0,(GETPIVOTDATA(" New Health",'$ Pivot Table'!$A$3,"State","AR","Category",14,"Category2","Technical Institutes"))/$B522)*100</f>
        <v>0</v>
      </c>
      <c r="E522" s="32">
        <f>IF($B522&gt;0,(GETPIVOTDATA(" New Disability",'$ Pivot Table'!$A$3,"State","AR","Category",14,"Category2","Technical Institutes"))/$B522)*100</f>
        <v>0</v>
      </c>
      <c r="F522" s="32"/>
      <c r="G522" s="32">
        <f>IF($B522&gt;0,(GETPIVOTDATA(" New Social Security",'$ Pivot Table'!$A$3,"State","AR","Category",14,"Category2","Technical Institutes"))/$B522)*100</f>
        <v>0</v>
      </c>
      <c r="H522" s="32"/>
      <c r="I522" s="32">
        <f>IF($B522&gt;0,(GETPIVOTDATA(" New Unemployment",'$ Pivot Table'!$A$3,"State","AR","Category",14,"Category2","Technical Institutes"))/$B522)*100</f>
        <v>0</v>
      </c>
      <c r="J522" s="32">
        <f>IF($B522&gt;0,(GETPIVOTDATA(" New Life Insurance",'$ Pivot Table'!$A$3,"State","AR","Category",14,"Category2","Technical Institutes"))/$B522)*100</f>
        <v>0</v>
      </c>
      <c r="K522" s="32"/>
      <c r="L522" s="32">
        <f>IF($B522&gt;0,(GETPIVOTDATA(" New Worker's Comp",'$ Pivot Table'!$A$3,"State","AR","Category",14,"Category2","Technical Institutes"))/$B522)*100</f>
        <v>0</v>
      </c>
      <c r="M522" s="32">
        <f>IF($B522&gt;0,(GETPIVOTDATA(" New Tuition Plans",'$ Pivot Table'!$A$3,"State","AR","Category",14,"Category2","Technical Institutes"))/$B522)*100</f>
        <v>0</v>
      </c>
      <c r="N522" s="32">
        <f>IF($B522&gt;0,(GETPIVOTDATA(" New Other",'$ Pivot Table'!$A$3,"State","AR","Category",14,"Category2","Technical Institutes"))/$B522)*100</f>
        <v>0</v>
      </c>
      <c r="O522" s="90">
        <f>IF($B522&gt;0,(GETPIVOTDATA(" New Total",'$ Pivot Table'!$A$3,"State","AR","Category",14,"Category2","Technical Institutes"))/$B522)*100</f>
        <v>0</v>
      </c>
    </row>
    <row r="523" spans="1:15">
      <c r="A523" s="149" t="s">
        <v>494</v>
      </c>
      <c r="B523" s="617">
        <f>+'[2]OLD Tables'!F72</f>
        <v>0</v>
      </c>
      <c r="C523" s="32">
        <f>IF($B523&gt;0,(GETPIVOTDATA(" New Retirement",'$ Pivot Table'!$A$3,"State","DE","Category",14,"Category2","Technical Institutes"))/$B523)*100</f>
        <v>0</v>
      </c>
      <c r="D523" s="32">
        <f>IF($B523&gt;0,(GETPIVOTDATA(" New Health",'$ Pivot Table'!$A$3,"State","DE","Category",14,"Category2","Technical Institutes"))/$B523)*100</f>
        <v>0</v>
      </c>
      <c r="E523" s="32">
        <f>IF($B523&gt;0,(GETPIVOTDATA(" New Disability",'$ Pivot Table'!$A$3,"State","DE","Category",14,"Category2","Technical Institutes"))/$B523)*100</f>
        <v>0</v>
      </c>
      <c r="F523" s="32"/>
      <c r="G523" s="32">
        <f>IF($B523&gt;0,(GETPIVOTDATA(" New Social Security",'$ Pivot Table'!$A$3,"State","DE","Category",14,"Category2","Technical Institutes"))/$B523)*100</f>
        <v>0</v>
      </c>
      <c r="H523" s="32"/>
      <c r="I523" s="32">
        <f>IF($B523&gt;0,(GETPIVOTDATA(" New Unemployment",'$ Pivot Table'!$A$3,"State","DE","Category",14,"Category2","Technical Institutes"))/$B523)*100</f>
        <v>0</v>
      </c>
      <c r="J523" s="32">
        <f>IF($B523&gt;0,(GETPIVOTDATA(" New Life Insurance",'$ Pivot Table'!$A$3,"State","DE","Category",14,"Category2","Technical Institutes"))/$B523)*100</f>
        <v>0</v>
      </c>
      <c r="K523" s="32"/>
      <c r="L523" s="32">
        <f>IF($B523&gt;0,(GETPIVOTDATA(" New Worker's Comp",'$ Pivot Table'!$A$3,"State","DE","Category",14,"Category2","Technical Institutes"))/$B523)*100</f>
        <v>0</v>
      </c>
      <c r="M523" s="32">
        <f>IF($B523&gt;0,(GETPIVOTDATA(" New Tuition Plans",'$ Pivot Table'!$A$3,"State","DE","Category",14,"Category2","Technical Institutes"))/$B523)*100</f>
        <v>0</v>
      </c>
      <c r="N523" s="32">
        <f>IF($B523&gt;0,(GETPIVOTDATA(" New Other",'$ Pivot Table'!$A$3,"State","DE","Category",14,"Category2","Technical Institutes"))/$B523)*100</f>
        <v>0</v>
      </c>
      <c r="O523" s="90">
        <f>IF($B523&gt;0,(GETPIVOTDATA(" New Total",'$ Pivot Table'!$A$3,"State","DE","Category",14,"Category2","Technical Institutes"))/$B523)*100</f>
        <v>0</v>
      </c>
    </row>
    <row r="524" spans="1:15">
      <c r="A524" s="149" t="s">
        <v>481</v>
      </c>
      <c r="B524" s="617">
        <f>+'[2]OLD Tables'!F73</f>
        <v>0</v>
      </c>
      <c r="C524" s="32">
        <f>IF($B524&gt;0,(GETPIVOTDATA(" New Retirement",'$ Pivot Table'!$A$3,"State","FL","Category",14,"Category2","Technical Institutes"))/$B524)*100</f>
        <v>0</v>
      </c>
      <c r="D524" s="32">
        <f>IF($B524&gt;0,(GETPIVOTDATA(" New Health",'$ Pivot Table'!$A$3,"State","FL","Category",14,"Category2","Technical Institutes"))/$B524)*100</f>
        <v>0</v>
      </c>
      <c r="E524" s="32">
        <f>IF($B524&gt;0,(GETPIVOTDATA(" New Disability",'$ Pivot Table'!$A$3,"State","FL","Category",14,"Category2","Technical Institutes"))/$B524)*100</f>
        <v>0</v>
      </c>
      <c r="F524" s="32"/>
      <c r="G524" s="32">
        <f>IF($B524&gt;0,(GETPIVOTDATA(" New Social Security",'$ Pivot Table'!$A$3,"State","FL","Category",14,"Category2","Technical Institutes"))/$B524)*100</f>
        <v>0</v>
      </c>
      <c r="H524" s="32"/>
      <c r="I524" s="32">
        <f>IF($B524&gt;0,(GETPIVOTDATA(" New Unemployment",'$ Pivot Table'!$A$3,"State","FL","Category",14,"Category2","Technical Institutes"))/$B524)*100</f>
        <v>0</v>
      </c>
      <c r="J524" s="32">
        <f>IF($B524&gt;0,(GETPIVOTDATA(" New Life Insurance",'$ Pivot Table'!$A$3,"State","FL","Category",14,"Category2","Technical Institutes"))/$B524)*100</f>
        <v>0</v>
      </c>
      <c r="K524" s="32"/>
      <c r="L524" s="32">
        <f>IF($B524&gt;0,(GETPIVOTDATA(" New Worker's Comp",'$ Pivot Table'!$A$3,"State","FL","Category",14,"Category2","Technical Institutes"))/$B524)*100</f>
        <v>0</v>
      </c>
      <c r="M524" s="32">
        <f>IF($B524&gt;0,(GETPIVOTDATA(" New Tuition Plans",'$ Pivot Table'!$A$3,"State","FL","Category",14,"Category2","Technical Institutes"))/$B524)*100</f>
        <v>0</v>
      </c>
      <c r="N524" s="32">
        <f>IF($B524&gt;0,(GETPIVOTDATA(" New Other",'$ Pivot Table'!$A$3,"State","FL","Category",14,"Category2","Technical Institutes"))/$B524)*100</f>
        <v>0</v>
      </c>
      <c r="O524" s="90">
        <f>IF($B524&gt;0,(GETPIVOTDATA(" New Total",'$ Pivot Table'!$A$3,"State","FL","Category",14,"Category2","Technical Institutes"))/$B524)*100</f>
        <v>0</v>
      </c>
    </row>
    <row r="525" spans="1:15">
      <c r="A525" s="149"/>
      <c r="B525" s="617">
        <f>+'[2]OLD Tables'!F74</f>
        <v>0</v>
      </c>
      <c r="C525" s="32"/>
      <c r="D525" s="34"/>
      <c r="E525" s="32"/>
      <c r="F525" s="32"/>
      <c r="G525" s="32"/>
      <c r="H525" s="32"/>
      <c r="I525" s="32"/>
      <c r="J525" s="32"/>
      <c r="K525" s="32"/>
      <c r="L525" s="32"/>
      <c r="M525" s="32"/>
      <c r="N525" s="32"/>
      <c r="O525" s="90"/>
    </row>
    <row r="526" spans="1:15">
      <c r="A526" s="149" t="s">
        <v>482</v>
      </c>
      <c r="B526" s="617">
        <f>+'[2]OLD Tables'!F75</f>
        <v>0</v>
      </c>
      <c r="C526" s="32">
        <f>IF($B526&gt;0,(GETPIVOTDATA(" New Retirement",'$ Pivot Table'!$A$3,"State","GA","Category",14,"Category2","Technical Institutes"))/$B526)*100</f>
        <v>0</v>
      </c>
      <c r="D526" s="32">
        <f>IF($B526&gt;0,(GETPIVOTDATA(" New Health",'$ Pivot Table'!$A$3,"State","GA","Category",14,"Category2","Technical Institutes"))/$B526)*100</f>
        <v>0</v>
      </c>
      <c r="E526" s="32">
        <f>IF($B526&gt;0,(GETPIVOTDATA(" New Disability",'$ Pivot Table'!$A$3,"State","GA","Category",14,"Category2","Technical Institutes"))/$B526)*100</f>
        <v>0</v>
      </c>
      <c r="F526" s="32"/>
      <c r="G526" s="32">
        <f>IF($B526&gt;0,(GETPIVOTDATA(" New Social Security",'$ Pivot Table'!$A$3,"State","GA","Category",14,"Category2","Technical Institutes"))/$B526)*100</f>
        <v>0</v>
      </c>
      <c r="H526" s="32"/>
      <c r="I526" s="32">
        <f>IF($B526&gt;0,(GETPIVOTDATA(" New Unemployment",'$ Pivot Table'!$A$3,"State","GA","Category",14,"Category2","Technical Institutes"))/$B526)*100</f>
        <v>0</v>
      </c>
      <c r="J526" s="32">
        <f>IF($B526&gt;0,(GETPIVOTDATA(" New Life Insurance",'$ Pivot Table'!$A$3,"State","GA","Category",14,"Category2","Technical Institutes"))/$B526)*100</f>
        <v>0</v>
      </c>
      <c r="K526" s="32"/>
      <c r="L526" s="32">
        <f>IF($B526&gt;0,(GETPIVOTDATA(" New Worker's Comp",'$ Pivot Table'!$A$3,"State","GA","Category",14,"Category2","Technical Institutes"))/$B526)*100</f>
        <v>0</v>
      </c>
      <c r="M526" s="32">
        <f>IF($B526&gt;0,(GETPIVOTDATA(" New Tuition Plans",'$ Pivot Table'!$A$3,"State","GA","Category",14,"Category2","Technical Institutes"))/$B526)*100</f>
        <v>0</v>
      </c>
      <c r="N526" s="32">
        <f>IF($B526&gt;0,(GETPIVOTDATA(" New Other",'$ Pivot Table'!$A$3,"State","GA","Category",14,"Category2","Technical Institutes"))/$B526)*100</f>
        <v>0</v>
      </c>
      <c r="O526" s="90">
        <f>IF($B526&gt;0,(GETPIVOTDATA(" New Total",'$ Pivot Table'!$A$3,"State","GA","Category",14,"Category2","Technical Institutes"))/$B526)*100</f>
        <v>0</v>
      </c>
    </row>
    <row r="527" spans="1:15">
      <c r="A527" s="149" t="s">
        <v>483</v>
      </c>
      <c r="B527" s="617">
        <f>+'[2]OLD Tables'!F76</f>
        <v>0</v>
      </c>
      <c r="C527" s="32">
        <f>IF($B527&gt;0,(GETPIVOTDATA(" New Retirement",'$ Pivot Table'!$A$3,"State","KY","Category",14,"Category2","Technical Institutes"))/$B527)*100</f>
        <v>0</v>
      </c>
      <c r="D527" s="32">
        <f>IF($B527&gt;0,(GETPIVOTDATA(" New Health",'$ Pivot Table'!$A$3,"State","KY","Category",14,"Category2","Technical Institutes"))/$B527)*100</f>
        <v>0</v>
      </c>
      <c r="E527" s="32">
        <f>IF($B527&gt;0,(GETPIVOTDATA(" New Disability",'$ Pivot Table'!$A$3,"State","KY","Category",14,"Category2","Technical Institutes"))/$B527)*100</f>
        <v>0</v>
      </c>
      <c r="F527" s="32"/>
      <c r="G527" s="32">
        <f>IF($B527&gt;0,(GETPIVOTDATA(" New Social Security",'$ Pivot Table'!$A$3,"State","KY","Category",14,"Category2","Technical Institutes"))/$B527)*100</f>
        <v>0</v>
      </c>
      <c r="H527" s="32"/>
      <c r="I527" s="32">
        <f>IF($B527&gt;0,(GETPIVOTDATA(" New Unemployment",'$ Pivot Table'!$A$3,"State","KY","Category",14,"Category2","Technical Institutes"))/$B527)*100</f>
        <v>0</v>
      </c>
      <c r="J527" s="32">
        <f>IF($B527&gt;0,(GETPIVOTDATA(" New Life Insurance",'$ Pivot Table'!$A$3,"State","KY","Category",14,"Category2","Technical Institutes"))/$B527)*100</f>
        <v>0</v>
      </c>
      <c r="K527" s="32"/>
      <c r="L527" s="32">
        <f>IF($B527&gt;0,(GETPIVOTDATA(" New Worker's Comp",'$ Pivot Table'!$A$3,"State","KY","Category",14,"Category2","Technical Institutes"))/$B527)*100</f>
        <v>0</v>
      </c>
      <c r="M527" s="32">
        <f>IF($B527&gt;0,(GETPIVOTDATA(" New Tuition Plans",'$ Pivot Table'!$A$3,"State","KY","Category",14,"Category2","Technical Institutes"))/$B527)*100</f>
        <v>0</v>
      </c>
      <c r="N527" s="32">
        <f>IF($B527&gt;0,(GETPIVOTDATA(" New Other",'$ Pivot Table'!$A$3,"State","KY","Category",14,"Category2","Technical Institutes"))/$B527)*100</f>
        <v>0</v>
      </c>
      <c r="O527" s="90">
        <f>IF($B527&gt;0,(GETPIVOTDATA(" New Total",'$ Pivot Table'!$A$3,"State","KY","Category",14,"Category2","Technical Institutes"))/$B527)*100</f>
        <v>0</v>
      </c>
    </row>
    <row r="528" spans="1:15">
      <c r="A528" s="149" t="s">
        <v>484</v>
      </c>
      <c r="B528" s="617">
        <f>+'[2]OLD Tables'!F77</f>
        <v>40121.755793600001</v>
      </c>
      <c r="C528" s="32">
        <f>IF($B528&gt;0,(GETPIVOTDATA(" New Retirement",'$ Pivot Table'!$A$3,"State","LA","Category",14,"Category2","Technical Institutes"))/$B528)*100</f>
        <v>15.086734159763186</v>
      </c>
      <c r="D528" s="32">
        <f>IF($B528&gt;0,(GETPIVOTDATA(" New Health",'$ Pivot Table'!$A$3,"State","LA","Category",14,"Category2","Technical Institutes"))/$B528)*100</f>
        <v>14.679803755721785</v>
      </c>
      <c r="E528" s="32">
        <f>IF($B528&gt;0,(GETPIVOTDATA(" New Disability",'$ Pivot Table'!$A$3,"State","LA","Category",14,"Category2","Technical Institutes"))/$B528)*100</f>
        <v>0</v>
      </c>
      <c r="F528" s="32"/>
      <c r="G528" s="90">
        <f>IF($B528&gt;0,(GETPIVOTDATA(" New Social Security",'$ Pivot Table'!$A$3,"State","LA","Category",14,"Category2","Technical Institutes"))/$B528)*100</f>
        <v>1.3230638589372667</v>
      </c>
      <c r="H528" s="91">
        <v>2</v>
      </c>
      <c r="I528" s="32">
        <f>IF($B528&gt;0,(GETPIVOTDATA(" New Unemployment",'$ Pivot Table'!$A$3,"State","LA","Category",14,"Category2","Technical Institutes"))/$B528)*100</f>
        <v>0</v>
      </c>
      <c r="J528" s="32">
        <f>IF($B528&gt;0,(GETPIVOTDATA(" New Life Insurance",'$ Pivot Table'!$A$3,"State","LA","Category",14,"Category2","Technical Institutes"))/$B528)*100</f>
        <v>0.604740774344103</v>
      </c>
      <c r="K528" s="32"/>
      <c r="L528" s="32">
        <f>IF($B528&gt;0,(GETPIVOTDATA(" New Worker's Comp",'$ Pivot Table'!$A$3,"State","LA","Category",14,"Category2","Technical Institutes"))/$B528)*100</f>
        <v>0.32220823202513316</v>
      </c>
      <c r="M528" s="32">
        <f>IF($B528&gt;0,(GETPIVOTDATA(" New Tuition Plans",'$ Pivot Table'!$A$3,"State","LA","Category",14,"Category2","Technical Institutes"))/$B528)*100</f>
        <v>0</v>
      </c>
      <c r="N528" s="32">
        <f>IF($B528&gt;0,(GETPIVOTDATA(" New Other",'$ Pivot Table'!$A$3,"State","LA","Category",14,"Category2","Technical Institutes"))/$B528)*100</f>
        <v>0</v>
      </c>
      <c r="O528" s="90">
        <f>IF($B528&gt;0,(GETPIVOTDATA(" New Total",'$ Pivot Table'!$A$3,"State","LA","Category",14,"Category2","Technical Institutes"))/$B528)*100</f>
        <v>24.979141290248638</v>
      </c>
    </row>
    <row r="529" spans="1:15">
      <c r="A529" s="149" t="s">
        <v>485</v>
      </c>
      <c r="B529" s="617">
        <f>+'[2]OLD Tables'!F78</f>
        <v>0</v>
      </c>
      <c r="C529" s="32">
        <f>IF($B529&gt;0,(GETPIVOTDATA(" New Retirement",'$ Pivot Table'!$A$3,"State","MD","Category",14,"Category2","Technical Institutes"))/$B529)*100</f>
        <v>0</v>
      </c>
      <c r="D529" s="32">
        <f>IF($B529&gt;0,(GETPIVOTDATA(" New Health",'$ Pivot Table'!$A$3,"State","MD","Category",14,"Category2","Technical Institutes"))/$B529)*100</f>
        <v>0</v>
      </c>
      <c r="E529" s="32">
        <f>IF($B529&gt;0,(GETPIVOTDATA(" New Disability",'$ Pivot Table'!$A$3,"State","MD","Category",14,"Category2","Technical Institutes"))/$B529)*100</f>
        <v>0</v>
      </c>
      <c r="F529" s="32"/>
      <c r="G529" s="32">
        <f>IF($B529&gt;0,(GETPIVOTDATA(" New Social Security",'$ Pivot Table'!$A$3,"State","MD","Category",14,"Category2","Technical Institutes"))/$B529)*100</f>
        <v>0</v>
      </c>
      <c r="H529" s="32"/>
      <c r="I529" s="32">
        <f>IF($B529&gt;0,(GETPIVOTDATA(" New Unemployment",'$ Pivot Table'!$A$3,"State","MD","Category",14,"Category2","Technical Institutes"))/$B529)*100</f>
        <v>0</v>
      </c>
      <c r="J529" s="32">
        <f>IF($B529&gt;0,(GETPIVOTDATA(" New Life Insurance",'$ Pivot Table'!$A$3,"State","MD","Category",14,"Category2","Technical Institutes"))/$B529)*100</f>
        <v>0</v>
      </c>
      <c r="K529" s="32"/>
      <c r="L529" s="32">
        <f>IF($B529&gt;0,(GETPIVOTDATA(" New Worker's Comp",'$ Pivot Table'!$A$3,"State","MD","Category",14,"Category2","Technical Institutes"))/$B529)*100</f>
        <v>0</v>
      </c>
      <c r="M529" s="32">
        <f>IF($B529&gt;0,(GETPIVOTDATA(" New Tuition Plans",'$ Pivot Table'!$A$3,"State","MD","Category",14,"Category2","Technical Institutes"))/$B529)*100</f>
        <v>0</v>
      </c>
      <c r="N529" s="32">
        <f>IF($B529&gt;0,(GETPIVOTDATA(" New Other",'$ Pivot Table'!$A$3,"State","MD","Category",14,"Category2","Technical Institutes"))/$B529)*100</f>
        <v>0</v>
      </c>
      <c r="O529" s="90">
        <f>IF($B529&gt;0,(GETPIVOTDATA(" New Total",'$ Pivot Table'!$A$3,"State","MD","Category",14,"Category2","Technical Institutes"))/$B529)*100</f>
        <v>0</v>
      </c>
    </row>
    <row r="530" spans="1:15">
      <c r="A530" s="149"/>
      <c r="B530" s="617">
        <f>+'[2]OLD Tables'!F79</f>
        <v>0</v>
      </c>
      <c r="C530" s="32"/>
      <c r="D530" s="34"/>
      <c r="E530" s="32"/>
      <c r="F530" s="32"/>
      <c r="G530" s="32"/>
      <c r="H530" s="32"/>
      <c r="I530" s="32"/>
      <c r="J530" s="32"/>
      <c r="K530" s="32"/>
      <c r="L530" s="32"/>
      <c r="M530" s="32"/>
      <c r="N530" s="32"/>
      <c r="O530" s="90"/>
    </row>
    <row r="531" spans="1:15">
      <c r="A531" s="149" t="s">
        <v>486</v>
      </c>
      <c r="B531" s="617">
        <f>+'[2]OLD Tables'!F80</f>
        <v>0</v>
      </c>
      <c r="C531" s="32">
        <f>IF($B531&gt;0,(GETPIVOTDATA(" New Retirement",'$ Pivot Table'!$A$3,"State","MS","Category",14,"Category2","Technical Institutes"))/$B531)*100</f>
        <v>0</v>
      </c>
      <c r="D531" s="32">
        <f>IF($B531&gt;0,(GETPIVOTDATA(" New Health",'$ Pivot Table'!$A$3,"State","MS","Category",14,"Category2","Technical Institutes"))/$B531)*100</f>
        <v>0</v>
      </c>
      <c r="E531" s="32">
        <f>IF($B531&gt;0,(GETPIVOTDATA(" New Disability",'$ Pivot Table'!$A$3,"State","MS","Category",14,"Category2","Technical Institutes"))/$B531)*100</f>
        <v>0</v>
      </c>
      <c r="F531" s="32"/>
      <c r="G531" s="32">
        <f>IF($B531&gt;0,(GETPIVOTDATA(" New Social Security",'$ Pivot Table'!$A$3,"State","MS","Category",14,"Category2","Technical Institutes"))/$B531)*100</f>
        <v>0</v>
      </c>
      <c r="H531" s="32"/>
      <c r="I531" s="32">
        <f>IF($B531&gt;0,(GETPIVOTDATA(" New Unemployment",'$ Pivot Table'!$A$3,"State","MS","Category",14,"Category2","Technical Institutes"))/$B531)*100</f>
        <v>0</v>
      </c>
      <c r="J531" s="32">
        <f>IF($B531&gt;0,(GETPIVOTDATA(" New Life Insurance",'$ Pivot Table'!$A$3,"State","MS","Category",14,"Category2","Technical Institutes"))/$B531)*100</f>
        <v>0</v>
      </c>
      <c r="K531" s="32"/>
      <c r="L531" s="32">
        <f>IF($B531&gt;0,(GETPIVOTDATA(" New Worker's Comp",'$ Pivot Table'!$A$3,"State","MS","Category",14,"Category2","Technical Institutes"))/$B531)*100</f>
        <v>0</v>
      </c>
      <c r="M531" s="32">
        <f>IF($B531&gt;0,(GETPIVOTDATA(" New Tuition Plans",'$ Pivot Table'!$A$3,"State","MS","Category",14,"Category2","Technical Institutes"))/$B531)*100</f>
        <v>0</v>
      </c>
      <c r="N531" s="32">
        <f>IF($B531&gt;0,(GETPIVOTDATA(" New Other",'$ Pivot Table'!$A$3,"State","MS","Category",14,"Category2","Technical Institutes"))/$B531)*100</f>
        <v>0</v>
      </c>
      <c r="O531" s="90">
        <f>IF($B531&gt;0,(GETPIVOTDATA(" New Total",'$ Pivot Table'!$A$3,"State","MS","Category",14,"Category2","Technical Institutes"))/$B531)*100</f>
        <v>0</v>
      </c>
    </row>
    <row r="532" spans="1:15">
      <c r="A532" s="149" t="s">
        <v>487</v>
      </c>
      <c r="B532" s="617">
        <f>+'[2]OLD Tables'!F81</f>
        <v>0</v>
      </c>
      <c r="C532" s="32">
        <f>IF($B532&gt;0,(GETPIVOTDATA(" New Retirement",'$ Pivot Table'!$A$3,"State","NC","Category",14,"Category2","Technical Institutes"))/$B532)*100</f>
        <v>0</v>
      </c>
      <c r="D532" s="32">
        <f>IF($B532&gt;0,(GETPIVOTDATA(" New Health",'$ Pivot Table'!$A$3,"State","NC","Category",14,"Category2","Technical Institutes"))/$B532)*100</f>
        <v>0</v>
      </c>
      <c r="E532" s="32">
        <f>IF($B532&gt;0,(GETPIVOTDATA(" New Disability",'$ Pivot Table'!$A$3,"State","NC","Category",14,"Category2","Technical Institutes"))/$B532)*100</f>
        <v>0</v>
      </c>
      <c r="F532" s="32"/>
      <c r="G532" s="32">
        <f>IF($B532&gt;0,(GETPIVOTDATA(" New Social Security",'$ Pivot Table'!$A$3,"State","NC","Category",14,"Category2","Technical Institutes"))/$B532)*100</f>
        <v>0</v>
      </c>
      <c r="H532" s="32"/>
      <c r="I532" s="32">
        <f>IF($B532&gt;0,(GETPIVOTDATA(" New Unemployment",'$ Pivot Table'!$A$3,"State","NC","Category",14,"Category2","Technical Institutes"))/$B532)*100</f>
        <v>0</v>
      </c>
      <c r="J532" s="32">
        <f>IF($B532&gt;0,(GETPIVOTDATA(" New Life Insurance",'$ Pivot Table'!$A$3,"State","NC","Category",14,"Category2","Technical Institutes"))/$B532)*100</f>
        <v>0</v>
      </c>
      <c r="K532" s="32"/>
      <c r="L532" s="32">
        <f>IF($B532&gt;0,(GETPIVOTDATA(" New Worker's Comp",'$ Pivot Table'!$A$3,"State","NC","Category",14,"Category2","Technical Institutes"))/$B532)*100</f>
        <v>0</v>
      </c>
      <c r="M532" s="32">
        <f>IF($B532&gt;0,(GETPIVOTDATA(" New Tuition Plans",'$ Pivot Table'!$A$3,"State","NC","Category",14,"Category2","Technical Institutes"))/$B532)*100</f>
        <v>0</v>
      </c>
      <c r="N532" s="32">
        <f>IF($B532&gt;0,(GETPIVOTDATA(" New Other",'$ Pivot Table'!$A$3,"State","NC","Category",14,"Category2","Technical Institutes"))/$B532)*100</f>
        <v>0</v>
      </c>
      <c r="O532" s="90">
        <f>IF($B532&gt;0,(GETPIVOTDATA(" New Total",'$ Pivot Table'!$A$3,"State","NC","Category",14,"Category2","Technical Institutes"))/$B532)*100</f>
        <v>0</v>
      </c>
    </row>
    <row r="533" spans="1:15">
      <c r="A533" s="149" t="s">
        <v>488</v>
      </c>
      <c r="B533" s="617">
        <f>+'[2]OLD Tables'!F82</f>
        <v>46760.771066666668</v>
      </c>
      <c r="C533" s="32">
        <f>IF($B533&gt;0,(GETPIVOTDATA(" New Retirement",'$ Pivot Table'!$A$3,"State","OK","Category",14,"Category2","Technical Institutes"))/$B533)*100</f>
        <v>0</v>
      </c>
      <c r="D533" s="32">
        <f>IF($B533&gt;0,(GETPIVOTDATA(" New Health",'$ Pivot Table'!$A$3,"State","OK","Category",14,"Category2","Technical Institutes"))/$B533)*100</f>
        <v>0</v>
      </c>
      <c r="E533" s="32">
        <f>IF($B533&gt;0,(GETPIVOTDATA(" New Disability",'$ Pivot Table'!$A$3,"State","OK","Category",14,"Category2","Technical Institutes"))/$B533)*100</f>
        <v>0</v>
      </c>
      <c r="F533" s="32"/>
      <c r="G533" s="32">
        <f>IF($B533&gt;0,(GETPIVOTDATA(" New Social Security",'$ Pivot Table'!$A$3,"State","OK","Category",14,"Category2","Technical Institutes"))/$B533)*100</f>
        <v>0</v>
      </c>
      <c r="H533" s="32"/>
      <c r="I533" s="32">
        <f>IF($B533&gt;0,(GETPIVOTDATA(" New Unemployment",'$ Pivot Table'!$A$3,"State","OK","Category",14,"Category2","Technical Institutes"))/$B533)*100</f>
        <v>0</v>
      </c>
      <c r="J533" s="32">
        <f>IF($B533&gt;0,(GETPIVOTDATA(" New Life Insurance",'$ Pivot Table'!$A$3,"State","OK","Category",14,"Category2","Technical Institutes"))/$B533)*100</f>
        <v>0</v>
      </c>
      <c r="K533" s="32"/>
      <c r="L533" s="32">
        <f>IF($B533&gt;0,(GETPIVOTDATA(" New Worker's Comp",'$ Pivot Table'!$A$3,"State","OK","Category",14,"Category2","Technical Institutes"))/$B533)*100</f>
        <v>0</v>
      </c>
      <c r="M533" s="32">
        <f>IF($B533&gt;0,(GETPIVOTDATA(" New Tuition Plans",'$ Pivot Table'!$A$3,"State","OK","Category",14,"Category2","Technical Institutes"))/$B533)*100</f>
        <v>0</v>
      </c>
      <c r="N533" s="32">
        <f>IF($B533&gt;0,(GETPIVOTDATA(" New Other",'$ Pivot Table'!$A$3,"State","OK","Category",14,"Category2","Technical Institutes"))/$B533)*100</f>
        <v>0</v>
      </c>
      <c r="O533" s="90">
        <f>IF($B533&gt;0,(GETPIVOTDATA(" New Total",'$ Pivot Table'!$A$3,"State","OK","Category",14,"Category2","Technical Institutes"))/$B533)*100</f>
        <v>0</v>
      </c>
    </row>
    <row r="534" spans="1:15">
      <c r="A534" s="149" t="s">
        <v>489</v>
      </c>
      <c r="B534" s="617">
        <f>+'[2]OLD Tables'!F83</f>
        <v>0</v>
      </c>
      <c r="C534" s="32">
        <f>IF($B534&gt;0,(GETPIVOTDATA(" New Retirement",'$ Pivot Table'!$A$3,"State","SC","Category",14,"Category2","Technical Institutes"))/$B534)*100</f>
        <v>0</v>
      </c>
      <c r="D534" s="32">
        <f>IF($B534&gt;0,(GETPIVOTDATA(" New Health",'$ Pivot Table'!$A$3,"State","SC","Category",14,"Category2","Technical Institutes"))/$B534)*100</f>
        <v>0</v>
      </c>
      <c r="E534" s="32">
        <f>IF($B534&gt;0,(GETPIVOTDATA(" New Disability",'$ Pivot Table'!$A$3,"State","SC","Category",14,"Category2","Technical Institutes"))/$B534)*100</f>
        <v>0</v>
      </c>
      <c r="F534" s="32"/>
      <c r="G534" s="32">
        <f>IF($B534&gt;0,(GETPIVOTDATA(" New Social Security",'$ Pivot Table'!$A$3,"State","SC","Category",14,"Category2","Technical Institutes"))/$B534)*100</f>
        <v>0</v>
      </c>
      <c r="H534" s="32"/>
      <c r="I534" s="32">
        <f>IF($B534&gt;0,(GETPIVOTDATA(" New Unemployment",'$ Pivot Table'!$A$3,"State","SC","Category",14,"Category2","Technical Institutes"))/$B534)*100</f>
        <v>0</v>
      </c>
      <c r="J534" s="32">
        <f>IF($B534&gt;0,(GETPIVOTDATA(" New Life Insurance",'$ Pivot Table'!$A$3,"State","SC","Category",14,"Category2","Technical Institutes"))/$B534)*100</f>
        <v>0</v>
      </c>
      <c r="K534" s="32"/>
      <c r="L534" s="32">
        <f>IF($B534&gt;0,(GETPIVOTDATA(" New Worker's Comp",'$ Pivot Table'!$A$3,"State","SC","Category",14,"Category2","Technical Institutes"))/$B534)*100</f>
        <v>0</v>
      </c>
      <c r="M534" s="32">
        <f>IF($B534&gt;0,(GETPIVOTDATA(" New Tuition Plans",'$ Pivot Table'!$A$3,"State","SC","Category",14,"Category2","Technical Institutes"))/$B534)*100</f>
        <v>0</v>
      </c>
      <c r="N534" s="32">
        <f>IF($B534&gt;0,(GETPIVOTDATA(" New Other",'$ Pivot Table'!$A$3,"State","SC","Category",14,"Category2","Technical Institutes"))/$B534)*100</f>
        <v>0</v>
      </c>
      <c r="O534" s="90">
        <f>IF($B534&gt;0,(GETPIVOTDATA(" New Total",'$ Pivot Table'!$A$3,"State","SC","Category",14,"Category2","Technical Institutes"))/$B534)*100</f>
        <v>0</v>
      </c>
    </row>
    <row r="535" spans="1:15">
      <c r="A535" s="149"/>
      <c r="B535" s="617">
        <f>+'[2]OLD Tables'!F84</f>
        <v>0</v>
      </c>
      <c r="C535" s="32"/>
      <c r="D535" s="34"/>
      <c r="E535" s="32"/>
      <c r="F535" s="32"/>
      <c r="G535" s="32"/>
      <c r="H535" s="32"/>
      <c r="I535" s="32"/>
      <c r="J535" s="32"/>
      <c r="K535" s="32"/>
      <c r="L535" s="32"/>
      <c r="M535" s="32"/>
      <c r="N535" s="32"/>
      <c r="O535" s="90"/>
    </row>
    <row r="536" spans="1:15">
      <c r="A536" s="149" t="s">
        <v>490</v>
      </c>
      <c r="B536" s="617">
        <f>+'[2]OLD Tables'!F85</f>
        <v>0</v>
      </c>
      <c r="C536" s="28">
        <f>IF($B536&gt;0,(GETPIVOTDATA(" New Retirement",'$ Pivot Table'!$A$3,"State","TN","Category",14,"Category2","Technical Institutes"))/$B536)*100</f>
        <v>0</v>
      </c>
      <c r="D536" s="28">
        <f>IF($B536&gt;0,(GETPIVOTDATA(" New Health",'$ Pivot Table'!$A$3,"State","TN","Category",14,"Category2","Technical Institutes"))/$B536)*100</f>
        <v>0</v>
      </c>
      <c r="E536" s="28">
        <f>IF($B536&gt;0,(GETPIVOTDATA(" New Disability",'$ Pivot Table'!$A$3,"State","TN","Category",14,"Category2","Technical Institutes"))/$B536)*100</f>
        <v>0</v>
      </c>
      <c r="F536" s="28"/>
      <c r="G536" s="28">
        <f>IF($B536&gt;0,(GETPIVOTDATA(" New Social Security",'$ Pivot Table'!$A$3,"State","TN","Category",14,"Category2","Technical Institutes"))/$B536)*100</f>
        <v>0</v>
      </c>
      <c r="H536" s="28"/>
      <c r="I536" s="28">
        <f>IF($B536&gt;0,(GETPIVOTDATA(" New Unemployment",'$ Pivot Table'!$A$3,"State","TN","Category",14,"Category2","Technical Institutes"))/$B536)*100</f>
        <v>0</v>
      </c>
      <c r="J536" s="28">
        <f>IF($B536&gt;0,(GETPIVOTDATA(" New Life Insurance",'$ Pivot Table'!$A$3,"State","TN","Category",14,"Category2","Technical Institutes"))/$B536)*100</f>
        <v>0</v>
      </c>
      <c r="K536" s="28"/>
      <c r="L536" s="28">
        <f>IF($B536&gt;0,(GETPIVOTDATA(" New Worker's Comp",'$ Pivot Table'!$A$3,"State","TN","Category",14,"Category2","Technical Institutes"))/$B536)*100</f>
        <v>0</v>
      </c>
      <c r="M536" s="28">
        <f>IF($B536&gt;0,(GETPIVOTDATA(" New Tuition Plans",'$ Pivot Table'!$A$3,"State","TN","Category",14,"Category2","Technical Institutes"))/$B536)*100</f>
        <v>0</v>
      </c>
      <c r="N536" s="28">
        <f>IF($B536&gt;0,(GETPIVOTDATA(" New Other",'$ Pivot Table'!$A$3,"State","TN","Category",14,"Category2","Technical Institutes"))/$B536)*100</f>
        <v>0</v>
      </c>
      <c r="O536" s="86">
        <f>IF($B536&gt;0,(GETPIVOTDATA(" New Total",'$ Pivot Table'!$A$3,"State","TN","Category",14,"Category2","Technical Institutes"))/$B536)*100</f>
        <v>0</v>
      </c>
    </row>
    <row r="537" spans="1:15">
      <c r="A537" s="149" t="s">
        <v>491</v>
      </c>
      <c r="B537" s="617">
        <f>+'[2]OLD Tables'!F86</f>
        <v>0</v>
      </c>
      <c r="C537" s="28">
        <f>IF($B537&gt;0,(GETPIVOTDATA(" New Retirement",'$ Pivot Table'!$A$3,"State","TX","Category",14,"Category2","Technical Institutes"))/$B537)*100</f>
        <v>0</v>
      </c>
      <c r="D537" s="28">
        <f>IF($B537&gt;0,(GETPIVOTDATA(" New Health",'$ Pivot Table'!$A$3,"State","TX","Category",14,"Category2","Technical Institutes"))/$B537)*100</f>
        <v>0</v>
      </c>
      <c r="E537" s="28">
        <f>IF($B537&gt;0,(GETPIVOTDATA(" New Disability",'$ Pivot Table'!$A$3,"State","TX","Category",14,"Category2","Technical Institutes"))/$B537)*100</f>
        <v>0</v>
      </c>
      <c r="F537" s="28"/>
      <c r="G537" s="28">
        <f>IF($B537&gt;0,(GETPIVOTDATA(" New Social Security",'$ Pivot Table'!$A$3,"State","TX","Category",14,"Category2","Technical Institutes"))/$B537)*100</f>
        <v>0</v>
      </c>
      <c r="H537" s="28"/>
      <c r="I537" s="28">
        <f>IF($B537&gt;0,(GETPIVOTDATA(" New Unemployment",'$ Pivot Table'!$A$3,"State","TX","Category",14,"Category2","Technical Institutes"))/$B537)*100</f>
        <v>0</v>
      </c>
      <c r="J537" s="28">
        <f>IF($B537&gt;0,(GETPIVOTDATA(" New Life Insurance",'$ Pivot Table'!$A$3,"State","TX","Category",14,"Category2","Technical Institutes"))/$B537)*100</f>
        <v>0</v>
      </c>
      <c r="K537" s="28"/>
      <c r="L537" s="28">
        <f>IF($B537&gt;0,(GETPIVOTDATA(" New Worker's Comp",'$ Pivot Table'!$A$3,"State","TX","Category",14,"Category2","Technical Institutes"))/$B537)*100</f>
        <v>0</v>
      </c>
      <c r="M537" s="28">
        <f>IF($B537&gt;0,(GETPIVOTDATA(" New Tuition Plans",'$ Pivot Table'!$A$3,"State","TX","Category",14,"Category2","Technical Institutes"))/$B537)*100</f>
        <v>0</v>
      </c>
      <c r="N537" s="28">
        <f>IF($B537&gt;0,(GETPIVOTDATA(" New Other",'$ Pivot Table'!$A$3,"State","TX","Category",14,"Category2","Technical Institutes"))/$B537)*100</f>
        <v>0</v>
      </c>
      <c r="O537" s="86">
        <f>IF($B537&gt;0,(GETPIVOTDATA(" New Total",'$ Pivot Table'!$A$3,"State","TX","Category",14,"Category2","Technical Institutes"))/$B537)*100</f>
        <v>0</v>
      </c>
    </row>
    <row r="538" spans="1:15">
      <c r="A538" s="149" t="s">
        <v>492</v>
      </c>
      <c r="B538" s="617">
        <f>+'[2]OLD Tables'!F87</f>
        <v>0</v>
      </c>
      <c r="C538" s="28">
        <f>IF($B538&gt;0,(GETPIVOTDATA(" New Retirement",'$ Pivot Table'!$A$3,"State","VA","Category",14,"Category2","Technical Institutes"))/$B538)*100</f>
        <v>0</v>
      </c>
      <c r="D538" s="28">
        <f>IF($B538&gt;0,(GETPIVOTDATA(" New Health",'$ Pivot Table'!$A$3,"State","VA","Category",14,"Category2","Technical Institutes"))/$B538)*100</f>
        <v>0</v>
      </c>
      <c r="E538" s="28">
        <f>IF($B538&gt;0,(GETPIVOTDATA(" New Disability",'$ Pivot Table'!$A$3,"State","VA","Category",14,"Category2","Technical Institutes"))/$B538)*100</f>
        <v>0</v>
      </c>
      <c r="F538" s="28"/>
      <c r="G538" s="28">
        <f>IF($B538&gt;0,(GETPIVOTDATA(" New Social Security",'$ Pivot Table'!$A$3,"State","VA","Category",14,"Category2","Technical Institutes"))/$B538)*100</f>
        <v>0</v>
      </c>
      <c r="H538" s="28"/>
      <c r="I538" s="28">
        <f>IF($B538&gt;0,(GETPIVOTDATA(" New Unemployment",'$ Pivot Table'!$A$3,"State","VA","Category",14,"Category2","Technical Institutes"))/$B538)*100</f>
        <v>0</v>
      </c>
      <c r="J538" s="28">
        <f>IF($B538&gt;0,(GETPIVOTDATA(" New Life Insurance",'$ Pivot Table'!$A$3,"State","VA","Category",14,"Category2","Technical Institutes"))/$B538)*100</f>
        <v>0</v>
      </c>
      <c r="K538" s="28"/>
      <c r="L538" s="28">
        <f>IF($B538&gt;0,(GETPIVOTDATA(" New Worker's Comp",'$ Pivot Table'!$A$3,"State","VA","Category",14,"Category2","Technical Institutes"))/$B538)*100</f>
        <v>0</v>
      </c>
      <c r="M538" s="28">
        <f>IF($B538&gt;0,(GETPIVOTDATA(" New Tuition Plans",'$ Pivot Table'!$A$3,"State","VA","Category",14,"Category2","Technical Institutes"))/$B538)*100</f>
        <v>0</v>
      </c>
      <c r="N538" s="28">
        <f>IF($B538&gt;0,(GETPIVOTDATA(" New Other",'$ Pivot Table'!$A$3,"State","VA","Category",14,"Category2","Technical Institutes"))/$B538)*100</f>
        <v>0</v>
      </c>
      <c r="O538" s="86">
        <f>IF($B538&gt;0,(GETPIVOTDATA(" New Total",'$ Pivot Table'!$A$3,"State","VA","Category",14,"Category2","Technical Institutes"))/$B538)*100</f>
        <v>0</v>
      </c>
    </row>
    <row r="539" spans="1:15">
      <c r="A539" s="630" t="s">
        <v>493</v>
      </c>
      <c r="B539" s="618">
        <f>+'[2]OLD Tables'!F88</f>
        <v>0</v>
      </c>
      <c r="C539" s="30">
        <f>IF($B539&gt;0,(GETPIVOTDATA(" New Retirement",'$ Pivot Table'!$A$3,"State","WV","Category",14,"Category2","Technical Institutes"))/$B539)*100</f>
        <v>0</v>
      </c>
      <c r="D539" s="30">
        <f>IF($B539&gt;0,(GETPIVOTDATA(" New Health",'$ Pivot Table'!$A$3,"State","WV","Category",14,"Category2","Technical Institutes"))/$B539)*100</f>
        <v>0</v>
      </c>
      <c r="E539" s="30">
        <f>IF($B539&gt;0,(GETPIVOTDATA(" New Disability",'$ Pivot Table'!$A$3,"State","WV","Category",14,"Category2","Technical Institutes"))/$B539)*100</f>
        <v>0</v>
      </c>
      <c r="F539" s="30"/>
      <c r="G539" s="30">
        <f>IF($B539&gt;0,(GETPIVOTDATA(" New Social Security",'$ Pivot Table'!$A$3,"State","WV","Category",14,"Category2","Technical Institutes"))/$B539)*100</f>
        <v>0</v>
      </c>
      <c r="H539" s="30"/>
      <c r="I539" s="30">
        <f>IF($B539&gt;0,(GETPIVOTDATA(" New Unemployment",'$ Pivot Table'!$A$3,"State","WV","Category",14,"Category2","Technical Institutes"))/$B539)*100</f>
        <v>0</v>
      </c>
      <c r="J539" s="30">
        <f>IF($B539&gt;0,(GETPIVOTDATA(" New Life Insurance",'$ Pivot Table'!$A$3,"State","WV","Category",14,"Category2","Technical Institutes"))/$B539)*100</f>
        <v>0</v>
      </c>
      <c r="K539" s="30"/>
      <c r="L539" s="30">
        <f>IF($B539&gt;0,(GETPIVOTDATA(" New Worker's Comp",'$ Pivot Table'!$A$3,"State","WV","Category",14,"Category2","Technical Institutes"))/$B539)*100</f>
        <v>0</v>
      </c>
      <c r="M539" s="30">
        <f>IF($B539&gt;0,(GETPIVOTDATA(" New Tuition Plans",'$ Pivot Table'!$A$3,"State","WV","Category",14,"Category2","Technical Institutes"))/$B539)*100</f>
        <v>0</v>
      </c>
      <c r="N539" s="30">
        <f>IF($B539&gt;0,(GETPIVOTDATA(" New Other",'$ Pivot Table'!$A$3,"State","WV","Category",14,"Category2","Technical Institutes"))/$B539)*100</f>
        <v>0</v>
      </c>
      <c r="O539" s="115">
        <f>IF($B539&gt;0,(GETPIVOTDATA(" New Total",'$ Pivot Table'!$A$3,"State","WV","Category",14,"Category2","Technical Institutes"))/$B539)*100</f>
        <v>0</v>
      </c>
    </row>
    <row r="540" spans="1:15" ht="18" customHeight="1">
      <c r="A540" s="628" t="s">
        <v>14</v>
      </c>
      <c r="B540" s="45"/>
      <c r="C540" s="47"/>
      <c r="D540" s="47"/>
      <c r="E540" s="47"/>
      <c r="F540" s="47"/>
      <c r="G540" s="47"/>
      <c r="H540" s="47"/>
      <c r="I540" s="47"/>
      <c r="J540" s="47"/>
      <c r="K540" s="47"/>
      <c r="L540" s="47"/>
      <c r="M540" s="47"/>
      <c r="N540" s="47"/>
      <c r="O540" s="77"/>
    </row>
    <row r="541" spans="1:15" ht="18" customHeight="1">
      <c r="A541" s="628" t="s">
        <v>678</v>
      </c>
      <c r="B541" s="45"/>
      <c r="C541" s="54"/>
      <c r="D541" s="54"/>
      <c r="E541" s="54"/>
      <c r="F541" s="54"/>
      <c r="G541" s="54"/>
      <c r="H541" s="54"/>
      <c r="I541" s="54"/>
      <c r="J541" s="54"/>
      <c r="K541" s="54"/>
      <c r="L541" s="54"/>
      <c r="M541" s="54"/>
      <c r="N541" s="54"/>
      <c r="O541" s="145"/>
    </row>
    <row r="542" spans="1:15">
      <c r="O542" s="637" t="s">
        <v>1321</v>
      </c>
    </row>
  </sheetData>
  <mergeCells count="29">
    <mergeCell ref="C200:O200"/>
    <mergeCell ref="A228:O228"/>
    <mergeCell ref="A229:O229"/>
    <mergeCell ref="C231:O231"/>
    <mergeCell ref="C135:O135"/>
    <mergeCell ref="A165:O165"/>
    <mergeCell ref="A166:O166"/>
    <mergeCell ref="C168:O168"/>
    <mergeCell ref="A197:O197"/>
    <mergeCell ref="A198:O198"/>
    <mergeCell ref="A133:O133"/>
    <mergeCell ref="T7:T8"/>
    <mergeCell ref="A36:O36"/>
    <mergeCell ref="A37:O37"/>
    <mergeCell ref="C39:O39"/>
    <mergeCell ref="A68:O68"/>
    <mergeCell ref="A69:O69"/>
    <mergeCell ref="S7:S8"/>
    <mergeCell ref="C71:O71"/>
    <mergeCell ref="A100:O100"/>
    <mergeCell ref="A101:O101"/>
    <mergeCell ref="C103:O103"/>
    <mergeCell ref="A132:O132"/>
    <mergeCell ref="Q9:Q10"/>
    <mergeCell ref="A3:O3"/>
    <mergeCell ref="A4:O4"/>
    <mergeCell ref="C6:O6"/>
    <mergeCell ref="Q7:Q8"/>
    <mergeCell ref="R7:R8"/>
  </mergeCells>
  <conditionalFormatting sqref="C1:O1048576">
    <cfRule type="cellIs" dxfId="611" priority="134" stopIfTrue="1" operator="lessThan">
      <formula>0.1</formula>
    </cfRule>
  </conditionalFormatting>
  <conditionalFormatting sqref="O542">
    <cfRule type="cellIs" dxfId="610" priority="133" stopIfTrue="1" operator="lessThan">
      <formula>0.1</formula>
    </cfRule>
  </conditionalFormatting>
  <conditionalFormatting sqref="O510">
    <cfRule type="cellIs" dxfId="609" priority="132" stopIfTrue="1" operator="lessThan">
      <formula>0.1</formula>
    </cfRule>
  </conditionalFormatting>
  <conditionalFormatting sqref="O478">
    <cfRule type="cellIs" dxfId="608" priority="131" stopIfTrue="1" operator="lessThan">
      <formula>0.1</formula>
    </cfRule>
  </conditionalFormatting>
  <conditionalFormatting sqref="O446">
    <cfRule type="cellIs" dxfId="607" priority="130" stopIfTrue="1" operator="lessThan">
      <formula>0.1</formula>
    </cfRule>
  </conditionalFormatting>
  <conditionalFormatting sqref="O417">
    <cfRule type="cellIs" dxfId="606" priority="129" stopIfTrue="1" operator="lessThan">
      <formula>0.1</formula>
    </cfRule>
  </conditionalFormatting>
  <conditionalFormatting sqref="O386">
    <cfRule type="cellIs" dxfId="605" priority="128" stopIfTrue="1" operator="lessThan">
      <formula>0.1</formula>
    </cfRule>
  </conditionalFormatting>
  <conditionalFormatting sqref="O353">
    <cfRule type="cellIs" dxfId="604" priority="127" stopIfTrue="1" operator="lessThan">
      <formula>0.1</formula>
    </cfRule>
  </conditionalFormatting>
  <conditionalFormatting sqref="O321">
    <cfRule type="cellIs" dxfId="603" priority="126" stopIfTrue="1" operator="lessThan">
      <formula>0.1</formula>
    </cfRule>
  </conditionalFormatting>
  <conditionalFormatting sqref="O289">
    <cfRule type="cellIs" dxfId="602" priority="125" stopIfTrue="1" operator="lessThan">
      <formula>0.1</formula>
    </cfRule>
  </conditionalFormatting>
  <conditionalFormatting sqref="O258">
    <cfRule type="cellIs" dxfId="601" priority="124" stopIfTrue="1" operator="lessThan">
      <formula>0.1</formula>
    </cfRule>
  </conditionalFormatting>
  <conditionalFormatting sqref="O225">
    <cfRule type="cellIs" dxfId="600" priority="123" stopIfTrue="1" operator="lessThan">
      <formula>0.1</formula>
    </cfRule>
  </conditionalFormatting>
  <conditionalFormatting sqref="O194">
    <cfRule type="cellIs" dxfId="599" priority="122" stopIfTrue="1" operator="lessThan">
      <formula>0.1</formula>
    </cfRule>
  </conditionalFormatting>
  <conditionalFormatting sqref="O162">
    <cfRule type="cellIs" dxfId="598" priority="121" stopIfTrue="1" operator="lessThan">
      <formula>0.1</formula>
    </cfRule>
  </conditionalFormatting>
  <conditionalFormatting sqref="O129">
    <cfRule type="cellIs" dxfId="597" priority="120" stopIfTrue="1" operator="lessThan">
      <formula>0.1</formula>
    </cfRule>
  </conditionalFormatting>
  <conditionalFormatting sqref="O97">
    <cfRule type="cellIs" dxfId="596" priority="119" stopIfTrue="1" operator="lessThan">
      <formula>0.1</formula>
    </cfRule>
  </conditionalFormatting>
  <conditionalFormatting sqref="O65">
    <cfRule type="cellIs" dxfId="595" priority="118" stopIfTrue="1" operator="lessThan">
      <formula>0.1</formula>
    </cfRule>
  </conditionalFormatting>
  <conditionalFormatting sqref="O33">
    <cfRule type="cellIs" dxfId="594" priority="117" stopIfTrue="1" operator="lessThan">
      <formula>0.1</formula>
    </cfRule>
  </conditionalFormatting>
  <conditionalFormatting sqref="O542">
    <cfRule type="cellIs" dxfId="593" priority="116" stopIfTrue="1" operator="lessThan">
      <formula>0.1</formula>
    </cfRule>
  </conditionalFormatting>
  <conditionalFormatting sqref="O542">
    <cfRule type="cellIs" dxfId="592" priority="115" stopIfTrue="1" operator="lessThan">
      <formula>0.1</formula>
    </cfRule>
  </conditionalFormatting>
  <conditionalFormatting sqref="O542">
    <cfRule type="cellIs" dxfId="591" priority="114" stopIfTrue="1" operator="lessThan">
      <formula>0.1</formula>
    </cfRule>
  </conditionalFormatting>
  <conditionalFormatting sqref="O510">
    <cfRule type="cellIs" dxfId="590" priority="113" stopIfTrue="1" operator="lessThan">
      <formula>0.1</formula>
    </cfRule>
  </conditionalFormatting>
  <conditionalFormatting sqref="O510">
    <cfRule type="cellIs" dxfId="589" priority="112" stopIfTrue="1" operator="lessThan">
      <formula>0.1</formula>
    </cfRule>
  </conditionalFormatting>
  <conditionalFormatting sqref="O510">
    <cfRule type="cellIs" dxfId="588" priority="111" stopIfTrue="1" operator="lessThan">
      <formula>0.1</formula>
    </cfRule>
  </conditionalFormatting>
  <conditionalFormatting sqref="O478">
    <cfRule type="cellIs" dxfId="587" priority="110" stopIfTrue="1" operator="lessThan">
      <formula>0.1</formula>
    </cfRule>
  </conditionalFormatting>
  <conditionalFormatting sqref="O478">
    <cfRule type="cellIs" dxfId="586" priority="109" stopIfTrue="1" operator="lessThan">
      <formula>0.1</formula>
    </cfRule>
  </conditionalFormatting>
  <conditionalFormatting sqref="O478">
    <cfRule type="cellIs" dxfId="585" priority="108" stopIfTrue="1" operator="lessThan">
      <formula>0.1</formula>
    </cfRule>
  </conditionalFormatting>
  <conditionalFormatting sqref="O446">
    <cfRule type="cellIs" dxfId="584" priority="107" stopIfTrue="1" operator="lessThan">
      <formula>0.1</formula>
    </cfRule>
  </conditionalFormatting>
  <conditionalFormatting sqref="O446">
    <cfRule type="cellIs" dxfId="583" priority="106" stopIfTrue="1" operator="lessThan">
      <formula>0.1</formula>
    </cfRule>
  </conditionalFormatting>
  <conditionalFormatting sqref="O446">
    <cfRule type="cellIs" dxfId="582" priority="105" stopIfTrue="1" operator="lessThan">
      <formula>0.1</formula>
    </cfRule>
  </conditionalFormatting>
  <conditionalFormatting sqref="O417">
    <cfRule type="cellIs" dxfId="581" priority="104" stopIfTrue="1" operator="lessThan">
      <formula>0.1</formula>
    </cfRule>
  </conditionalFormatting>
  <conditionalFormatting sqref="O417">
    <cfRule type="cellIs" dxfId="580" priority="103" stopIfTrue="1" operator="lessThan">
      <formula>0.1</formula>
    </cfRule>
  </conditionalFormatting>
  <conditionalFormatting sqref="O417">
    <cfRule type="cellIs" dxfId="579" priority="102" stopIfTrue="1" operator="lessThan">
      <formula>0.1</formula>
    </cfRule>
  </conditionalFormatting>
  <conditionalFormatting sqref="O386">
    <cfRule type="cellIs" dxfId="578" priority="101" stopIfTrue="1" operator="lessThan">
      <formula>0.1</formula>
    </cfRule>
  </conditionalFormatting>
  <conditionalFormatting sqref="O386">
    <cfRule type="cellIs" dxfId="577" priority="100" stopIfTrue="1" operator="lessThan">
      <formula>0.1</formula>
    </cfRule>
  </conditionalFormatting>
  <conditionalFormatting sqref="O386">
    <cfRule type="cellIs" dxfId="576" priority="99" stopIfTrue="1" operator="lessThan">
      <formula>0.1</formula>
    </cfRule>
  </conditionalFormatting>
  <conditionalFormatting sqref="O353">
    <cfRule type="cellIs" dxfId="575" priority="98" stopIfTrue="1" operator="lessThan">
      <formula>0.1</formula>
    </cfRule>
  </conditionalFormatting>
  <conditionalFormatting sqref="O353">
    <cfRule type="cellIs" dxfId="574" priority="97" stopIfTrue="1" operator="lessThan">
      <formula>0.1</formula>
    </cfRule>
  </conditionalFormatting>
  <conditionalFormatting sqref="O353">
    <cfRule type="cellIs" dxfId="573" priority="96" stopIfTrue="1" operator="lessThan">
      <formula>0.1</formula>
    </cfRule>
  </conditionalFormatting>
  <conditionalFormatting sqref="O321">
    <cfRule type="cellIs" dxfId="572" priority="95" stopIfTrue="1" operator="lessThan">
      <formula>0.1</formula>
    </cfRule>
  </conditionalFormatting>
  <conditionalFormatting sqref="O321">
    <cfRule type="cellIs" dxfId="571" priority="94" stopIfTrue="1" operator="lessThan">
      <formula>0.1</formula>
    </cfRule>
  </conditionalFormatting>
  <conditionalFormatting sqref="O321">
    <cfRule type="cellIs" dxfId="570" priority="93" stopIfTrue="1" operator="lessThan">
      <formula>0.1</formula>
    </cfRule>
  </conditionalFormatting>
  <conditionalFormatting sqref="O289">
    <cfRule type="cellIs" dxfId="569" priority="92" stopIfTrue="1" operator="lessThan">
      <formula>0.1</formula>
    </cfRule>
  </conditionalFormatting>
  <conditionalFormatting sqref="O289">
    <cfRule type="cellIs" dxfId="568" priority="91" stopIfTrue="1" operator="lessThan">
      <formula>0.1</formula>
    </cfRule>
  </conditionalFormatting>
  <conditionalFormatting sqref="O289">
    <cfRule type="cellIs" dxfId="567" priority="90" stopIfTrue="1" operator="lessThan">
      <formula>0.1</formula>
    </cfRule>
  </conditionalFormatting>
  <conditionalFormatting sqref="O258">
    <cfRule type="cellIs" dxfId="566" priority="89" stopIfTrue="1" operator="lessThan">
      <formula>0.1</formula>
    </cfRule>
  </conditionalFormatting>
  <conditionalFormatting sqref="O258">
    <cfRule type="cellIs" dxfId="565" priority="88" stopIfTrue="1" operator="lessThan">
      <formula>0.1</formula>
    </cfRule>
  </conditionalFormatting>
  <conditionalFormatting sqref="O258">
    <cfRule type="cellIs" dxfId="564" priority="87" stopIfTrue="1" operator="lessThan">
      <formula>0.1</formula>
    </cfRule>
  </conditionalFormatting>
  <conditionalFormatting sqref="O225">
    <cfRule type="cellIs" dxfId="563" priority="86" stopIfTrue="1" operator="lessThan">
      <formula>0.1</formula>
    </cfRule>
  </conditionalFormatting>
  <conditionalFormatting sqref="O225">
    <cfRule type="cellIs" dxfId="562" priority="85" stopIfTrue="1" operator="lessThan">
      <formula>0.1</formula>
    </cfRule>
  </conditionalFormatting>
  <conditionalFormatting sqref="O225">
    <cfRule type="cellIs" dxfId="561" priority="84" stopIfTrue="1" operator="lessThan">
      <formula>0.1</formula>
    </cfRule>
  </conditionalFormatting>
  <conditionalFormatting sqref="O194">
    <cfRule type="cellIs" dxfId="560" priority="83" stopIfTrue="1" operator="lessThan">
      <formula>0.1</formula>
    </cfRule>
  </conditionalFormatting>
  <conditionalFormatting sqref="O194">
    <cfRule type="cellIs" dxfId="559" priority="82" stopIfTrue="1" operator="lessThan">
      <formula>0.1</formula>
    </cfRule>
  </conditionalFormatting>
  <conditionalFormatting sqref="O194">
    <cfRule type="cellIs" dxfId="558" priority="81" stopIfTrue="1" operator="lessThan">
      <formula>0.1</formula>
    </cfRule>
  </conditionalFormatting>
  <conditionalFormatting sqref="O162">
    <cfRule type="cellIs" dxfId="557" priority="80" stopIfTrue="1" operator="lessThan">
      <formula>0.1</formula>
    </cfRule>
  </conditionalFormatting>
  <conditionalFormatting sqref="O162">
    <cfRule type="cellIs" dxfId="556" priority="79" stopIfTrue="1" operator="lessThan">
      <formula>0.1</formula>
    </cfRule>
  </conditionalFormatting>
  <conditionalFormatting sqref="O162">
    <cfRule type="cellIs" dxfId="555" priority="78" stopIfTrue="1" operator="lessThan">
      <formula>0.1</formula>
    </cfRule>
  </conditionalFormatting>
  <conditionalFormatting sqref="O129">
    <cfRule type="cellIs" dxfId="554" priority="77" stopIfTrue="1" operator="lessThan">
      <formula>0.1</formula>
    </cfRule>
  </conditionalFormatting>
  <conditionalFormatting sqref="O129">
    <cfRule type="cellIs" dxfId="553" priority="76" stopIfTrue="1" operator="lessThan">
      <formula>0.1</formula>
    </cfRule>
  </conditionalFormatting>
  <conditionalFormatting sqref="O129">
    <cfRule type="cellIs" dxfId="552" priority="75" stopIfTrue="1" operator="lessThan">
      <formula>0.1</formula>
    </cfRule>
  </conditionalFormatting>
  <conditionalFormatting sqref="O97">
    <cfRule type="cellIs" dxfId="551" priority="74" stopIfTrue="1" operator="lessThan">
      <formula>0.1</formula>
    </cfRule>
  </conditionalFormatting>
  <conditionalFormatting sqref="O97">
    <cfRule type="cellIs" dxfId="550" priority="73" stopIfTrue="1" operator="lessThan">
      <formula>0.1</formula>
    </cfRule>
  </conditionalFormatting>
  <conditionalFormatting sqref="O97">
    <cfRule type="cellIs" dxfId="549" priority="72" stopIfTrue="1" operator="lessThan">
      <formula>0.1</formula>
    </cfRule>
  </conditionalFormatting>
  <conditionalFormatting sqref="O65">
    <cfRule type="cellIs" dxfId="548" priority="71" stopIfTrue="1" operator="lessThan">
      <formula>0.1</formula>
    </cfRule>
  </conditionalFormatting>
  <conditionalFormatting sqref="O65">
    <cfRule type="cellIs" dxfId="547" priority="70" stopIfTrue="1" operator="lessThan">
      <formula>0.1</formula>
    </cfRule>
  </conditionalFormatting>
  <conditionalFormatting sqref="O65">
    <cfRule type="cellIs" dxfId="546" priority="69" stopIfTrue="1" operator="lessThan">
      <formula>0.1</formula>
    </cfRule>
  </conditionalFormatting>
  <conditionalFormatting sqref="O33">
    <cfRule type="cellIs" dxfId="545" priority="68" stopIfTrue="1" operator="lessThan">
      <formula>0.1</formula>
    </cfRule>
  </conditionalFormatting>
  <conditionalFormatting sqref="O33">
    <cfRule type="cellIs" dxfId="544" priority="67" stopIfTrue="1" operator="lessThan">
      <formula>0.1</formula>
    </cfRule>
  </conditionalFormatting>
  <conditionalFormatting sqref="O33">
    <cfRule type="cellIs" dxfId="543" priority="66" stopIfTrue="1" operator="lessThan">
      <formula>0.1</formula>
    </cfRule>
  </conditionalFormatting>
  <conditionalFormatting sqref="C396:O396 C401:O401 C406:O406 C411:O411">
    <cfRule type="cellIs" dxfId="542" priority="65" stopIfTrue="1" operator="lessThan">
      <formula>0.1</formula>
    </cfRule>
  </conditionalFormatting>
  <conditionalFormatting sqref="O65">
    <cfRule type="cellIs" dxfId="541" priority="64" stopIfTrue="1" operator="lessThan">
      <formula>0.1</formula>
    </cfRule>
  </conditionalFormatting>
  <conditionalFormatting sqref="O65">
    <cfRule type="cellIs" dxfId="540" priority="63" stopIfTrue="1" operator="lessThan">
      <formula>0.1</formula>
    </cfRule>
  </conditionalFormatting>
  <conditionalFormatting sqref="O65">
    <cfRule type="cellIs" dxfId="539" priority="62" stopIfTrue="1" operator="lessThan">
      <formula>0.1</formula>
    </cfRule>
  </conditionalFormatting>
  <conditionalFormatting sqref="O65">
    <cfRule type="cellIs" dxfId="538" priority="61" stopIfTrue="1" operator="lessThan">
      <formula>0.1</formula>
    </cfRule>
  </conditionalFormatting>
  <conditionalFormatting sqref="O97">
    <cfRule type="cellIs" dxfId="537" priority="60" stopIfTrue="1" operator="lessThan">
      <formula>0.1</formula>
    </cfRule>
  </conditionalFormatting>
  <conditionalFormatting sqref="O97">
    <cfRule type="cellIs" dxfId="536" priority="59" stopIfTrue="1" operator="lessThan">
      <formula>0.1</formula>
    </cfRule>
  </conditionalFormatting>
  <conditionalFormatting sqref="O97">
    <cfRule type="cellIs" dxfId="535" priority="58" stopIfTrue="1" operator="lessThan">
      <formula>0.1</formula>
    </cfRule>
  </conditionalFormatting>
  <conditionalFormatting sqref="O97">
    <cfRule type="cellIs" dxfId="534" priority="57" stopIfTrue="1" operator="lessThan">
      <formula>0.1</formula>
    </cfRule>
  </conditionalFormatting>
  <conditionalFormatting sqref="O129">
    <cfRule type="cellIs" dxfId="533" priority="56" stopIfTrue="1" operator="lessThan">
      <formula>0.1</formula>
    </cfRule>
  </conditionalFormatting>
  <conditionalFormatting sqref="O129">
    <cfRule type="cellIs" dxfId="532" priority="55" stopIfTrue="1" operator="lessThan">
      <formula>0.1</formula>
    </cfRule>
  </conditionalFormatting>
  <conditionalFormatting sqref="O129">
    <cfRule type="cellIs" dxfId="531" priority="54" stopIfTrue="1" operator="lessThan">
      <formula>0.1</formula>
    </cfRule>
  </conditionalFormatting>
  <conditionalFormatting sqref="O129">
    <cfRule type="cellIs" dxfId="530" priority="53" stopIfTrue="1" operator="lessThan">
      <formula>0.1</formula>
    </cfRule>
  </conditionalFormatting>
  <conditionalFormatting sqref="O162">
    <cfRule type="cellIs" dxfId="529" priority="52" stopIfTrue="1" operator="lessThan">
      <formula>0.1</formula>
    </cfRule>
  </conditionalFormatting>
  <conditionalFormatting sqref="O162">
    <cfRule type="cellIs" dxfId="528" priority="51" stopIfTrue="1" operator="lessThan">
      <formula>0.1</formula>
    </cfRule>
  </conditionalFormatting>
  <conditionalFormatting sqref="O162">
    <cfRule type="cellIs" dxfId="527" priority="50" stopIfTrue="1" operator="lessThan">
      <formula>0.1</formula>
    </cfRule>
  </conditionalFormatting>
  <conditionalFormatting sqref="O162">
    <cfRule type="cellIs" dxfId="526" priority="49" stopIfTrue="1" operator="lessThan">
      <formula>0.1</formula>
    </cfRule>
  </conditionalFormatting>
  <conditionalFormatting sqref="O194">
    <cfRule type="cellIs" dxfId="525" priority="48" stopIfTrue="1" operator="lessThan">
      <formula>0.1</formula>
    </cfRule>
  </conditionalFormatting>
  <conditionalFormatting sqref="O194">
    <cfRule type="cellIs" dxfId="524" priority="47" stopIfTrue="1" operator="lessThan">
      <formula>0.1</formula>
    </cfRule>
  </conditionalFormatting>
  <conditionalFormatting sqref="O194">
    <cfRule type="cellIs" dxfId="523" priority="46" stopIfTrue="1" operator="lessThan">
      <formula>0.1</formula>
    </cfRule>
  </conditionalFormatting>
  <conditionalFormatting sqref="O194">
    <cfRule type="cellIs" dxfId="522" priority="45" stopIfTrue="1" operator="lessThan">
      <formula>0.1</formula>
    </cfRule>
  </conditionalFormatting>
  <conditionalFormatting sqref="O225">
    <cfRule type="cellIs" dxfId="521" priority="44" stopIfTrue="1" operator="lessThan">
      <formula>0.1</formula>
    </cfRule>
  </conditionalFormatting>
  <conditionalFormatting sqref="O225">
    <cfRule type="cellIs" dxfId="520" priority="43" stopIfTrue="1" operator="lessThan">
      <formula>0.1</formula>
    </cfRule>
  </conditionalFormatting>
  <conditionalFormatting sqref="O225">
    <cfRule type="cellIs" dxfId="519" priority="42" stopIfTrue="1" operator="lessThan">
      <formula>0.1</formula>
    </cfRule>
  </conditionalFormatting>
  <conditionalFormatting sqref="O225">
    <cfRule type="cellIs" dxfId="518" priority="41" stopIfTrue="1" operator="lessThan">
      <formula>0.1</formula>
    </cfRule>
  </conditionalFormatting>
  <conditionalFormatting sqref="O258">
    <cfRule type="cellIs" dxfId="517" priority="40" stopIfTrue="1" operator="lessThan">
      <formula>0.1</formula>
    </cfRule>
  </conditionalFormatting>
  <conditionalFormatting sqref="O258">
    <cfRule type="cellIs" dxfId="516" priority="39" stopIfTrue="1" operator="lessThan">
      <formula>0.1</formula>
    </cfRule>
  </conditionalFormatting>
  <conditionalFormatting sqref="O258">
    <cfRule type="cellIs" dxfId="515" priority="38" stopIfTrue="1" operator="lessThan">
      <formula>0.1</formula>
    </cfRule>
  </conditionalFormatting>
  <conditionalFormatting sqref="O258">
    <cfRule type="cellIs" dxfId="514" priority="37" stopIfTrue="1" operator="lessThan">
      <formula>0.1</formula>
    </cfRule>
  </conditionalFormatting>
  <conditionalFormatting sqref="O289">
    <cfRule type="cellIs" dxfId="513" priority="36" stopIfTrue="1" operator="lessThan">
      <formula>0.1</formula>
    </cfRule>
  </conditionalFormatting>
  <conditionalFormatting sqref="O289">
    <cfRule type="cellIs" dxfId="512" priority="35" stopIfTrue="1" operator="lessThan">
      <formula>0.1</formula>
    </cfRule>
  </conditionalFormatting>
  <conditionalFormatting sqref="O289">
    <cfRule type="cellIs" dxfId="511" priority="34" stopIfTrue="1" operator="lessThan">
      <formula>0.1</formula>
    </cfRule>
  </conditionalFormatting>
  <conditionalFormatting sqref="O289">
    <cfRule type="cellIs" dxfId="510" priority="33" stopIfTrue="1" operator="lessThan">
      <formula>0.1</formula>
    </cfRule>
  </conditionalFormatting>
  <conditionalFormatting sqref="O321">
    <cfRule type="cellIs" dxfId="509" priority="32" stopIfTrue="1" operator="lessThan">
      <formula>0.1</formula>
    </cfRule>
  </conditionalFormatting>
  <conditionalFormatting sqref="O321">
    <cfRule type="cellIs" dxfId="508" priority="31" stopIfTrue="1" operator="lessThan">
      <formula>0.1</formula>
    </cfRule>
  </conditionalFormatting>
  <conditionalFormatting sqref="O321">
    <cfRule type="cellIs" dxfId="507" priority="30" stopIfTrue="1" operator="lessThan">
      <formula>0.1</formula>
    </cfRule>
  </conditionalFormatting>
  <conditionalFormatting sqref="O321">
    <cfRule type="cellIs" dxfId="506" priority="29" stopIfTrue="1" operator="lessThan">
      <formula>0.1</formula>
    </cfRule>
  </conditionalFormatting>
  <conditionalFormatting sqref="O353">
    <cfRule type="cellIs" dxfId="505" priority="28" stopIfTrue="1" operator="lessThan">
      <formula>0.1</formula>
    </cfRule>
  </conditionalFormatting>
  <conditionalFormatting sqref="O353">
    <cfRule type="cellIs" dxfId="504" priority="27" stopIfTrue="1" operator="lessThan">
      <formula>0.1</formula>
    </cfRule>
  </conditionalFormatting>
  <conditionalFormatting sqref="O353">
    <cfRule type="cellIs" dxfId="503" priority="26" stopIfTrue="1" operator="lessThan">
      <formula>0.1</formula>
    </cfRule>
  </conditionalFormatting>
  <conditionalFormatting sqref="O353">
    <cfRule type="cellIs" dxfId="502" priority="25" stopIfTrue="1" operator="lessThan">
      <formula>0.1</formula>
    </cfRule>
  </conditionalFormatting>
  <conditionalFormatting sqref="O386">
    <cfRule type="cellIs" dxfId="501" priority="24" stopIfTrue="1" operator="lessThan">
      <formula>0.1</formula>
    </cfRule>
  </conditionalFormatting>
  <conditionalFormatting sqref="O386">
    <cfRule type="cellIs" dxfId="500" priority="23" stopIfTrue="1" operator="lessThan">
      <formula>0.1</formula>
    </cfRule>
  </conditionalFormatting>
  <conditionalFormatting sqref="O386">
    <cfRule type="cellIs" dxfId="499" priority="22" stopIfTrue="1" operator="lessThan">
      <formula>0.1</formula>
    </cfRule>
  </conditionalFormatting>
  <conditionalFormatting sqref="O386">
    <cfRule type="cellIs" dxfId="498" priority="21" stopIfTrue="1" operator="lessThan">
      <formula>0.1</formula>
    </cfRule>
  </conditionalFormatting>
  <conditionalFormatting sqref="O417">
    <cfRule type="cellIs" dxfId="497" priority="20" stopIfTrue="1" operator="lessThan">
      <formula>0.1</formula>
    </cfRule>
  </conditionalFormatting>
  <conditionalFormatting sqref="O417">
    <cfRule type="cellIs" dxfId="496" priority="19" stopIfTrue="1" operator="lessThan">
      <formula>0.1</formula>
    </cfRule>
  </conditionalFormatting>
  <conditionalFormatting sqref="O417">
    <cfRule type="cellIs" dxfId="495" priority="18" stopIfTrue="1" operator="lessThan">
      <formula>0.1</formula>
    </cfRule>
  </conditionalFormatting>
  <conditionalFormatting sqref="O417">
    <cfRule type="cellIs" dxfId="494" priority="17" stopIfTrue="1" operator="lessThan">
      <formula>0.1</formula>
    </cfRule>
  </conditionalFormatting>
  <conditionalFormatting sqref="O446">
    <cfRule type="cellIs" dxfId="493" priority="16" stopIfTrue="1" operator="lessThan">
      <formula>0.1</formula>
    </cfRule>
  </conditionalFormatting>
  <conditionalFormatting sqref="O446">
    <cfRule type="cellIs" dxfId="492" priority="15" stopIfTrue="1" operator="lessThan">
      <formula>0.1</formula>
    </cfRule>
  </conditionalFormatting>
  <conditionalFormatting sqref="O446">
    <cfRule type="cellIs" dxfId="491" priority="14" stopIfTrue="1" operator="lessThan">
      <formula>0.1</formula>
    </cfRule>
  </conditionalFormatting>
  <conditionalFormatting sqref="O446">
    <cfRule type="cellIs" dxfId="490" priority="13" stopIfTrue="1" operator="lessThan">
      <formula>0.1</formula>
    </cfRule>
  </conditionalFormatting>
  <conditionalFormatting sqref="O478">
    <cfRule type="cellIs" dxfId="489" priority="12" stopIfTrue="1" operator="lessThan">
      <formula>0.1</formula>
    </cfRule>
  </conditionalFormatting>
  <conditionalFormatting sqref="O478">
    <cfRule type="cellIs" dxfId="488" priority="11" stopIfTrue="1" operator="lessThan">
      <formula>0.1</formula>
    </cfRule>
  </conditionalFormatting>
  <conditionalFormatting sqref="O478">
    <cfRule type="cellIs" dxfId="487" priority="10" stopIfTrue="1" operator="lessThan">
      <formula>0.1</formula>
    </cfRule>
  </conditionalFormatting>
  <conditionalFormatting sqref="O478">
    <cfRule type="cellIs" dxfId="486" priority="9" stopIfTrue="1" operator="lessThan">
      <formula>0.1</formula>
    </cfRule>
  </conditionalFormatting>
  <conditionalFormatting sqref="O510">
    <cfRule type="cellIs" dxfId="485" priority="8" stopIfTrue="1" operator="lessThan">
      <formula>0.1</formula>
    </cfRule>
  </conditionalFormatting>
  <conditionalFormatting sqref="O510">
    <cfRule type="cellIs" dxfId="484" priority="7" stopIfTrue="1" operator="lessThan">
      <formula>0.1</formula>
    </cfRule>
  </conditionalFormatting>
  <conditionalFormatting sqref="O510">
    <cfRule type="cellIs" dxfId="483" priority="6" stopIfTrue="1" operator="lessThan">
      <formula>0.1</formula>
    </cfRule>
  </conditionalFormatting>
  <conditionalFormatting sqref="O510">
    <cfRule type="cellIs" dxfId="482" priority="5" stopIfTrue="1" operator="lessThan">
      <formula>0.1</formula>
    </cfRule>
  </conditionalFormatting>
  <conditionalFormatting sqref="O542">
    <cfRule type="cellIs" dxfId="481" priority="4" stopIfTrue="1" operator="lessThan">
      <formula>0.1</formula>
    </cfRule>
  </conditionalFormatting>
  <conditionalFormatting sqref="O542">
    <cfRule type="cellIs" dxfId="480" priority="3" stopIfTrue="1" operator="lessThan">
      <formula>0.1</formula>
    </cfRule>
  </conditionalFormatting>
  <conditionalFormatting sqref="O542">
    <cfRule type="cellIs" dxfId="479" priority="2" stopIfTrue="1" operator="lessThan">
      <formula>0.1</formula>
    </cfRule>
  </conditionalFormatting>
  <conditionalFormatting sqref="O542">
    <cfRule type="cellIs" dxfId="478" priority="1" stopIfTrue="1" operator="lessThan">
      <formula>0.1</formula>
    </cfRule>
  </conditionalFormatting>
  <printOptions horizontalCentered="1"/>
  <pageMargins left="0.5" right="0.5" top="1" bottom="0.75" header="0.75" footer="0.5"/>
  <pageSetup scale="97" firstPageNumber="173" orientation="landscape" useFirstPageNumber="1" r:id="rId1"/>
  <headerFooter alignWithMargins="0">
    <oddHeader>&amp;R&amp;"Arial,Regular"&amp;8SREB-State Data Exchange</oddHeader>
    <oddFooter>&amp;C&amp;"Arial,Regular"&amp;10C-&amp;P</oddFooter>
  </headerFooter>
  <rowBreaks count="16" manualBreakCount="16">
    <brk id="33" max="16383" man="1"/>
    <brk id="65" max="11" man="1"/>
    <brk id="97" max="16383" man="1"/>
    <brk id="129" max="16383" man="1"/>
    <brk id="162" max="14" man="1"/>
    <brk id="194" max="14" man="1"/>
    <brk id="225" max="16383" man="1"/>
    <brk id="258" max="16383" man="1"/>
    <brk id="289" max="16383" man="1"/>
    <brk id="321" max="16383" man="1"/>
    <brk id="353" max="16383" man="1"/>
    <brk id="386" max="16383" man="1"/>
    <brk id="417" max="16383" man="1"/>
    <brk id="446" max="16383" man="1"/>
    <brk id="478" max="16383" man="1"/>
    <brk id="510" max="16383" man="1"/>
  </rowBreaks>
  <legacyDrawing r:id="rId2"/>
</worksheet>
</file>

<file path=xl/worksheets/sheet7.xml><?xml version="1.0" encoding="utf-8"?>
<worksheet xmlns="http://schemas.openxmlformats.org/spreadsheetml/2006/main" xmlns:r="http://schemas.openxmlformats.org/officeDocument/2006/relationships">
  <sheetPr enableFormatConditionsCalculation="0">
    <tabColor indexed="17"/>
  </sheetPr>
  <dimension ref="A1:X545"/>
  <sheetViews>
    <sheetView showGridLines="0" showZeros="0" zoomScaleNormal="100" zoomScaleSheetLayoutView="90" workbookViewId="0">
      <pane xSplit="2" ySplit="5" topLeftCell="C445" activePane="bottomRight" state="frozen"/>
      <selection pane="topRight" activeCell="C1" sqref="C1"/>
      <selection pane="bottomLeft" activeCell="A6" sqref="A6"/>
      <selection pane="bottomRight" sqref="A1:XFD1048576"/>
    </sheetView>
  </sheetViews>
  <sheetFormatPr defaultColWidth="8.875" defaultRowHeight="12.75"/>
  <cols>
    <col min="1" max="1" width="6.875" style="590" customWidth="1"/>
    <col min="2" max="2" width="24.125" style="170" bestFit="1" customWidth="1"/>
    <col min="3" max="4" width="8.875" style="170" customWidth="1"/>
    <col min="5" max="8" width="5.75" style="170" bestFit="1" customWidth="1"/>
    <col min="9" max="9" width="5.75" style="170" customWidth="1"/>
    <col min="10" max="10" width="7.75" style="170" bestFit="1" customWidth="1"/>
    <col min="11" max="15" width="5.75" style="170" bestFit="1" customWidth="1"/>
    <col min="16" max="17" width="5.75" style="170" customWidth="1"/>
    <col min="18" max="18" width="7.625" style="170" customWidth="1"/>
    <col min="19" max="20" width="5.75" style="170" bestFit="1" customWidth="1"/>
    <col min="21" max="21" width="5.75" style="170" customWidth="1"/>
    <col min="22" max="22" width="6.875" style="170" customWidth="1"/>
    <col min="23" max="23" width="5.875" style="170" customWidth="1"/>
    <col min="24" max="24" width="8.875" style="170" customWidth="1"/>
    <col min="25" max="29" width="8.875" style="1" customWidth="1"/>
    <col min="30" max="30" width="5.75" style="1" bestFit="1" customWidth="1"/>
    <col min="31" max="35" width="8.875" style="1" customWidth="1"/>
    <col min="36" max="36" width="9" style="1" customWidth="1"/>
    <col min="37" max="38" width="5.75" style="1" bestFit="1" customWidth="1"/>
    <col min="39" max="41" width="8.875" style="1" customWidth="1"/>
    <col min="42" max="42" width="5.75" style="1" bestFit="1" customWidth="1"/>
    <col min="43" max="43" width="6.875" style="1" customWidth="1"/>
    <col min="44" max="44" width="24.125" style="1" bestFit="1" customWidth="1"/>
    <col min="45" max="50" width="8.875" style="1" customWidth="1"/>
    <col min="51" max="51" width="5.75" style="1" bestFit="1" customWidth="1"/>
    <col min="52" max="56" width="8.875" style="1" customWidth="1"/>
    <col min="57" max="57" width="9" style="1" customWidth="1"/>
    <col min="58" max="59" width="5.75" style="1" bestFit="1" customWidth="1"/>
    <col min="60" max="62" width="8.875" style="1" customWidth="1"/>
    <col min="63" max="63" width="5.75" style="1" bestFit="1" customWidth="1"/>
    <col min="64" max="64" width="6.875" style="1" customWidth="1"/>
    <col min="65" max="65" width="24.125" style="1" bestFit="1" customWidth="1"/>
    <col min="66" max="71" width="8.875" style="1" customWidth="1"/>
    <col min="72" max="72" width="5.75" style="1" bestFit="1" customWidth="1"/>
    <col min="73" max="77" width="8.875" style="1" customWidth="1"/>
    <col min="78" max="78" width="9" style="1" customWidth="1"/>
    <col min="79" max="80" width="5.75" style="1" bestFit="1" customWidth="1"/>
    <col min="81" max="83" width="8.875" style="1" customWidth="1"/>
    <col min="84" max="84" width="5.75" style="1" bestFit="1" customWidth="1"/>
    <col min="85" max="85" width="6.875" style="1" customWidth="1"/>
    <col min="86" max="86" width="24.125" style="1" bestFit="1" customWidth="1"/>
    <col min="87" max="92" width="8.875" style="1" customWidth="1"/>
    <col min="93" max="93" width="5.75" style="1" bestFit="1" customWidth="1"/>
    <col min="94" max="98" width="8.875" style="1" customWidth="1"/>
    <col min="99" max="99" width="9" style="1" customWidth="1"/>
    <col min="100" max="101" width="5.75" style="1" bestFit="1" customWidth="1"/>
    <col min="102" max="104" width="8.875" style="1" customWidth="1"/>
    <col min="105" max="105" width="5.75" style="1" bestFit="1" customWidth="1"/>
    <col min="106" max="106" width="6.875" style="1" customWidth="1"/>
    <col min="107" max="107" width="24.125" style="1" bestFit="1" customWidth="1"/>
    <col min="108" max="113" width="8.875" style="1" customWidth="1"/>
    <col min="114" max="114" width="5.75" style="1" bestFit="1" customWidth="1"/>
    <col min="115" max="119" width="8.875" style="1" customWidth="1"/>
    <col min="120" max="120" width="9" style="1" customWidth="1"/>
    <col min="121" max="122" width="5.75" style="1" bestFit="1" customWidth="1"/>
    <col min="123" max="125" width="8.875" style="1" customWidth="1"/>
    <col min="126" max="126" width="5.75" style="1" bestFit="1" customWidth="1"/>
    <col min="127" max="127" width="6.875" style="1" customWidth="1"/>
    <col min="128" max="128" width="24.125" style="1" bestFit="1" customWidth="1"/>
    <col min="129" max="134" width="8.875" style="1" customWidth="1"/>
    <col min="135" max="135" width="5.75" style="1" bestFit="1" customWidth="1"/>
    <col min="136" max="140" width="8.875" style="1" customWidth="1"/>
    <col min="141" max="141" width="9" style="1" customWidth="1"/>
    <col min="142" max="143" width="5.75" style="1" bestFit="1" customWidth="1"/>
    <col min="144" max="146" width="8.875" style="1" customWidth="1"/>
    <col min="147" max="147" width="5.75" style="1" bestFit="1" customWidth="1"/>
    <col min="148" max="148" width="6.875" style="1" customWidth="1"/>
    <col min="149" max="149" width="24.125" style="1" bestFit="1" customWidth="1"/>
    <col min="150" max="155" width="8.875" style="1" customWidth="1"/>
    <col min="156" max="156" width="5.75" style="1" bestFit="1" customWidth="1"/>
    <col min="157" max="161" width="8.875" style="1" customWidth="1"/>
    <col min="162" max="162" width="9" style="1" customWidth="1"/>
    <col min="163" max="164" width="5.75" style="1" bestFit="1" customWidth="1"/>
    <col min="165" max="167" width="8.875" style="1" customWidth="1"/>
    <col min="168" max="168" width="5.75" style="1" bestFit="1" customWidth="1"/>
    <col min="169" max="169" width="6.875" style="1" customWidth="1"/>
    <col min="170" max="170" width="24.125" style="1" bestFit="1" customWidth="1"/>
    <col min="171" max="176" width="8.875" style="1" customWidth="1"/>
    <col min="177" max="177" width="5.75" style="1" bestFit="1" customWidth="1"/>
    <col min="178" max="182" width="8.875" style="1" customWidth="1"/>
    <col min="183" max="183" width="9" style="1" customWidth="1"/>
    <col min="184" max="185" width="5.75" style="1" bestFit="1" customWidth="1"/>
    <col min="186" max="188" width="8.875" style="1" customWidth="1"/>
    <col min="189" max="189" width="5.75" style="1" bestFit="1" customWidth="1"/>
    <col min="190" max="190" width="6.875" style="1" customWidth="1"/>
    <col min="191" max="191" width="24.125" style="1" bestFit="1" customWidth="1"/>
    <col min="192" max="197" width="8.875" style="1" customWidth="1"/>
    <col min="198" max="198" width="5.75" style="1" bestFit="1" customWidth="1"/>
    <col min="199" max="203" width="8.875" style="1" customWidth="1"/>
    <col min="204" max="204" width="9" style="1" customWidth="1"/>
    <col min="205" max="206" width="5.75" style="1" bestFit="1" customWidth="1"/>
    <col min="207" max="209" width="8.875" style="1" customWidth="1"/>
    <col min="210" max="210" width="5.75" style="1" bestFit="1" customWidth="1"/>
    <col min="211" max="211" width="6.875" style="1" customWidth="1"/>
    <col min="212" max="212" width="24.125" style="1" bestFit="1" customWidth="1"/>
    <col min="213" max="218" width="8.875" style="1" customWidth="1"/>
    <col min="219" max="219" width="5.75" style="1" bestFit="1" customWidth="1"/>
    <col min="220" max="224" width="8.875" style="1" customWidth="1"/>
    <col min="225" max="225" width="9" style="1" customWidth="1"/>
    <col min="226" max="227" width="5.75" style="1" bestFit="1" customWidth="1"/>
    <col min="228" max="230" width="8.875" style="1" customWidth="1"/>
    <col min="231" max="231" width="5.75" style="1" bestFit="1" customWidth="1"/>
    <col min="232" max="232" width="6.875" style="1" customWidth="1"/>
    <col min="233" max="233" width="24.125" style="1" bestFit="1" customWidth="1"/>
    <col min="234" max="239" width="8.875" style="1" customWidth="1"/>
    <col min="240" max="240" width="5.75" style="1" bestFit="1" customWidth="1"/>
    <col min="241" max="245" width="8.875" style="1" customWidth="1"/>
    <col min="246" max="246" width="9" style="1" customWidth="1"/>
    <col min="247" max="248" width="5.75" style="1" bestFit="1" customWidth="1"/>
    <col min="249" max="251" width="8.875" style="1" customWidth="1"/>
    <col min="252" max="252" width="5.75" style="1" bestFit="1" customWidth="1"/>
    <col min="253" max="253" width="6.875" style="1" customWidth="1"/>
    <col min="254" max="254" width="24.125" style="1" bestFit="1" customWidth="1"/>
    <col min="255" max="16384" width="8.875" style="1"/>
  </cols>
  <sheetData>
    <row r="1" spans="1:24">
      <c r="A1" s="548"/>
    </row>
    <row r="3" spans="1:24">
      <c r="A3" s="549"/>
      <c r="B3" s="550"/>
      <c r="C3" s="551" t="s">
        <v>591</v>
      </c>
      <c r="D3" s="550" t="s">
        <v>704</v>
      </c>
      <c r="E3" s="550"/>
      <c r="F3" s="550"/>
      <c r="G3" s="550"/>
      <c r="H3" s="550"/>
      <c r="I3" s="550"/>
      <c r="J3" s="550"/>
      <c r="K3" s="550"/>
      <c r="L3" s="550"/>
      <c r="M3" s="550"/>
      <c r="N3" s="550"/>
      <c r="O3" s="550"/>
      <c r="P3" s="550"/>
      <c r="Q3" s="550"/>
      <c r="R3" s="550"/>
      <c r="S3" s="550"/>
      <c r="T3" s="552"/>
      <c r="U3" s="553"/>
    </row>
    <row r="4" spans="1:24">
      <c r="A4" s="554"/>
      <c r="B4" s="555"/>
      <c r="C4" s="551" t="s">
        <v>31</v>
      </c>
      <c r="D4" s="550"/>
      <c r="E4" s="550"/>
      <c r="F4" s="550"/>
      <c r="G4" s="550"/>
      <c r="H4" s="550"/>
      <c r="I4" s="556" t="s">
        <v>446</v>
      </c>
      <c r="J4" s="551" t="s">
        <v>592</v>
      </c>
      <c r="K4" s="550"/>
      <c r="L4" s="550"/>
      <c r="M4" s="550"/>
      <c r="N4" s="550" t="s">
        <v>446</v>
      </c>
      <c r="O4" s="557" t="s">
        <v>434</v>
      </c>
      <c r="P4" s="551"/>
      <c r="Q4" s="556"/>
      <c r="R4" s="551" t="s">
        <v>446</v>
      </c>
      <c r="S4" s="550" t="s">
        <v>1180</v>
      </c>
      <c r="T4" s="550" t="s">
        <v>446</v>
      </c>
      <c r="U4" s="556" t="s">
        <v>1182</v>
      </c>
      <c r="V4" s="170" t="s">
        <v>446</v>
      </c>
    </row>
    <row r="5" spans="1:24">
      <c r="A5" s="558" t="s">
        <v>705</v>
      </c>
      <c r="B5" s="559" t="s">
        <v>657</v>
      </c>
      <c r="C5" s="560">
        <v>1</v>
      </c>
      <c r="D5" s="561">
        <v>2</v>
      </c>
      <c r="E5" s="561">
        <v>3</v>
      </c>
      <c r="F5" s="561">
        <v>4</v>
      </c>
      <c r="G5" s="561">
        <v>5</v>
      </c>
      <c r="H5" s="561">
        <v>6</v>
      </c>
      <c r="I5" s="562"/>
      <c r="J5" s="560">
        <v>7</v>
      </c>
      <c r="K5" s="561">
        <v>8</v>
      </c>
      <c r="L5" s="561">
        <v>9</v>
      </c>
      <c r="M5" s="561">
        <v>10</v>
      </c>
      <c r="N5" s="561"/>
      <c r="O5" s="563">
        <v>12</v>
      </c>
      <c r="P5" s="564">
        <v>13</v>
      </c>
      <c r="Q5" s="565">
        <v>14</v>
      </c>
      <c r="R5" s="560"/>
      <c r="S5" s="561" t="s">
        <v>1180</v>
      </c>
      <c r="T5" s="561"/>
      <c r="U5" s="562" t="s">
        <v>1182</v>
      </c>
    </row>
    <row r="6" spans="1:24">
      <c r="A6" s="549" t="s">
        <v>115</v>
      </c>
      <c r="B6" s="556" t="s">
        <v>726</v>
      </c>
      <c r="C6" s="566">
        <v>12633.217136097717</v>
      </c>
      <c r="D6" s="94">
        <v>13367.566454125414</v>
      </c>
      <c r="E6" s="94">
        <v>7378.7814150296645</v>
      </c>
      <c r="F6" s="94">
        <v>8260.2316456883509</v>
      </c>
      <c r="G6" s="95">
        <v>6908.5562484126986</v>
      </c>
      <c r="H6" s="567">
        <v>8561.8624609756098</v>
      </c>
      <c r="I6" s="568">
        <v>10538.131044009449</v>
      </c>
      <c r="J6" s="569">
        <v>0</v>
      </c>
      <c r="K6" s="94">
        <v>6741.7972108474578</v>
      </c>
      <c r="L6" s="94">
        <v>6708.0188513339463</v>
      </c>
      <c r="M6" s="94">
        <v>6528.5539510309281</v>
      </c>
      <c r="N6" s="570">
        <v>6674.3082494915261</v>
      </c>
      <c r="O6" s="571">
        <v>6811.8690459459467</v>
      </c>
      <c r="P6" s="566">
        <v>6614.3251820224723</v>
      </c>
      <c r="Q6" s="572">
        <v>0</v>
      </c>
      <c r="R6" s="569">
        <v>6704.0076723926377</v>
      </c>
      <c r="S6" s="570">
        <v>0</v>
      </c>
      <c r="T6" s="570">
        <v>0</v>
      </c>
      <c r="U6" s="571">
        <v>0</v>
      </c>
      <c r="V6" s="170">
        <v>0</v>
      </c>
    </row>
    <row r="7" spans="1:24">
      <c r="A7" s="554"/>
      <c r="B7" s="573" t="s">
        <v>728</v>
      </c>
      <c r="C7" s="574">
        <v>13010.363947269892</v>
      </c>
      <c r="D7" s="226">
        <v>12816.375855445545</v>
      </c>
      <c r="E7" s="226">
        <v>7237.1234935117054</v>
      </c>
      <c r="F7" s="226">
        <v>8309.380146567164</v>
      </c>
      <c r="G7" s="226">
        <v>7083.7128639344255</v>
      </c>
      <c r="H7" s="575">
        <v>8597.6103232558144</v>
      </c>
      <c r="I7" s="576">
        <v>10733.996848708979</v>
      </c>
      <c r="J7" s="577">
        <v>0</v>
      </c>
      <c r="K7" s="226">
        <v>6687.4300170818506</v>
      </c>
      <c r="L7" s="226">
        <v>6661.8202974311935</v>
      </c>
      <c r="M7" s="226">
        <v>6484.0077775510208</v>
      </c>
      <c r="N7" s="226">
        <v>6626.3658580828132</v>
      </c>
      <c r="O7" s="578">
        <v>6818.5699026315788</v>
      </c>
      <c r="P7" s="574">
        <v>6572.3853435294113</v>
      </c>
      <c r="Q7" s="579">
        <v>0</v>
      </c>
      <c r="R7" s="577">
        <v>6688.596688198757</v>
      </c>
      <c r="S7" s="226">
        <v>0</v>
      </c>
      <c r="T7" s="226">
        <v>0</v>
      </c>
      <c r="U7" s="578">
        <v>0</v>
      </c>
      <c r="V7" s="170">
        <v>0</v>
      </c>
    </row>
    <row r="8" spans="1:24">
      <c r="A8" s="580"/>
      <c r="B8" s="581" t="s">
        <v>495</v>
      </c>
      <c r="C8" s="582">
        <v>2.9853584174891519</v>
      </c>
      <c r="D8" s="584">
        <v>-4.1233428730011168</v>
      </c>
      <c r="E8" s="584">
        <v>-1.9198010287907348</v>
      </c>
      <c r="F8" s="584">
        <v>0.59500148406210263</v>
      </c>
      <c r="G8" s="584">
        <v>2.535357739353584</v>
      </c>
      <c r="H8" s="585">
        <v>0.41752436976348212</v>
      </c>
      <c r="I8" s="586">
        <v>1.8586389169156554</v>
      </c>
      <c r="J8" s="587">
        <v>0</v>
      </c>
      <c r="K8" s="584">
        <v>-0.80641989168898709</v>
      </c>
      <c r="L8" s="584">
        <v>-0.6887063815207648</v>
      </c>
      <c r="M8" s="584">
        <v>-0.68232833509590629</v>
      </c>
      <c r="N8" s="584">
        <v>-0.71831251444470356</v>
      </c>
      <c r="O8" s="588">
        <v>9.8370309828842734E-2</v>
      </c>
      <c r="P8" s="582">
        <v>-0.63407584808578998</v>
      </c>
      <c r="Q8" s="589">
        <v>0</v>
      </c>
      <c r="R8" s="587">
        <v>-0.22987718610979146</v>
      </c>
      <c r="S8" s="584">
        <v>0</v>
      </c>
      <c r="T8" s="584">
        <v>0</v>
      </c>
      <c r="U8" s="588">
        <v>0</v>
      </c>
      <c r="V8" s="170">
        <v>0</v>
      </c>
    </row>
    <row r="9" spans="1:24">
      <c r="A9" s="554"/>
      <c r="B9" s="556" t="s">
        <v>730</v>
      </c>
      <c r="C9" s="566">
        <v>6740.0884260839875</v>
      </c>
      <c r="D9" s="94">
        <v>4808.5458715596333</v>
      </c>
      <c r="E9" s="94">
        <v>6016.7156783103164</v>
      </c>
      <c r="F9" s="94">
        <v>4594.7106109324759</v>
      </c>
      <c r="G9" s="95">
        <v>2494.7457627118642</v>
      </c>
      <c r="H9" s="567">
        <v>9024</v>
      </c>
      <c r="I9" s="568">
        <v>6089.3563369687854</v>
      </c>
      <c r="J9" s="569">
        <v>0</v>
      </c>
      <c r="K9" s="94">
        <v>9024</v>
      </c>
      <c r="L9" s="94">
        <v>9033.3238270469174</v>
      </c>
      <c r="M9" s="94">
        <v>9024</v>
      </c>
      <c r="N9" s="570">
        <v>9029.7259887005657</v>
      </c>
      <c r="O9" s="571">
        <v>8292.3243243243251</v>
      </c>
      <c r="P9" s="566">
        <v>9024</v>
      </c>
      <c r="Q9" s="572">
        <v>0</v>
      </c>
      <c r="R9" s="569">
        <v>8691.8282208588953</v>
      </c>
      <c r="S9" s="570">
        <v>0</v>
      </c>
      <c r="T9" s="570">
        <v>0</v>
      </c>
      <c r="U9" s="571">
        <v>0</v>
      </c>
      <c r="V9" s="170">
        <v>0</v>
      </c>
    </row>
    <row r="10" spans="1:24">
      <c r="A10" s="554"/>
      <c r="B10" s="573" t="s">
        <v>732</v>
      </c>
      <c r="C10" s="574">
        <v>7114.2323198942495</v>
      </c>
      <c r="D10" s="226">
        <v>5475.6848249027234</v>
      </c>
      <c r="E10" s="226">
        <v>8271.8229740361912</v>
      </c>
      <c r="F10" s="226">
        <v>5079.0475435816161</v>
      </c>
      <c r="G10" s="226">
        <v>2955.2597402597403</v>
      </c>
      <c r="H10" s="575">
        <v>9024</v>
      </c>
      <c r="I10" s="576">
        <v>6926.9380225372588</v>
      </c>
      <c r="J10" s="577">
        <v>0</v>
      </c>
      <c r="K10" s="226">
        <v>9024</v>
      </c>
      <c r="L10" s="226">
        <v>9031.5889908256886</v>
      </c>
      <c r="M10" s="226">
        <v>9016.060606060606</v>
      </c>
      <c r="N10" s="226">
        <v>9026.9020939445381</v>
      </c>
      <c r="O10" s="578">
        <v>8272</v>
      </c>
      <c r="P10" s="574">
        <v>9024</v>
      </c>
      <c r="Q10" s="579">
        <v>0</v>
      </c>
      <c r="R10" s="577">
        <v>8659.9745222929942</v>
      </c>
      <c r="S10" s="226">
        <v>0</v>
      </c>
      <c r="T10" s="226">
        <v>0</v>
      </c>
      <c r="U10" s="578">
        <v>0</v>
      </c>
      <c r="V10" s="170">
        <v>0</v>
      </c>
    </row>
    <row r="11" spans="1:24">
      <c r="A11" s="580"/>
      <c r="B11" s="581" t="s">
        <v>497</v>
      </c>
      <c r="C11" s="582">
        <v>5.5510235201415705</v>
      </c>
      <c r="D11" s="584">
        <v>13.874027016959833</v>
      </c>
      <c r="E11" s="584">
        <v>37.480702368159434</v>
      </c>
      <c r="F11" s="584">
        <v>10.541184715675623</v>
      </c>
      <c r="G11" s="584">
        <v>18.459355034529988</v>
      </c>
      <c r="H11" s="585">
        <v>0</v>
      </c>
      <c r="I11" s="586">
        <v>13.754847626233882</v>
      </c>
      <c r="J11" s="587">
        <v>0</v>
      </c>
      <c r="K11" s="584">
        <v>0</v>
      </c>
      <c r="L11" s="584">
        <v>-1.9204849227639126E-2</v>
      </c>
      <c r="M11" s="584">
        <v>-8.7980872555341247E-2</v>
      </c>
      <c r="N11" s="584">
        <v>-3.127331615113562E-2</v>
      </c>
      <c r="O11" s="588">
        <v>-0.24509803921569517</v>
      </c>
      <c r="P11" s="582">
        <v>0</v>
      </c>
      <c r="Q11" s="589">
        <v>0</v>
      </c>
      <c r="R11" s="587">
        <v>-0.36647869419988921</v>
      </c>
      <c r="S11" s="584">
        <v>0</v>
      </c>
      <c r="T11" s="584">
        <v>0</v>
      </c>
      <c r="U11" s="588">
        <v>0</v>
      </c>
      <c r="V11" s="170">
        <v>0</v>
      </c>
    </row>
    <row r="12" spans="1:24">
      <c r="A12" s="554"/>
      <c r="B12" s="556" t="s">
        <v>734</v>
      </c>
      <c r="C12" s="566">
        <v>309.38993089832184</v>
      </c>
      <c r="D12" s="94">
        <v>376.23102310231025</v>
      </c>
      <c r="E12" s="94">
        <v>337.48595041322312</v>
      </c>
      <c r="F12" s="94">
        <v>179.7045101088647</v>
      </c>
      <c r="G12" s="95">
        <v>234.6904761904762</v>
      </c>
      <c r="H12" s="567">
        <v>0</v>
      </c>
      <c r="I12" s="568">
        <v>300.5845419496971</v>
      </c>
      <c r="J12" s="569">
        <v>0</v>
      </c>
      <c r="K12" s="94">
        <v>0</v>
      </c>
      <c r="L12" s="94">
        <v>0</v>
      </c>
      <c r="M12" s="94">
        <v>0</v>
      </c>
      <c r="N12" s="570">
        <v>0</v>
      </c>
      <c r="O12" s="571">
        <v>0</v>
      </c>
      <c r="P12" s="566">
        <v>0</v>
      </c>
      <c r="Q12" s="572">
        <v>0</v>
      </c>
      <c r="R12" s="569">
        <v>0</v>
      </c>
      <c r="S12" s="570">
        <v>0</v>
      </c>
      <c r="T12" s="570">
        <v>0</v>
      </c>
      <c r="U12" s="571">
        <v>0</v>
      </c>
      <c r="V12" s="170">
        <v>0</v>
      </c>
    </row>
    <row r="13" spans="1:24">
      <c r="A13" s="554"/>
      <c r="B13" s="573" t="s">
        <v>736</v>
      </c>
      <c r="C13" s="574">
        <v>300.74414125200644</v>
      </c>
      <c r="D13" s="226">
        <v>364.81188118811883</v>
      </c>
      <c r="E13" s="226">
        <v>324.01258851298189</v>
      </c>
      <c r="F13" s="226">
        <v>141.13957055214723</v>
      </c>
      <c r="G13" s="226">
        <v>239.37295081967213</v>
      </c>
      <c r="H13" s="575">
        <v>0</v>
      </c>
      <c r="I13" s="576">
        <v>288.20161145926591</v>
      </c>
      <c r="J13" s="577">
        <v>0</v>
      </c>
      <c r="K13" s="226">
        <v>0</v>
      </c>
      <c r="L13" s="226">
        <v>0</v>
      </c>
      <c r="M13" s="226">
        <v>0</v>
      </c>
      <c r="N13" s="226">
        <v>0</v>
      </c>
      <c r="O13" s="578">
        <v>0</v>
      </c>
      <c r="P13" s="574">
        <v>0</v>
      </c>
      <c r="Q13" s="579">
        <v>0</v>
      </c>
      <c r="R13" s="577">
        <v>0</v>
      </c>
      <c r="S13" s="226">
        <v>0</v>
      </c>
      <c r="T13" s="226">
        <v>0</v>
      </c>
      <c r="U13" s="578">
        <v>0</v>
      </c>
      <c r="V13" s="170">
        <v>0</v>
      </c>
    </row>
    <row r="14" spans="1:24">
      <c r="A14" s="580"/>
      <c r="B14" s="581" t="s">
        <v>499</v>
      </c>
      <c r="C14" s="582">
        <v>-2.794463808570665</v>
      </c>
      <c r="D14" s="584">
        <v>-3.0351409673853915</v>
      </c>
      <c r="E14" s="584">
        <v>-3.9922734216770306</v>
      </c>
      <c r="F14" s="584">
        <v>-21.460195703132261</v>
      </c>
      <c r="G14" s="584">
        <v>1.9951702792556432</v>
      </c>
      <c r="H14" s="585">
        <v>0</v>
      </c>
      <c r="I14" s="586">
        <v>-4.1196165345400493</v>
      </c>
      <c r="J14" s="587">
        <v>0</v>
      </c>
      <c r="K14" s="584">
        <v>0</v>
      </c>
      <c r="L14" s="584">
        <v>0</v>
      </c>
      <c r="M14" s="584">
        <v>0</v>
      </c>
      <c r="N14" s="584">
        <v>0</v>
      </c>
      <c r="O14" s="588">
        <v>0</v>
      </c>
      <c r="P14" s="582">
        <v>0</v>
      </c>
      <c r="Q14" s="589">
        <v>0</v>
      </c>
      <c r="R14" s="587">
        <v>0</v>
      </c>
      <c r="S14" s="584">
        <v>0</v>
      </c>
      <c r="T14" s="584">
        <v>0</v>
      </c>
      <c r="U14" s="588">
        <v>0</v>
      </c>
      <c r="V14" s="170">
        <v>0</v>
      </c>
      <c r="X14" s="583"/>
    </row>
    <row r="15" spans="1:24">
      <c r="A15" s="554"/>
      <c r="B15" s="556" t="s">
        <v>738</v>
      </c>
      <c r="C15" s="566">
        <v>5850.0776146060225</v>
      </c>
      <c r="D15" s="94">
        <v>4738.4658561056103</v>
      </c>
      <c r="E15" s="94">
        <v>4044.1739867192637</v>
      </c>
      <c r="F15" s="94">
        <v>4412.7386039334342</v>
      </c>
      <c r="G15" s="95">
        <v>4289.5174063492059</v>
      </c>
      <c r="H15" s="567">
        <v>5234.3502146341461</v>
      </c>
      <c r="I15" s="568">
        <v>5096.4284501262418</v>
      </c>
      <c r="J15" s="569">
        <v>0</v>
      </c>
      <c r="K15" s="94">
        <v>4122.6822420338985</v>
      </c>
      <c r="L15" s="94">
        <v>4078.2221054277829</v>
      </c>
      <c r="M15" s="94">
        <v>3927.7656381443298</v>
      </c>
      <c r="N15" s="570">
        <v>4052.6507105084747</v>
      </c>
      <c r="O15" s="571">
        <v>4165.5270648648648</v>
      </c>
      <c r="P15" s="566">
        <v>4052.7601146067418</v>
      </c>
      <c r="Q15" s="572">
        <v>0</v>
      </c>
      <c r="R15" s="569">
        <v>4103.9549263803683</v>
      </c>
      <c r="S15" s="570">
        <v>0</v>
      </c>
      <c r="T15" s="570">
        <v>0</v>
      </c>
      <c r="U15" s="571">
        <v>0</v>
      </c>
      <c r="V15" s="170">
        <v>0</v>
      </c>
    </row>
    <row r="16" spans="1:24">
      <c r="A16" s="554"/>
      <c r="B16" s="573" t="s">
        <v>740</v>
      </c>
      <c r="C16" s="574">
        <v>5927.8376208539603</v>
      </c>
      <c r="D16" s="226">
        <v>5654.8456844884495</v>
      </c>
      <c r="E16" s="226">
        <v>4097.0232923689455</v>
      </c>
      <c r="F16" s="226">
        <v>4654.159494469357</v>
      </c>
      <c r="G16" s="226">
        <v>4331.7684139344265</v>
      </c>
      <c r="H16" s="575">
        <v>5256.2242023255812</v>
      </c>
      <c r="I16" s="576">
        <v>5242.3477918887602</v>
      </c>
      <c r="J16" s="577">
        <v>0</v>
      </c>
      <c r="K16" s="226">
        <v>4089.4331245551607</v>
      </c>
      <c r="L16" s="226">
        <v>4030.6478266055046</v>
      </c>
      <c r="M16" s="226">
        <v>3995.1880085858588</v>
      </c>
      <c r="N16" s="226">
        <v>4032.0494003395588</v>
      </c>
      <c r="O16" s="578">
        <v>4169.6225368421055</v>
      </c>
      <c r="P16" s="574">
        <v>3832.118689411765</v>
      </c>
      <c r="Q16" s="579">
        <v>0</v>
      </c>
      <c r="R16" s="577">
        <v>3991.4372757763972</v>
      </c>
      <c r="S16" s="226">
        <v>0</v>
      </c>
      <c r="T16" s="226">
        <v>0</v>
      </c>
      <c r="U16" s="578">
        <v>0</v>
      </c>
      <c r="V16" s="170">
        <v>0</v>
      </c>
    </row>
    <row r="17" spans="1:22">
      <c r="A17" s="580"/>
      <c r="B17" s="581" t="s">
        <v>569</v>
      </c>
      <c r="C17" s="582">
        <v>1.3292132407575687</v>
      </c>
      <c r="D17" s="584">
        <v>19.339167068220299</v>
      </c>
      <c r="E17" s="584">
        <v>1.3068009888603853</v>
      </c>
      <c r="F17" s="584">
        <v>5.4709991278596171</v>
      </c>
      <c r="G17" s="584">
        <v>0.98498277504788756</v>
      </c>
      <c r="H17" s="585">
        <v>0.41789308690656612</v>
      </c>
      <c r="I17" s="586">
        <v>2.8631686521352777</v>
      </c>
      <c r="J17" s="587">
        <v>0</v>
      </c>
      <c r="K17" s="584">
        <v>-0.8064923641152274</v>
      </c>
      <c r="L17" s="584">
        <v>-1.1665445773284588</v>
      </c>
      <c r="M17" s="584">
        <v>1.7165578767419187</v>
      </c>
      <c r="N17" s="584">
        <v>-0.5083416173887616</v>
      </c>
      <c r="O17" s="588">
        <v>9.8318217922169215E-2</v>
      </c>
      <c r="P17" s="582">
        <v>-5.4442261312174081</v>
      </c>
      <c r="Q17" s="589">
        <v>0</v>
      </c>
      <c r="R17" s="587">
        <v>-2.7416882646713212</v>
      </c>
      <c r="S17" s="584">
        <v>0</v>
      </c>
      <c r="T17" s="584">
        <v>0</v>
      </c>
      <c r="U17" s="588">
        <v>0</v>
      </c>
      <c r="V17" s="170">
        <v>0</v>
      </c>
    </row>
    <row r="18" spans="1:22">
      <c r="A18" s="554"/>
      <c r="B18" s="556" t="s">
        <v>742</v>
      </c>
      <c r="C18" s="566">
        <v>50.081002892960463</v>
      </c>
      <c r="D18" s="94">
        <v>26.534653465346533</v>
      </c>
      <c r="E18" s="94">
        <v>55.046235138705413</v>
      </c>
      <c r="F18" s="94">
        <v>75.005405405405412</v>
      </c>
      <c r="G18" s="95">
        <v>52.075396825396822</v>
      </c>
      <c r="H18" s="567">
        <v>0</v>
      </c>
      <c r="I18" s="568">
        <v>50.458116319444443</v>
      </c>
      <c r="J18" s="569">
        <v>0</v>
      </c>
      <c r="K18" s="94">
        <v>16.668831168831169</v>
      </c>
      <c r="L18" s="94">
        <v>82.126785714285717</v>
      </c>
      <c r="M18" s="94">
        <v>43.261538461538464</v>
      </c>
      <c r="N18" s="570">
        <v>64.19668246445498</v>
      </c>
      <c r="O18" s="571">
        <v>0</v>
      </c>
      <c r="P18" s="566">
        <v>0</v>
      </c>
      <c r="Q18" s="572">
        <v>0</v>
      </c>
      <c r="R18" s="569">
        <v>0</v>
      </c>
      <c r="S18" s="570">
        <v>0</v>
      </c>
      <c r="T18" s="570">
        <v>0</v>
      </c>
      <c r="U18" s="571">
        <v>0</v>
      </c>
      <c r="V18" s="170">
        <v>0</v>
      </c>
    </row>
    <row r="19" spans="1:22">
      <c r="A19" s="554"/>
      <c r="B19" s="573" t="s">
        <v>567</v>
      </c>
      <c r="C19" s="574">
        <v>83.06271344303012</v>
      </c>
      <c r="D19" s="226">
        <v>92.993399339933987</v>
      </c>
      <c r="E19" s="226">
        <v>60.791914387633767</v>
      </c>
      <c r="F19" s="226">
        <v>139.0391061452514</v>
      </c>
      <c r="G19" s="226">
        <v>120.45985401459853</v>
      </c>
      <c r="H19" s="575">
        <v>0</v>
      </c>
      <c r="I19" s="576">
        <v>82.939329203161719</v>
      </c>
      <c r="J19" s="577">
        <v>0</v>
      </c>
      <c r="K19" s="226">
        <v>167.47058823529412</v>
      </c>
      <c r="L19" s="226">
        <v>161.71826086956523</v>
      </c>
      <c r="M19" s="226">
        <v>133.74615384615385</v>
      </c>
      <c r="N19" s="226">
        <v>158.32461355529131</v>
      </c>
      <c r="O19" s="578">
        <v>0</v>
      </c>
      <c r="P19" s="574">
        <v>0</v>
      </c>
      <c r="Q19" s="579">
        <v>0</v>
      </c>
      <c r="R19" s="577">
        <v>0</v>
      </c>
      <c r="S19" s="226">
        <v>0</v>
      </c>
      <c r="T19" s="226">
        <v>0</v>
      </c>
      <c r="U19" s="578">
        <v>0</v>
      </c>
      <c r="V19" s="170">
        <v>0</v>
      </c>
    </row>
    <row r="20" spans="1:22">
      <c r="A20" s="580"/>
      <c r="B20" s="581" t="s">
        <v>37</v>
      </c>
      <c r="C20" s="582">
        <v>65.856729388112285</v>
      </c>
      <c r="D20" s="584">
        <v>250.46019900497512</v>
      </c>
      <c r="E20" s="584">
        <v>10.437915026250936</v>
      </c>
      <c r="F20" s="584">
        <v>85.372114707923799</v>
      </c>
      <c r="G20" s="584">
        <v>131.31816819080115</v>
      </c>
      <c r="H20" s="585">
        <v>0</v>
      </c>
      <c r="I20" s="586">
        <v>64.372622786951666</v>
      </c>
      <c r="J20" s="587">
        <v>0</v>
      </c>
      <c r="K20" s="584">
        <v>904.69304979490823</v>
      </c>
      <c r="L20" s="584">
        <v>96.912930979879803</v>
      </c>
      <c r="M20" s="584">
        <v>209.15718349928875</v>
      </c>
      <c r="N20" s="584">
        <v>146.62429190628964</v>
      </c>
      <c r="O20" s="588">
        <v>0</v>
      </c>
      <c r="P20" s="582">
        <v>0</v>
      </c>
      <c r="Q20" s="589">
        <v>0</v>
      </c>
      <c r="R20" s="587">
        <v>0</v>
      </c>
      <c r="S20" s="584">
        <v>0</v>
      </c>
      <c r="T20" s="584">
        <v>0</v>
      </c>
      <c r="U20" s="588">
        <v>0</v>
      </c>
      <c r="V20" s="170">
        <v>0</v>
      </c>
    </row>
    <row r="21" spans="1:22">
      <c r="A21" s="554"/>
      <c r="B21" s="556" t="s">
        <v>571</v>
      </c>
      <c r="C21" s="566">
        <v>110.158709273021</v>
      </c>
      <c r="D21" s="94">
        <v>208.42050759075909</v>
      </c>
      <c r="E21" s="94">
        <v>204.74102274247494</v>
      </c>
      <c r="F21" s="94">
        <v>108.91458063540091</v>
      </c>
      <c r="G21" s="95">
        <v>94.398270634920635</v>
      </c>
      <c r="H21" s="567">
        <v>0</v>
      </c>
      <c r="I21" s="568">
        <v>138.81525146400276</v>
      </c>
      <c r="J21" s="569">
        <v>0</v>
      </c>
      <c r="K21" s="94">
        <v>0</v>
      </c>
      <c r="L21" s="94">
        <v>0</v>
      </c>
      <c r="M21" s="94">
        <v>0</v>
      </c>
      <c r="N21" s="570">
        <v>0</v>
      </c>
      <c r="O21" s="571">
        <v>0</v>
      </c>
      <c r="P21" s="566">
        <v>0</v>
      </c>
      <c r="Q21" s="572">
        <v>0</v>
      </c>
      <c r="R21" s="569">
        <v>0</v>
      </c>
      <c r="S21" s="570">
        <v>0</v>
      </c>
      <c r="T21" s="570">
        <v>0</v>
      </c>
      <c r="U21" s="571">
        <v>0</v>
      </c>
      <c r="V21" s="170">
        <v>0</v>
      </c>
    </row>
    <row r="22" spans="1:22">
      <c r="A22" s="554"/>
      <c r="B22" s="573" t="s">
        <v>573</v>
      </c>
      <c r="C22" s="574">
        <v>114.7808141648386</v>
      </c>
      <c r="D22" s="226">
        <v>209.25160858085809</v>
      </c>
      <c r="E22" s="226">
        <v>190.6290174386921</v>
      </c>
      <c r="F22" s="226">
        <v>112.40778953662182</v>
      </c>
      <c r="G22" s="226">
        <v>93.34240163934426</v>
      </c>
      <c r="H22" s="575">
        <v>0</v>
      </c>
      <c r="I22" s="576">
        <v>137.44486301276595</v>
      </c>
      <c r="J22" s="577">
        <v>0</v>
      </c>
      <c r="K22" s="226">
        <v>0</v>
      </c>
      <c r="L22" s="226">
        <v>0</v>
      </c>
      <c r="M22" s="226">
        <v>0</v>
      </c>
      <c r="N22" s="226">
        <v>0</v>
      </c>
      <c r="O22" s="578">
        <v>0</v>
      </c>
      <c r="P22" s="574">
        <v>7383.4368000000004</v>
      </c>
      <c r="Q22" s="579">
        <v>0</v>
      </c>
      <c r="R22" s="577">
        <v>7383.4368000000004</v>
      </c>
      <c r="S22" s="226">
        <v>0</v>
      </c>
      <c r="T22" s="226">
        <v>0</v>
      </c>
      <c r="U22" s="578">
        <v>0</v>
      </c>
      <c r="V22" s="170">
        <v>0</v>
      </c>
    </row>
    <row r="23" spans="1:22">
      <c r="A23" s="580"/>
      <c r="B23" s="581" t="s">
        <v>39</v>
      </c>
      <c r="C23" s="582">
        <v>4.1958597030780576</v>
      </c>
      <c r="D23" s="584">
        <v>0.39876161885705536</v>
      </c>
      <c r="E23" s="584">
        <v>-6.8926124890628495</v>
      </c>
      <c r="F23" s="584">
        <v>3.2072922475960026</v>
      </c>
      <c r="G23" s="584">
        <v>-1.1185257828079098</v>
      </c>
      <c r="H23" s="585">
        <v>0</v>
      </c>
      <c r="I23" s="586">
        <v>-0.98720308956265679</v>
      </c>
      <c r="J23" s="587">
        <v>0</v>
      </c>
      <c r="K23" s="584">
        <v>0</v>
      </c>
      <c r="L23" s="584">
        <v>0</v>
      </c>
      <c r="M23" s="584">
        <v>0</v>
      </c>
      <c r="N23" s="584">
        <v>0</v>
      </c>
      <c r="O23" s="588">
        <v>0</v>
      </c>
      <c r="P23" s="582">
        <v>0</v>
      </c>
      <c r="Q23" s="589">
        <v>0</v>
      </c>
      <c r="R23" s="587">
        <v>0</v>
      </c>
      <c r="S23" s="584">
        <v>0</v>
      </c>
      <c r="T23" s="584">
        <v>0</v>
      </c>
      <c r="U23" s="588">
        <v>0</v>
      </c>
      <c r="V23" s="170">
        <v>0</v>
      </c>
    </row>
    <row r="24" spans="1:22">
      <c r="A24" s="554"/>
      <c r="B24" s="556" t="s">
        <v>575</v>
      </c>
      <c r="C24" s="566">
        <v>66.798145502183402</v>
      </c>
      <c r="D24" s="94">
        <v>0</v>
      </c>
      <c r="E24" s="94">
        <v>0</v>
      </c>
      <c r="F24" s="94">
        <v>103.34291351351351</v>
      </c>
      <c r="G24" s="95">
        <v>0</v>
      </c>
      <c r="H24" s="567">
        <v>0</v>
      </c>
      <c r="I24" s="568">
        <v>69.529774626262622</v>
      </c>
      <c r="J24" s="569">
        <v>0</v>
      </c>
      <c r="K24" s="94">
        <v>0</v>
      </c>
      <c r="L24" s="94">
        <v>0</v>
      </c>
      <c r="M24" s="94">
        <v>0</v>
      </c>
      <c r="N24" s="570">
        <v>0</v>
      </c>
      <c r="O24" s="571">
        <v>0</v>
      </c>
      <c r="P24" s="566">
        <v>0</v>
      </c>
      <c r="Q24" s="572">
        <v>0</v>
      </c>
      <c r="R24" s="569">
        <v>0</v>
      </c>
      <c r="S24" s="570">
        <v>0</v>
      </c>
      <c r="T24" s="570">
        <v>0</v>
      </c>
      <c r="U24" s="571">
        <v>0</v>
      </c>
      <c r="V24" s="170">
        <v>0</v>
      </c>
    </row>
    <row r="25" spans="1:22">
      <c r="A25" s="554"/>
      <c r="B25" s="573" t="s">
        <v>577</v>
      </c>
      <c r="C25" s="574">
        <v>64.778296752425135</v>
      </c>
      <c r="D25" s="226">
        <v>0</v>
      </c>
      <c r="E25" s="226">
        <v>0</v>
      </c>
      <c r="F25" s="226">
        <v>99.7693687150838</v>
      </c>
      <c r="G25" s="226">
        <v>0</v>
      </c>
      <c r="H25" s="575">
        <v>0</v>
      </c>
      <c r="I25" s="576">
        <v>67.234532784313728</v>
      </c>
      <c r="J25" s="577">
        <v>0</v>
      </c>
      <c r="K25" s="226">
        <v>0</v>
      </c>
      <c r="L25" s="226">
        <v>0</v>
      </c>
      <c r="M25" s="226">
        <v>0</v>
      </c>
      <c r="N25" s="226">
        <v>0</v>
      </c>
      <c r="O25" s="578">
        <v>0</v>
      </c>
      <c r="P25" s="574">
        <v>0</v>
      </c>
      <c r="Q25" s="579">
        <v>0</v>
      </c>
      <c r="R25" s="577">
        <v>0</v>
      </c>
      <c r="S25" s="226">
        <v>0</v>
      </c>
      <c r="T25" s="226">
        <v>0</v>
      </c>
      <c r="U25" s="578">
        <v>0</v>
      </c>
      <c r="V25" s="170">
        <v>0</v>
      </c>
    </row>
    <row r="26" spans="1:22">
      <c r="A26" s="580"/>
      <c r="B26" s="581" t="s">
        <v>501</v>
      </c>
      <c r="C26" s="582">
        <v>-3.0238096201222318</v>
      </c>
      <c r="D26" s="584">
        <v>0</v>
      </c>
      <c r="E26" s="584">
        <v>0</v>
      </c>
      <c r="F26" s="584">
        <v>-3.4579485684448192</v>
      </c>
      <c r="G26" s="584">
        <v>0</v>
      </c>
      <c r="H26" s="585">
        <v>0</v>
      </c>
      <c r="I26" s="586">
        <v>-3.3010920203413696</v>
      </c>
      <c r="J26" s="587">
        <v>0</v>
      </c>
      <c r="K26" s="584">
        <v>0</v>
      </c>
      <c r="L26" s="584">
        <v>0</v>
      </c>
      <c r="M26" s="584">
        <v>0</v>
      </c>
      <c r="N26" s="584">
        <v>0</v>
      </c>
      <c r="O26" s="588">
        <v>0</v>
      </c>
      <c r="P26" s="582">
        <v>0</v>
      </c>
      <c r="Q26" s="589">
        <v>0</v>
      </c>
      <c r="R26" s="587">
        <v>0</v>
      </c>
      <c r="S26" s="584">
        <v>0</v>
      </c>
      <c r="T26" s="584">
        <v>0</v>
      </c>
      <c r="U26" s="588">
        <v>0</v>
      </c>
      <c r="V26" s="170">
        <v>0</v>
      </c>
    </row>
    <row r="27" spans="1:22">
      <c r="A27" s="554"/>
      <c r="B27" s="556" t="s">
        <v>579</v>
      </c>
      <c r="C27" s="566">
        <v>4620.3548387096771</v>
      </c>
      <c r="D27" s="94">
        <v>1521.6666666666667</v>
      </c>
      <c r="E27" s="94">
        <v>5876</v>
      </c>
      <c r="F27" s="94">
        <v>1013.2791666666667</v>
      </c>
      <c r="G27" s="95">
        <v>3357.1724137931033</v>
      </c>
      <c r="H27" s="567">
        <v>0</v>
      </c>
      <c r="I27" s="568">
        <v>3322.3701015965166</v>
      </c>
      <c r="J27" s="569">
        <v>0</v>
      </c>
      <c r="K27" s="94">
        <v>679.60714285714289</v>
      </c>
      <c r="L27" s="94">
        <v>1432.4052287581699</v>
      </c>
      <c r="M27" s="94">
        <v>1108.4444444444443</v>
      </c>
      <c r="N27" s="570">
        <v>1274.6327433628319</v>
      </c>
      <c r="O27" s="571">
        <v>628</v>
      </c>
      <c r="P27" s="566">
        <v>994</v>
      </c>
      <c r="Q27" s="572">
        <v>0</v>
      </c>
      <c r="R27" s="569">
        <v>719.5</v>
      </c>
      <c r="S27" s="570">
        <v>0</v>
      </c>
      <c r="T27" s="570">
        <v>0</v>
      </c>
      <c r="U27" s="571">
        <v>0</v>
      </c>
      <c r="V27" s="170">
        <v>0</v>
      </c>
    </row>
    <row r="28" spans="1:22">
      <c r="A28" s="554"/>
      <c r="B28" s="573" t="s">
        <v>581</v>
      </c>
      <c r="C28" s="574">
        <v>5342.151041666667</v>
      </c>
      <c r="D28" s="226">
        <v>1467.421052631579</v>
      </c>
      <c r="E28" s="226">
        <v>5349.65625</v>
      </c>
      <c r="F28" s="226">
        <v>1126.1234567901236</v>
      </c>
      <c r="G28" s="226">
        <v>2730.542857142857</v>
      </c>
      <c r="H28" s="575">
        <v>0</v>
      </c>
      <c r="I28" s="576">
        <v>3674.155680224404</v>
      </c>
      <c r="J28" s="577">
        <v>0</v>
      </c>
      <c r="K28" s="226">
        <v>1271.9130434782608</v>
      </c>
      <c r="L28" s="226">
        <v>1322.7461538461539</v>
      </c>
      <c r="M28" s="226">
        <v>1304.8983050847457</v>
      </c>
      <c r="N28" s="226">
        <v>1312.2641509433963</v>
      </c>
      <c r="O28" s="578">
        <v>1108.5</v>
      </c>
      <c r="P28" s="574">
        <v>480</v>
      </c>
      <c r="Q28" s="579">
        <v>0</v>
      </c>
      <c r="R28" s="577">
        <v>899</v>
      </c>
      <c r="S28" s="226">
        <v>0</v>
      </c>
      <c r="T28" s="226">
        <v>0</v>
      </c>
      <c r="U28" s="578">
        <v>0</v>
      </c>
      <c r="V28" s="170">
        <v>0</v>
      </c>
    </row>
    <row r="29" spans="1:22">
      <c r="A29" s="580"/>
      <c r="B29" s="581" t="s">
        <v>503</v>
      </c>
      <c r="C29" s="582">
        <v>15.622094582643903</v>
      </c>
      <c r="D29" s="584">
        <v>-3.5648815357122312</v>
      </c>
      <c r="E29" s="584">
        <v>-8.957517869298842</v>
      </c>
      <c r="F29" s="584">
        <v>11.136544975524862</v>
      </c>
      <c r="G29" s="584">
        <v>-18.665396929740901</v>
      </c>
      <c r="H29" s="585">
        <v>0</v>
      </c>
      <c r="I29" s="586">
        <v>10.588392258250877</v>
      </c>
      <c r="J29" s="587">
        <v>0</v>
      </c>
      <c r="K29" s="584">
        <v>87.154160583274475</v>
      </c>
      <c r="L29" s="584">
        <v>-7.6555902415327948</v>
      </c>
      <c r="M29" s="584">
        <v>17.723383578214843</v>
      </c>
      <c r="N29" s="584">
        <v>2.9523333506467457</v>
      </c>
      <c r="O29" s="588">
        <v>76.51273885350318</v>
      </c>
      <c r="P29" s="582">
        <v>-51.710261569416495</v>
      </c>
      <c r="Q29" s="589">
        <v>0</v>
      </c>
      <c r="R29" s="587">
        <v>24.947880472550381</v>
      </c>
      <c r="S29" s="584">
        <v>0</v>
      </c>
      <c r="T29" s="584">
        <v>0</v>
      </c>
      <c r="U29" s="588">
        <v>0</v>
      </c>
      <c r="V29" s="170">
        <v>0</v>
      </c>
    </row>
    <row r="30" spans="1:22">
      <c r="A30" s="554"/>
      <c r="B30" s="556" t="s">
        <v>583</v>
      </c>
      <c r="C30" s="566">
        <v>3323.0551537070523</v>
      </c>
      <c r="D30" s="94">
        <v>0</v>
      </c>
      <c r="E30" s="94">
        <v>46.903846153846153</v>
      </c>
      <c r="F30" s="94">
        <v>0</v>
      </c>
      <c r="G30" s="95">
        <v>3472.3529411764707</v>
      </c>
      <c r="H30" s="567">
        <v>7352.8888888888887</v>
      </c>
      <c r="I30" s="568">
        <v>3078.7888349514565</v>
      </c>
      <c r="J30" s="569">
        <v>0</v>
      </c>
      <c r="K30" s="94">
        <v>0</v>
      </c>
      <c r="L30" s="94">
        <v>0</v>
      </c>
      <c r="M30" s="94">
        <v>0</v>
      </c>
      <c r="N30" s="570">
        <v>0</v>
      </c>
      <c r="O30" s="571">
        <v>628</v>
      </c>
      <c r="P30" s="566">
        <v>0</v>
      </c>
      <c r="Q30" s="572">
        <v>0</v>
      </c>
      <c r="R30" s="569">
        <v>628</v>
      </c>
      <c r="S30" s="570">
        <v>0</v>
      </c>
      <c r="T30" s="570">
        <v>0</v>
      </c>
      <c r="U30" s="571">
        <v>0</v>
      </c>
      <c r="V30" s="170">
        <v>0</v>
      </c>
    </row>
    <row r="31" spans="1:22">
      <c r="A31" s="554"/>
      <c r="B31" s="573" t="s">
        <v>585</v>
      </c>
      <c r="C31" s="574">
        <v>2487.0697872340425</v>
      </c>
      <c r="D31" s="226">
        <v>0</v>
      </c>
      <c r="E31" s="226">
        <v>47</v>
      </c>
      <c r="F31" s="226">
        <v>0</v>
      </c>
      <c r="G31" s="226">
        <v>4888</v>
      </c>
      <c r="H31" s="575">
        <v>6016</v>
      </c>
      <c r="I31" s="576">
        <v>2244.0993975903616</v>
      </c>
      <c r="J31" s="577">
        <v>0</v>
      </c>
      <c r="K31" s="226">
        <v>0</v>
      </c>
      <c r="L31" s="226">
        <v>0</v>
      </c>
      <c r="M31" s="226">
        <v>0</v>
      </c>
      <c r="N31" s="226">
        <v>0</v>
      </c>
      <c r="O31" s="578">
        <v>0</v>
      </c>
      <c r="P31" s="574">
        <v>3600</v>
      </c>
      <c r="Q31" s="579">
        <v>0</v>
      </c>
      <c r="R31" s="577">
        <v>3600</v>
      </c>
      <c r="S31" s="226">
        <v>0</v>
      </c>
      <c r="T31" s="226">
        <v>0</v>
      </c>
      <c r="U31" s="578">
        <v>0</v>
      </c>
      <c r="V31" s="170">
        <v>0</v>
      </c>
    </row>
    <row r="32" spans="1:22">
      <c r="A32" s="580"/>
      <c r="B32" s="581" t="s">
        <v>694</v>
      </c>
      <c r="C32" s="582">
        <v>-25.157131850201818</v>
      </c>
      <c r="D32" s="584">
        <v>0</v>
      </c>
      <c r="E32" s="584">
        <v>0.20500205002050137</v>
      </c>
      <c r="F32" s="584">
        <v>0</v>
      </c>
      <c r="G32" s="584">
        <v>40.769100457394543</v>
      </c>
      <c r="H32" s="585">
        <v>-18.18181818181818</v>
      </c>
      <c r="I32" s="586">
        <v>-27.110967400083336</v>
      </c>
      <c r="J32" s="587">
        <v>0</v>
      </c>
      <c r="K32" s="584">
        <v>0</v>
      </c>
      <c r="L32" s="584">
        <v>0</v>
      </c>
      <c r="M32" s="584">
        <v>0</v>
      </c>
      <c r="N32" s="584">
        <v>0</v>
      </c>
      <c r="O32" s="588">
        <v>-100</v>
      </c>
      <c r="P32" s="582">
        <v>0</v>
      </c>
      <c r="Q32" s="589">
        <v>0</v>
      </c>
      <c r="R32" s="587">
        <v>473.24840764331208</v>
      </c>
      <c r="S32" s="584">
        <v>0</v>
      </c>
      <c r="T32" s="584">
        <v>0</v>
      </c>
      <c r="U32" s="588">
        <v>0</v>
      </c>
      <c r="V32" s="170">
        <v>0</v>
      </c>
    </row>
    <row r="33" spans="1:22">
      <c r="A33" s="554"/>
      <c r="B33" s="556" t="s">
        <v>587</v>
      </c>
      <c r="C33" s="574">
        <v>26506.273891979497</v>
      </c>
      <c r="D33" s="94">
        <v>22132.780198283828</v>
      </c>
      <c r="E33" s="94">
        <v>16704.609161078239</v>
      </c>
      <c r="F33" s="94">
        <v>17619.360339848714</v>
      </c>
      <c r="G33" s="95">
        <v>14525.993290079366</v>
      </c>
      <c r="H33" s="575">
        <v>23277.017581219512</v>
      </c>
      <c r="I33" s="568">
        <v>22232.316606672277</v>
      </c>
      <c r="J33" s="569">
        <v>0</v>
      </c>
      <c r="K33" s="94">
        <v>19815.723014440679</v>
      </c>
      <c r="L33" s="94">
        <v>20007.62021481141</v>
      </c>
      <c r="M33" s="94">
        <v>19435.24952474227</v>
      </c>
      <c r="N33" s="570">
        <v>19850.168518847458</v>
      </c>
      <c r="O33" s="571">
        <v>19176.484254864867</v>
      </c>
      <c r="P33" s="566">
        <v>19204.413050561798</v>
      </c>
      <c r="Q33" s="572">
        <v>0</v>
      </c>
      <c r="R33" s="577">
        <v>19191.73372</v>
      </c>
      <c r="S33" s="570">
        <v>0</v>
      </c>
      <c r="T33" s="570">
        <v>0</v>
      </c>
      <c r="U33" s="571">
        <v>0</v>
      </c>
      <c r="V33" s="170">
        <v>0</v>
      </c>
    </row>
    <row r="34" spans="1:22">
      <c r="A34" s="554"/>
      <c r="B34" s="573" t="s">
        <v>589</v>
      </c>
      <c r="C34" s="574">
        <v>25770.995562110227</v>
      </c>
      <c r="D34" s="226">
        <v>23755.574266930693</v>
      </c>
      <c r="E34" s="226">
        <v>18511.612491970802</v>
      </c>
      <c r="F34" s="226">
        <v>18384.251582716417</v>
      </c>
      <c r="G34" s="226">
        <v>15152.611876475408</v>
      </c>
      <c r="H34" s="575">
        <v>22763.313263720931</v>
      </c>
      <c r="I34" s="576">
        <v>22651.661739397063</v>
      </c>
      <c r="J34" s="577">
        <v>0</v>
      </c>
      <c r="K34" s="226">
        <v>19888.836007544483</v>
      </c>
      <c r="L34" s="226">
        <v>19873.030236770643</v>
      </c>
      <c r="M34" s="226">
        <v>19487.838934696971</v>
      </c>
      <c r="N34" s="226">
        <v>19789.21906867006</v>
      </c>
      <c r="O34" s="578">
        <v>19150.803055</v>
      </c>
      <c r="P34" s="574">
        <v>19139.189338823529</v>
      </c>
      <c r="Q34" s="579">
        <v>0</v>
      </c>
      <c r="R34" s="577">
        <v>19144.671589937887</v>
      </c>
      <c r="S34" s="226">
        <v>0</v>
      </c>
      <c r="T34" s="226">
        <v>0</v>
      </c>
      <c r="U34" s="578">
        <v>0</v>
      </c>
      <c r="V34" s="170">
        <v>0</v>
      </c>
    </row>
    <row r="35" spans="1:22">
      <c r="A35" s="580"/>
      <c r="B35" s="581" t="s">
        <v>696</v>
      </c>
      <c r="C35" s="582">
        <v>-2.7739784658746669</v>
      </c>
      <c r="D35" s="584">
        <v>7.332084148979602</v>
      </c>
      <c r="E35" s="584">
        <v>10.81739365146527</v>
      </c>
      <c r="F35" s="584">
        <v>4.3411975696858391</v>
      </c>
      <c r="G35" s="584">
        <v>4.3137744447671986</v>
      </c>
      <c r="H35" s="585">
        <v>-2.2069163959950382</v>
      </c>
      <c r="I35" s="586">
        <v>1.8861962976855662</v>
      </c>
      <c r="J35" s="587">
        <v>0</v>
      </c>
      <c r="K35" s="584">
        <v>0.36896454926486366</v>
      </c>
      <c r="L35" s="584">
        <v>-0.67269358672218171</v>
      </c>
      <c r="M35" s="584">
        <v>0.27058777860171451</v>
      </c>
      <c r="N35" s="584">
        <v>-0.30704752012320791</v>
      </c>
      <c r="O35" s="588">
        <v>-0.13392027195157691</v>
      </c>
      <c r="P35" s="582">
        <v>-0.33962876952576426</v>
      </c>
      <c r="Q35" s="589">
        <v>0</v>
      </c>
      <c r="R35" s="587">
        <v>-0.24522083699540453</v>
      </c>
      <c r="S35" s="584">
        <v>0</v>
      </c>
      <c r="T35" s="584">
        <v>0</v>
      </c>
      <c r="U35" s="588">
        <v>0</v>
      </c>
      <c r="V35" s="170">
        <v>0</v>
      </c>
    </row>
    <row r="36" spans="1:22">
      <c r="A36" s="549" t="s">
        <v>743</v>
      </c>
      <c r="B36" s="556" t="s">
        <v>726</v>
      </c>
      <c r="C36" s="566">
        <v>7076.6587825799343</v>
      </c>
      <c r="D36" s="94">
        <v>0</v>
      </c>
      <c r="E36" s="94">
        <v>5943.7116840213048</v>
      </c>
      <c r="F36" s="94">
        <v>5529.2760312633827</v>
      </c>
      <c r="G36" s="95">
        <v>4794.7483013157889</v>
      </c>
      <c r="H36" s="567">
        <v>5043.1510415189878</v>
      </c>
      <c r="I36" s="568">
        <v>5979.8054592447552</v>
      </c>
      <c r="J36" s="569">
        <v>0</v>
      </c>
      <c r="K36" s="94">
        <v>4616.2590265822782</v>
      </c>
      <c r="L36" s="94">
        <v>5548.384751162791</v>
      </c>
      <c r="M36" s="94">
        <v>5222.4765003460216</v>
      </c>
      <c r="N36" s="570">
        <v>5234.4049718042361</v>
      </c>
      <c r="O36" s="571">
        <v>0</v>
      </c>
      <c r="P36" s="566">
        <v>0</v>
      </c>
      <c r="Q36" s="572">
        <v>0</v>
      </c>
      <c r="R36" s="569">
        <v>0</v>
      </c>
      <c r="S36" s="570">
        <v>0</v>
      </c>
      <c r="T36" s="570">
        <v>0</v>
      </c>
      <c r="U36" s="571">
        <v>0</v>
      </c>
      <c r="V36" s="170">
        <v>0</v>
      </c>
    </row>
    <row r="37" spans="1:22">
      <c r="A37" s="554"/>
      <c r="B37" s="573" t="s">
        <v>728</v>
      </c>
      <c r="C37" s="574">
        <v>6959.5844819810327</v>
      </c>
      <c r="D37" s="226">
        <v>0</v>
      </c>
      <c r="E37" s="226">
        <v>5942.2945693470792</v>
      </c>
      <c r="F37" s="226">
        <v>5630.9783605263156</v>
      </c>
      <c r="G37" s="226">
        <v>4662.5578006472497</v>
      </c>
      <c r="H37" s="575">
        <v>5132.5118151133502</v>
      </c>
      <c r="I37" s="576">
        <v>5972.1671214806511</v>
      </c>
      <c r="J37" s="577">
        <v>0</v>
      </c>
      <c r="K37" s="226">
        <v>4740.4140327485384</v>
      </c>
      <c r="L37" s="226">
        <v>5455.9405323943665</v>
      </c>
      <c r="M37" s="226">
        <v>5207.898770888889</v>
      </c>
      <c r="N37" s="226">
        <v>5213.5894687237023</v>
      </c>
      <c r="O37" s="578">
        <v>0</v>
      </c>
      <c r="P37" s="574">
        <v>0</v>
      </c>
      <c r="Q37" s="579">
        <v>0</v>
      </c>
      <c r="R37" s="577">
        <v>0</v>
      </c>
      <c r="S37" s="226">
        <v>0</v>
      </c>
      <c r="T37" s="226">
        <v>0</v>
      </c>
      <c r="U37" s="578">
        <v>0</v>
      </c>
      <c r="V37" s="170">
        <v>0</v>
      </c>
    </row>
    <row r="38" spans="1:22">
      <c r="A38" s="580"/>
      <c r="B38" s="581" t="s">
        <v>495</v>
      </c>
      <c r="C38" s="582">
        <v>-1.6543725534300786</v>
      </c>
      <c r="D38" s="584">
        <v>0</v>
      </c>
      <c r="E38" s="584">
        <v>-2.3842251265909137E-2</v>
      </c>
      <c r="F38" s="584">
        <v>1.8393425954481586</v>
      </c>
      <c r="G38" s="584">
        <v>-2.7569851921583273</v>
      </c>
      <c r="H38" s="585">
        <v>1.7719234038139595</v>
      </c>
      <c r="I38" s="586">
        <v>-0.12773555621772392</v>
      </c>
      <c r="J38" s="587">
        <v>0</v>
      </c>
      <c r="K38" s="584">
        <v>2.6895155893836464</v>
      </c>
      <c r="L38" s="584">
        <v>-1.6661465077570663</v>
      </c>
      <c r="M38" s="584">
        <v>-0.27913441939215478</v>
      </c>
      <c r="N38" s="584">
        <v>-0.39766703555913235</v>
      </c>
      <c r="O38" s="588">
        <v>0</v>
      </c>
      <c r="P38" s="582">
        <v>0</v>
      </c>
      <c r="Q38" s="589">
        <v>0</v>
      </c>
      <c r="R38" s="587">
        <v>0</v>
      </c>
      <c r="S38" s="584">
        <v>0</v>
      </c>
      <c r="T38" s="584">
        <v>0</v>
      </c>
      <c r="U38" s="588">
        <v>0</v>
      </c>
      <c r="V38" s="170">
        <v>0</v>
      </c>
    </row>
    <row r="39" spans="1:22">
      <c r="A39" s="554"/>
      <c r="B39" s="556" t="s">
        <v>730</v>
      </c>
      <c r="C39" s="566">
        <v>6607.8306074766351</v>
      </c>
      <c r="D39" s="94">
        <v>0</v>
      </c>
      <c r="E39" s="94">
        <v>4647.7812949640283</v>
      </c>
      <c r="F39" s="94">
        <v>4031.3978021978023</v>
      </c>
      <c r="G39" s="95">
        <v>5764.0233333333335</v>
      </c>
      <c r="H39" s="567">
        <v>5079.09375</v>
      </c>
      <c r="I39" s="568">
        <v>5208.4443131462331</v>
      </c>
      <c r="J39" s="569">
        <v>0</v>
      </c>
      <c r="K39" s="94">
        <v>5000</v>
      </c>
      <c r="L39" s="94">
        <v>5622.7802547770698</v>
      </c>
      <c r="M39" s="94">
        <v>6101.9331395348836</v>
      </c>
      <c r="N39" s="570">
        <v>5822.1405172413797</v>
      </c>
      <c r="O39" s="571">
        <v>0</v>
      </c>
      <c r="P39" s="566">
        <v>0</v>
      </c>
      <c r="Q39" s="572">
        <v>0</v>
      </c>
      <c r="R39" s="569">
        <v>0</v>
      </c>
      <c r="S39" s="570">
        <v>0</v>
      </c>
      <c r="T39" s="570">
        <v>0</v>
      </c>
      <c r="U39" s="571">
        <v>0</v>
      </c>
      <c r="V39" s="170">
        <v>0</v>
      </c>
    </row>
    <row r="40" spans="1:22">
      <c r="A40" s="554"/>
      <c r="B40" s="573" t="s">
        <v>732</v>
      </c>
      <c r="C40" s="574">
        <v>6817.5375982042651</v>
      </c>
      <c r="D40" s="226">
        <v>0</v>
      </c>
      <c r="E40" s="226">
        <v>5424.0989660265877</v>
      </c>
      <c r="F40" s="226">
        <v>4554.6447963800902</v>
      </c>
      <c r="G40" s="226">
        <v>6182.8561872909695</v>
      </c>
      <c r="H40" s="575">
        <v>5250.671875</v>
      </c>
      <c r="I40" s="576">
        <v>5726.0359050445104</v>
      </c>
      <c r="J40" s="577">
        <v>0</v>
      </c>
      <c r="K40" s="226">
        <v>5029.2397660818715</v>
      </c>
      <c r="L40" s="226">
        <v>3059.8159509202455</v>
      </c>
      <c r="M40" s="226">
        <v>6198.8103932584272</v>
      </c>
      <c r="N40" s="226">
        <v>5186.9751861042187</v>
      </c>
      <c r="O40" s="578">
        <v>0</v>
      </c>
      <c r="P40" s="574">
        <v>0</v>
      </c>
      <c r="Q40" s="579">
        <v>0</v>
      </c>
      <c r="R40" s="577">
        <v>0</v>
      </c>
      <c r="S40" s="226">
        <v>0</v>
      </c>
      <c r="T40" s="226">
        <v>0</v>
      </c>
      <c r="U40" s="578">
        <v>0</v>
      </c>
      <c r="V40" s="170">
        <v>0</v>
      </c>
    </row>
    <row r="41" spans="1:22">
      <c r="A41" s="580"/>
      <c r="B41" s="581" t="s">
        <v>497</v>
      </c>
      <c r="C41" s="582">
        <v>3.1736132958727863</v>
      </c>
      <c r="D41" s="584">
        <v>0</v>
      </c>
      <c r="E41" s="584">
        <v>16.702973349966282</v>
      </c>
      <c r="F41" s="584">
        <v>12.979294524024112</v>
      </c>
      <c r="G41" s="584">
        <v>7.2663282179224797</v>
      </c>
      <c r="H41" s="585">
        <v>3.3781247885018857</v>
      </c>
      <c r="I41" s="586">
        <v>9.9375468139663941</v>
      </c>
      <c r="J41" s="587">
        <v>0</v>
      </c>
      <c r="K41" s="584">
        <v>0.58479532163742987</v>
      </c>
      <c r="L41" s="584">
        <v>-45.581797397814903</v>
      </c>
      <c r="M41" s="584">
        <v>1.5876485616643128</v>
      </c>
      <c r="N41" s="584">
        <v>-10.909481302559016</v>
      </c>
      <c r="O41" s="588">
        <v>0</v>
      </c>
      <c r="P41" s="582">
        <v>0</v>
      </c>
      <c r="Q41" s="589">
        <v>0</v>
      </c>
      <c r="R41" s="587">
        <v>0</v>
      </c>
      <c r="S41" s="584">
        <v>0</v>
      </c>
      <c r="T41" s="584">
        <v>0</v>
      </c>
      <c r="U41" s="588">
        <v>0</v>
      </c>
      <c r="V41" s="170">
        <v>0</v>
      </c>
    </row>
    <row r="42" spans="1:22">
      <c r="A42" s="554"/>
      <c r="B42" s="556" t="s">
        <v>734</v>
      </c>
      <c r="C42" s="566">
        <v>55.302094818081585</v>
      </c>
      <c r="D42" s="94">
        <v>0</v>
      </c>
      <c r="E42" s="94">
        <v>118.29757785467127</v>
      </c>
      <c r="F42" s="94">
        <v>182.4655172413793</v>
      </c>
      <c r="G42" s="95">
        <v>88.801948051948045</v>
      </c>
      <c r="H42" s="567">
        <v>381.55696202531647</v>
      </c>
      <c r="I42" s="568">
        <v>133.45122328894394</v>
      </c>
      <c r="J42" s="569">
        <v>0</v>
      </c>
      <c r="K42" s="94">
        <v>136.56962025316454</v>
      </c>
      <c r="L42" s="94">
        <v>168.53352769679302</v>
      </c>
      <c r="M42" s="94">
        <v>160.37134052388291</v>
      </c>
      <c r="N42" s="570">
        <v>159.53565217391304</v>
      </c>
      <c r="O42" s="571">
        <v>0</v>
      </c>
      <c r="P42" s="566">
        <v>0</v>
      </c>
      <c r="Q42" s="572">
        <v>0</v>
      </c>
      <c r="R42" s="569">
        <v>0</v>
      </c>
      <c r="S42" s="570">
        <v>0</v>
      </c>
      <c r="T42" s="570">
        <v>0</v>
      </c>
      <c r="U42" s="571">
        <v>0</v>
      </c>
      <c r="V42" s="170">
        <v>0</v>
      </c>
    </row>
    <row r="43" spans="1:22">
      <c r="A43" s="554"/>
      <c r="B43" s="573" t="s">
        <v>736</v>
      </c>
      <c r="C43" s="574">
        <v>55.220231822971549</v>
      </c>
      <c r="D43" s="226">
        <v>0</v>
      </c>
      <c r="E43" s="226">
        <v>127.15346534653466</v>
      </c>
      <c r="F43" s="226">
        <v>184.18674698795181</v>
      </c>
      <c r="G43" s="226">
        <v>86.816720257234721</v>
      </c>
      <c r="H43" s="575">
        <v>388.83375314861462</v>
      </c>
      <c r="I43" s="576">
        <v>137.20759962928636</v>
      </c>
      <c r="J43" s="577">
        <v>0</v>
      </c>
      <c r="K43" s="226">
        <v>140.05847953216374</v>
      </c>
      <c r="L43" s="226">
        <v>168.28735632183907</v>
      </c>
      <c r="M43" s="226">
        <v>168.52054794520549</v>
      </c>
      <c r="N43" s="226">
        <v>164.31292517006804</v>
      </c>
      <c r="O43" s="578">
        <v>0</v>
      </c>
      <c r="P43" s="574">
        <v>0</v>
      </c>
      <c r="Q43" s="579">
        <v>0</v>
      </c>
      <c r="R43" s="577">
        <v>0</v>
      </c>
      <c r="S43" s="226">
        <v>0</v>
      </c>
      <c r="T43" s="226">
        <v>0</v>
      </c>
      <c r="U43" s="578">
        <v>0</v>
      </c>
      <c r="V43" s="170">
        <v>0</v>
      </c>
    </row>
    <row r="44" spans="1:22">
      <c r="A44" s="580"/>
      <c r="B44" s="581" t="s">
        <v>499</v>
      </c>
      <c r="C44" s="582">
        <v>-0.1480287417309015</v>
      </c>
      <c r="D44" s="584">
        <v>0</v>
      </c>
      <c r="E44" s="584">
        <v>7.4861105801699965</v>
      </c>
      <c r="F44" s="584">
        <v>0.94331782387985696</v>
      </c>
      <c r="G44" s="584">
        <v>-2.2355678431198274</v>
      </c>
      <c r="H44" s="585">
        <v>1.9071310046795413</v>
      </c>
      <c r="I44" s="586">
        <v>2.8147934861632944</v>
      </c>
      <c r="J44" s="587">
        <v>0</v>
      </c>
      <c r="K44" s="584">
        <v>2.5546379000921018</v>
      </c>
      <c r="L44" s="584">
        <v>-0.146066707508093</v>
      </c>
      <c r="M44" s="584">
        <v>5.0814611854597462</v>
      </c>
      <c r="N44" s="584">
        <v>2.9944861421616302</v>
      </c>
      <c r="O44" s="588">
        <v>0</v>
      </c>
      <c r="P44" s="582">
        <v>0</v>
      </c>
      <c r="Q44" s="589">
        <v>0</v>
      </c>
      <c r="R44" s="587">
        <v>0</v>
      </c>
      <c r="S44" s="584">
        <v>0</v>
      </c>
      <c r="T44" s="584">
        <v>0</v>
      </c>
      <c r="U44" s="588">
        <v>0</v>
      </c>
      <c r="V44" s="170">
        <v>0</v>
      </c>
    </row>
    <row r="45" spans="1:22">
      <c r="A45" s="554"/>
      <c r="B45" s="556" t="s">
        <v>738</v>
      </c>
      <c r="C45" s="566">
        <v>5509.4043584070796</v>
      </c>
      <c r="D45" s="94">
        <v>0</v>
      </c>
      <c r="E45" s="94">
        <v>4352.3390269662923</v>
      </c>
      <c r="F45" s="94">
        <v>3713.8983405982904</v>
      </c>
      <c r="G45" s="95">
        <v>3790.0812441558442</v>
      </c>
      <c r="H45" s="567">
        <v>3947.5273549367089</v>
      </c>
      <c r="I45" s="568">
        <v>4467.7573131549607</v>
      </c>
      <c r="J45" s="569">
        <v>0</v>
      </c>
      <c r="K45" s="94">
        <v>3531.4426835443037</v>
      </c>
      <c r="L45" s="94">
        <v>3323.631979651163</v>
      </c>
      <c r="M45" s="94">
        <v>3195.0030688787188</v>
      </c>
      <c r="N45" s="570">
        <v>3265.7921709302327</v>
      </c>
      <c r="O45" s="571">
        <v>0</v>
      </c>
      <c r="P45" s="566">
        <v>0</v>
      </c>
      <c r="Q45" s="572">
        <v>0</v>
      </c>
      <c r="R45" s="569">
        <v>0</v>
      </c>
      <c r="S45" s="570">
        <v>0</v>
      </c>
      <c r="T45" s="570">
        <v>0</v>
      </c>
      <c r="U45" s="571">
        <v>0</v>
      </c>
      <c r="V45" s="170">
        <v>0</v>
      </c>
    </row>
    <row r="46" spans="1:22">
      <c r="A46" s="554"/>
      <c r="B46" s="573" t="s">
        <v>740</v>
      </c>
      <c r="C46" s="574">
        <v>5578.1956700529108</v>
      </c>
      <c r="D46" s="226">
        <v>0</v>
      </c>
      <c r="E46" s="226">
        <v>4468.610951502732</v>
      </c>
      <c r="F46" s="226">
        <v>3799.3372618421054</v>
      </c>
      <c r="G46" s="226">
        <v>3687.1938707395502</v>
      </c>
      <c r="H46" s="575">
        <v>3660.8161153652395</v>
      </c>
      <c r="I46" s="576">
        <v>4518.8918063811925</v>
      </c>
      <c r="J46" s="577">
        <v>0</v>
      </c>
      <c r="K46" s="226">
        <v>3626.4129976608187</v>
      </c>
      <c r="L46" s="226">
        <v>3241.3172028169015</v>
      </c>
      <c r="M46" s="226">
        <v>3153.3736024444447</v>
      </c>
      <c r="N46" s="226">
        <v>3231.991915708275</v>
      </c>
      <c r="O46" s="578">
        <v>0</v>
      </c>
      <c r="P46" s="574">
        <v>0</v>
      </c>
      <c r="Q46" s="579">
        <v>0</v>
      </c>
      <c r="R46" s="577">
        <v>0</v>
      </c>
      <c r="S46" s="226">
        <v>0</v>
      </c>
      <c r="T46" s="226">
        <v>0</v>
      </c>
      <c r="U46" s="578">
        <v>0</v>
      </c>
      <c r="V46" s="170">
        <v>0</v>
      </c>
    </row>
    <row r="47" spans="1:22">
      <c r="A47" s="580"/>
      <c r="B47" s="581" t="s">
        <v>569</v>
      </c>
      <c r="C47" s="582">
        <v>1.2486161329011742</v>
      </c>
      <c r="D47" s="584">
        <v>0</v>
      </c>
      <c r="E47" s="584">
        <v>2.6714813302925204</v>
      </c>
      <c r="F47" s="584">
        <v>2.3005185766622578</v>
      </c>
      <c r="G47" s="584">
        <v>-2.7146482301650452</v>
      </c>
      <c r="H47" s="585">
        <v>-7.2630589681136293</v>
      </c>
      <c r="I47" s="586">
        <v>1.1445226238155399</v>
      </c>
      <c r="J47" s="587">
        <v>0</v>
      </c>
      <c r="K47" s="584">
        <v>2.6892780834035475</v>
      </c>
      <c r="L47" s="584">
        <v>-2.4766513662833676</v>
      </c>
      <c r="M47" s="584">
        <v>-1.3029554443865943</v>
      </c>
      <c r="N47" s="584">
        <v>-1.0349787571549609</v>
      </c>
      <c r="O47" s="588">
        <v>0</v>
      </c>
      <c r="P47" s="582">
        <v>0</v>
      </c>
      <c r="Q47" s="589">
        <v>0</v>
      </c>
      <c r="R47" s="587">
        <v>0</v>
      </c>
      <c r="S47" s="584">
        <v>0</v>
      </c>
      <c r="T47" s="584">
        <v>0</v>
      </c>
      <c r="U47" s="588">
        <v>0</v>
      </c>
      <c r="V47" s="170">
        <v>0</v>
      </c>
    </row>
    <row r="48" spans="1:22">
      <c r="A48" s="554"/>
      <c r="B48" s="556" t="s">
        <v>742</v>
      </c>
      <c r="C48" s="566">
        <v>157.08590308370043</v>
      </c>
      <c r="D48" s="94">
        <v>0</v>
      </c>
      <c r="E48" s="94">
        <v>84.19629874421679</v>
      </c>
      <c r="F48" s="94">
        <v>36.299319727891159</v>
      </c>
      <c r="G48" s="95">
        <v>85.067741935483866</v>
      </c>
      <c r="H48" s="567">
        <v>379.58481012658228</v>
      </c>
      <c r="I48" s="568">
        <v>133.62631578947369</v>
      </c>
      <c r="J48" s="569">
        <v>0</v>
      </c>
      <c r="K48" s="94">
        <v>164.82911392405063</v>
      </c>
      <c r="L48" s="94">
        <v>196.30813953488371</v>
      </c>
      <c r="M48" s="94">
        <v>147.90726429675425</v>
      </c>
      <c r="N48" s="570">
        <v>164.72497824194951</v>
      </c>
      <c r="O48" s="571">
        <v>0</v>
      </c>
      <c r="P48" s="566">
        <v>0</v>
      </c>
      <c r="Q48" s="572">
        <v>0</v>
      </c>
      <c r="R48" s="569">
        <v>0</v>
      </c>
      <c r="S48" s="570">
        <v>0</v>
      </c>
      <c r="T48" s="570">
        <v>0</v>
      </c>
      <c r="U48" s="571">
        <v>0</v>
      </c>
      <c r="V48" s="170">
        <v>0</v>
      </c>
    </row>
    <row r="49" spans="1:22">
      <c r="A49" s="554"/>
      <c r="B49" s="573" t="s">
        <v>567</v>
      </c>
      <c r="C49" s="574">
        <v>341.66071428571428</v>
      </c>
      <c r="D49" s="226">
        <v>0</v>
      </c>
      <c r="E49" s="226">
        <v>105.69767441860465</v>
      </c>
      <c r="F49" s="226">
        <v>306.4206896551724</v>
      </c>
      <c r="G49" s="226">
        <v>92.996794871794876</v>
      </c>
      <c r="H49" s="575">
        <v>368.16624685138538</v>
      </c>
      <c r="I49" s="576">
        <v>217.94022853794317</v>
      </c>
      <c r="J49" s="577">
        <v>0</v>
      </c>
      <c r="K49" s="226">
        <v>328.41520467836256</v>
      </c>
      <c r="L49" s="226">
        <v>327.84788732394367</v>
      </c>
      <c r="M49" s="226">
        <v>164.36384976525821</v>
      </c>
      <c r="N49" s="226">
        <v>226.83817126269957</v>
      </c>
      <c r="O49" s="578">
        <v>0</v>
      </c>
      <c r="P49" s="574">
        <v>0</v>
      </c>
      <c r="Q49" s="579">
        <v>0</v>
      </c>
      <c r="R49" s="577">
        <v>0</v>
      </c>
      <c r="S49" s="226">
        <v>0</v>
      </c>
      <c r="T49" s="226">
        <v>0</v>
      </c>
      <c r="U49" s="578">
        <v>0</v>
      </c>
      <c r="V49" s="170">
        <v>0</v>
      </c>
    </row>
    <row r="50" spans="1:22">
      <c r="A50" s="580"/>
      <c r="B50" s="581" t="s">
        <v>37</v>
      </c>
      <c r="C50" s="582">
        <v>117.49928388142278</v>
      </c>
      <c r="D50" s="584">
        <v>0</v>
      </c>
      <c r="E50" s="584">
        <v>25.537198184575455</v>
      </c>
      <c r="F50" s="584">
        <v>744.14995088662556</v>
      </c>
      <c r="G50" s="584">
        <v>9.3208691754442885</v>
      </c>
      <c r="H50" s="585">
        <v>-3.0081718157765822</v>
      </c>
      <c r="I50" s="586">
        <v>63.096787672650358</v>
      </c>
      <c r="J50" s="587">
        <v>0</v>
      </c>
      <c r="K50" s="584">
        <v>99.245871593830529</v>
      </c>
      <c r="L50" s="584">
        <v>67.006772159687003</v>
      </c>
      <c r="M50" s="584">
        <v>11.126286154198779</v>
      </c>
      <c r="N50" s="584">
        <v>37.707209728398112</v>
      </c>
      <c r="O50" s="588">
        <v>0</v>
      </c>
      <c r="P50" s="582">
        <v>0</v>
      </c>
      <c r="Q50" s="589">
        <v>0</v>
      </c>
      <c r="R50" s="587">
        <v>0</v>
      </c>
      <c r="S50" s="584">
        <v>0</v>
      </c>
      <c r="T50" s="584">
        <v>0</v>
      </c>
      <c r="U50" s="588">
        <v>0</v>
      </c>
      <c r="V50" s="170">
        <v>0</v>
      </c>
    </row>
    <row r="51" spans="1:22">
      <c r="A51" s="554"/>
      <c r="B51" s="556" t="s">
        <v>571</v>
      </c>
      <c r="C51" s="566">
        <v>140.1443045203969</v>
      </c>
      <c r="D51" s="94">
        <v>0</v>
      </c>
      <c r="E51" s="94">
        <v>150.72314939597317</v>
      </c>
      <c r="F51" s="94">
        <v>187.46267999999998</v>
      </c>
      <c r="G51" s="95">
        <v>158.15485177993526</v>
      </c>
      <c r="H51" s="567">
        <v>208.25669822784809</v>
      </c>
      <c r="I51" s="568">
        <v>158.91960585337586</v>
      </c>
      <c r="J51" s="569">
        <v>0</v>
      </c>
      <c r="K51" s="94">
        <v>49.586387341772152</v>
      </c>
      <c r="L51" s="94">
        <v>97.885027906976745</v>
      </c>
      <c r="M51" s="94">
        <v>162.27997356321839</v>
      </c>
      <c r="N51" s="570">
        <v>128.92651118530887</v>
      </c>
      <c r="O51" s="571">
        <v>0</v>
      </c>
      <c r="P51" s="566">
        <v>0</v>
      </c>
      <c r="Q51" s="572">
        <v>0</v>
      </c>
      <c r="R51" s="569">
        <v>0</v>
      </c>
      <c r="S51" s="570">
        <v>0</v>
      </c>
      <c r="T51" s="570">
        <v>0</v>
      </c>
      <c r="U51" s="571">
        <v>0</v>
      </c>
      <c r="V51" s="170">
        <v>0</v>
      </c>
    </row>
    <row r="52" spans="1:22">
      <c r="A52" s="554"/>
      <c r="B52" s="573" t="s">
        <v>573</v>
      </c>
      <c r="C52" s="574">
        <v>139.63717808219178</v>
      </c>
      <c r="D52" s="226">
        <v>0</v>
      </c>
      <c r="E52" s="226">
        <v>143.24695381414702</v>
      </c>
      <c r="F52" s="226">
        <v>188.334853372434</v>
      </c>
      <c r="G52" s="226">
        <v>155.49611382636655</v>
      </c>
      <c r="H52" s="575">
        <v>209.24613803526447</v>
      </c>
      <c r="I52" s="576">
        <v>155.44476238372093</v>
      </c>
      <c r="J52" s="577">
        <v>0</v>
      </c>
      <c r="K52" s="226">
        <v>49.945316959064328</v>
      </c>
      <c r="L52" s="226">
        <v>94.547022349570199</v>
      </c>
      <c r="M52" s="226">
        <v>153.56367439886847</v>
      </c>
      <c r="N52" s="226">
        <v>122.33665672371639</v>
      </c>
      <c r="O52" s="578">
        <v>0</v>
      </c>
      <c r="P52" s="574">
        <v>0</v>
      </c>
      <c r="Q52" s="579">
        <v>0</v>
      </c>
      <c r="R52" s="577">
        <v>0</v>
      </c>
      <c r="S52" s="226">
        <v>0</v>
      </c>
      <c r="T52" s="226">
        <v>0</v>
      </c>
      <c r="U52" s="578">
        <v>0</v>
      </c>
      <c r="V52" s="170">
        <v>0</v>
      </c>
    </row>
    <row r="53" spans="1:22">
      <c r="A53" s="580"/>
      <c r="B53" s="581" t="s">
        <v>39</v>
      </c>
      <c r="C53" s="582">
        <v>-0.36186018400149217</v>
      </c>
      <c r="D53" s="584">
        <v>0</v>
      </c>
      <c r="E53" s="584">
        <v>-4.9602172007333909</v>
      </c>
      <c r="F53" s="584">
        <v>0.46525173567027839</v>
      </c>
      <c r="G53" s="584">
        <v>-1.6810979389163521</v>
      </c>
      <c r="H53" s="585">
        <v>0.47510587454615988</v>
      </c>
      <c r="I53" s="586">
        <v>-2.1865417114493262</v>
      </c>
      <c r="J53" s="587">
        <v>0</v>
      </c>
      <c r="K53" s="584">
        <v>0.72384708088989946</v>
      </c>
      <c r="L53" s="584">
        <v>-3.4101288305079294</v>
      </c>
      <c r="M53" s="584">
        <v>-5.371148992056229</v>
      </c>
      <c r="N53" s="584">
        <v>-5.1113261353366957</v>
      </c>
      <c r="O53" s="588">
        <v>0</v>
      </c>
      <c r="P53" s="582">
        <v>0</v>
      </c>
      <c r="Q53" s="589">
        <v>0</v>
      </c>
      <c r="R53" s="587">
        <v>0</v>
      </c>
      <c r="S53" s="584">
        <v>0</v>
      </c>
      <c r="T53" s="584">
        <v>0</v>
      </c>
      <c r="U53" s="588">
        <v>0</v>
      </c>
      <c r="V53" s="170">
        <v>0</v>
      </c>
    </row>
    <row r="54" spans="1:22">
      <c r="A54" s="554"/>
      <c r="B54" s="556" t="s">
        <v>575</v>
      </c>
      <c r="C54" s="566">
        <v>176.80043744493392</v>
      </c>
      <c r="D54" s="94">
        <v>0</v>
      </c>
      <c r="E54" s="94">
        <v>170.95296668869796</v>
      </c>
      <c r="F54" s="94">
        <v>2480.047349145299</v>
      </c>
      <c r="G54" s="95">
        <v>199.49990838709678</v>
      </c>
      <c r="H54" s="567">
        <v>472.35809164556963</v>
      </c>
      <c r="I54" s="568">
        <v>508.70206260434054</v>
      </c>
      <c r="J54" s="569">
        <v>0</v>
      </c>
      <c r="K54" s="94">
        <v>0</v>
      </c>
      <c r="L54" s="94">
        <v>12.64678577075099</v>
      </c>
      <c r="M54" s="94">
        <v>87.658760264900664</v>
      </c>
      <c r="N54" s="570">
        <v>60.777698583569411</v>
      </c>
      <c r="O54" s="571">
        <v>0</v>
      </c>
      <c r="P54" s="566">
        <v>0</v>
      </c>
      <c r="Q54" s="572">
        <v>0</v>
      </c>
      <c r="R54" s="569">
        <v>0</v>
      </c>
      <c r="S54" s="570">
        <v>0</v>
      </c>
      <c r="T54" s="570">
        <v>0</v>
      </c>
      <c r="U54" s="571">
        <v>0</v>
      </c>
      <c r="V54" s="170">
        <v>0</v>
      </c>
    </row>
    <row r="55" spans="1:22">
      <c r="A55" s="554"/>
      <c r="B55" s="573" t="s">
        <v>577</v>
      </c>
      <c r="C55" s="574">
        <v>255.79790273109245</v>
      </c>
      <c r="D55" s="226">
        <v>0</v>
      </c>
      <c r="E55" s="226">
        <v>78.798791381668948</v>
      </c>
      <c r="F55" s="226">
        <v>296.80634780701752</v>
      </c>
      <c r="G55" s="226">
        <v>102.48491666666668</v>
      </c>
      <c r="H55" s="575">
        <v>446.0357410579345</v>
      </c>
      <c r="I55" s="576">
        <v>196.45672372170995</v>
      </c>
      <c r="J55" s="577">
        <v>0</v>
      </c>
      <c r="K55" s="226">
        <v>0</v>
      </c>
      <c r="L55" s="226">
        <v>43.831818181818178</v>
      </c>
      <c r="M55" s="226">
        <v>41.17082961876833</v>
      </c>
      <c r="N55" s="226">
        <v>41.819851219512195</v>
      </c>
      <c r="O55" s="578">
        <v>0</v>
      </c>
      <c r="P55" s="574">
        <v>0</v>
      </c>
      <c r="Q55" s="579">
        <v>0</v>
      </c>
      <c r="R55" s="577">
        <v>0</v>
      </c>
      <c r="S55" s="226">
        <v>0</v>
      </c>
      <c r="T55" s="226">
        <v>0</v>
      </c>
      <c r="U55" s="578">
        <v>0</v>
      </c>
      <c r="V55" s="170">
        <v>0</v>
      </c>
    </row>
    <row r="56" spans="1:22">
      <c r="A56" s="580"/>
      <c r="B56" s="581" t="s">
        <v>501</v>
      </c>
      <c r="C56" s="582">
        <v>44.681713703770107</v>
      </c>
      <c r="D56" s="584">
        <v>0</v>
      </c>
      <c r="E56" s="584">
        <v>-53.906157402252028</v>
      </c>
      <c r="F56" s="584">
        <v>-88.032230597963931</v>
      </c>
      <c r="G56" s="584">
        <v>-48.629090862632609</v>
      </c>
      <c r="H56" s="585">
        <v>-5.5725414792694838</v>
      </c>
      <c r="I56" s="586">
        <v>-61.380788842110412</v>
      </c>
      <c r="J56" s="587">
        <v>0</v>
      </c>
      <c r="K56" s="584">
        <v>0</v>
      </c>
      <c r="L56" s="584">
        <v>246.58464985775882</v>
      </c>
      <c r="M56" s="584">
        <v>-53.032840648952806</v>
      </c>
      <c r="N56" s="584">
        <v>-31.192111260991812</v>
      </c>
      <c r="O56" s="588">
        <v>0</v>
      </c>
      <c r="P56" s="582">
        <v>0</v>
      </c>
      <c r="Q56" s="589">
        <v>0</v>
      </c>
      <c r="R56" s="587">
        <v>0</v>
      </c>
      <c r="S56" s="584">
        <v>0</v>
      </c>
      <c r="T56" s="584">
        <v>0</v>
      </c>
      <c r="U56" s="588">
        <v>0</v>
      </c>
      <c r="V56" s="170">
        <v>0</v>
      </c>
    </row>
    <row r="57" spans="1:22">
      <c r="A57" s="554"/>
      <c r="B57" s="556" t="s">
        <v>579</v>
      </c>
      <c r="C57" s="566">
        <v>1942.9466666666667</v>
      </c>
      <c r="D57" s="94">
        <v>0</v>
      </c>
      <c r="E57" s="94">
        <v>1211.875</v>
      </c>
      <c r="F57" s="94">
        <v>1280.9032258064517</v>
      </c>
      <c r="G57" s="95">
        <v>2163.8125</v>
      </c>
      <c r="H57" s="567">
        <v>535.03797468354435</v>
      </c>
      <c r="I57" s="568">
        <v>1340.0339622641509</v>
      </c>
      <c r="J57" s="569">
        <v>0</v>
      </c>
      <c r="K57" s="94">
        <v>1351</v>
      </c>
      <c r="L57" s="94">
        <v>971.43103448275861</v>
      </c>
      <c r="M57" s="94">
        <v>672.64052287581694</v>
      </c>
      <c r="N57" s="570">
        <v>817.93220338983053</v>
      </c>
      <c r="O57" s="571">
        <v>0</v>
      </c>
      <c r="P57" s="566">
        <v>0</v>
      </c>
      <c r="Q57" s="572">
        <v>0</v>
      </c>
      <c r="R57" s="569">
        <v>0</v>
      </c>
      <c r="S57" s="570">
        <v>0</v>
      </c>
      <c r="T57" s="570">
        <v>0</v>
      </c>
      <c r="U57" s="571">
        <v>0</v>
      </c>
      <c r="V57" s="170">
        <v>0</v>
      </c>
    </row>
    <row r="58" spans="1:22">
      <c r="A58" s="554"/>
      <c r="B58" s="573" t="s">
        <v>581</v>
      </c>
      <c r="C58" s="574">
        <v>2084.9610389610389</v>
      </c>
      <c r="D58" s="226">
        <v>0</v>
      </c>
      <c r="E58" s="226">
        <v>1250.5333333333333</v>
      </c>
      <c r="F58" s="226">
        <v>0</v>
      </c>
      <c r="G58" s="226">
        <v>2394.25</v>
      </c>
      <c r="H58" s="575">
        <v>591.48192771084337</v>
      </c>
      <c r="I58" s="576">
        <v>1412.1004366812226</v>
      </c>
      <c r="J58" s="577">
        <v>0</v>
      </c>
      <c r="K58" s="226">
        <v>1722.2</v>
      </c>
      <c r="L58" s="226">
        <v>559.31325301204822</v>
      </c>
      <c r="M58" s="226">
        <v>906.77450980392155</v>
      </c>
      <c r="N58" s="226">
        <v>866.51904761904757</v>
      </c>
      <c r="O58" s="578">
        <v>0</v>
      </c>
      <c r="P58" s="574">
        <v>0</v>
      </c>
      <c r="Q58" s="579">
        <v>0</v>
      </c>
      <c r="R58" s="577">
        <v>0</v>
      </c>
      <c r="S58" s="226">
        <v>0</v>
      </c>
      <c r="T58" s="226">
        <v>0</v>
      </c>
      <c r="U58" s="578">
        <v>0</v>
      </c>
      <c r="V58" s="170">
        <v>0</v>
      </c>
    </row>
    <row r="59" spans="1:22">
      <c r="A59" s="580"/>
      <c r="B59" s="581" t="s">
        <v>503</v>
      </c>
      <c r="C59" s="582">
        <v>7.3092264821665447</v>
      </c>
      <c r="D59" s="584">
        <v>0</v>
      </c>
      <c r="E59" s="584">
        <v>3.1899604607185807</v>
      </c>
      <c r="F59" s="584">
        <v>-100</v>
      </c>
      <c r="G59" s="584">
        <v>10.64960573062592</v>
      </c>
      <c r="H59" s="585">
        <v>10.549522781197648</v>
      </c>
      <c r="I59" s="586">
        <v>5.3779588015296742</v>
      </c>
      <c r="J59" s="587">
        <v>0</v>
      </c>
      <c r="K59" s="584">
        <v>27.475943745373797</v>
      </c>
      <c r="L59" s="584">
        <v>-42.423781703674287</v>
      </c>
      <c r="M59" s="584">
        <v>34.808189361991573</v>
      </c>
      <c r="N59" s="584">
        <v>5.9402043381901555</v>
      </c>
      <c r="O59" s="588">
        <v>0</v>
      </c>
      <c r="P59" s="582">
        <v>0</v>
      </c>
      <c r="Q59" s="589">
        <v>0</v>
      </c>
      <c r="R59" s="587">
        <v>0</v>
      </c>
      <c r="S59" s="584">
        <v>0</v>
      </c>
      <c r="T59" s="584">
        <v>0</v>
      </c>
      <c r="U59" s="588">
        <v>0</v>
      </c>
      <c r="V59" s="170">
        <v>0</v>
      </c>
    </row>
    <row r="60" spans="1:22">
      <c r="A60" s="554"/>
      <c r="B60" s="556" t="s">
        <v>583</v>
      </c>
      <c r="C60" s="574">
        <v>15228</v>
      </c>
      <c r="D60" s="94">
        <v>0</v>
      </c>
      <c r="E60" s="94">
        <v>950</v>
      </c>
      <c r="F60" s="94">
        <v>0</v>
      </c>
      <c r="G60" s="95">
        <v>0</v>
      </c>
      <c r="H60" s="567">
        <v>45.270270270270274</v>
      </c>
      <c r="I60" s="568">
        <v>117.08928571428571</v>
      </c>
      <c r="J60" s="569">
        <v>0</v>
      </c>
      <c r="K60" s="94">
        <v>0</v>
      </c>
      <c r="L60" s="94">
        <v>0</v>
      </c>
      <c r="M60" s="94">
        <v>4255.4064516129029</v>
      </c>
      <c r="N60" s="570">
        <v>4255.4064516129029</v>
      </c>
      <c r="O60" s="571">
        <v>0</v>
      </c>
      <c r="P60" s="566">
        <v>0</v>
      </c>
      <c r="Q60" s="572">
        <v>0</v>
      </c>
      <c r="R60" s="569">
        <v>0</v>
      </c>
      <c r="S60" s="570">
        <v>0</v>
      </c>
      <c r="T60" s="570">
        <v>0</v>
      </c>
      <c r="U60" s="571">
        <v>0</v>
      </c>
      <c r="V60" s="170">
        <v>0</v>
      </c>
    </row>
    <row r="61" spans="1:22">
      <c r="A61" s="554"/>
      <c r="B61" s="573" t="s">
        <v>585</v>
      </c>
      <c r="C61" s="574">
        <v>0</v>
      </c>
      <c r="D61" s="226">
        <v>0</v>
      </c>
      <c r="E61" s="226">
        <v>625</v>
      </c>
      <c r="F61" s="226">
        <v>0</v>
      </c>
      <c r="G61" s="226">
        <v>0</v>
      </c>
      <c r="H61" s="575">
        <v>0</v>
      </c>
      <c r="I61" s="576">
        <v>625</v>
      </c>
      <c r="J61" s="577">
        <v>0</v>
      </c>
      <c r="K61" s="226">
        <v>0</v>
      </c>
      <c r="L61" s="226">
        <v>0</v>
      </c>
      <c r="M61" s="226">
        <v>0</v>
      </c>
      <c r="N61" s="226">
        <v>0</v>
      </c>
      <c r="O61" s="578">
        <v>0</v>
      </c>
      <c r="P61" s="574">
        <v>0</v>
      </c>
      <c r="Q61" s="579">
        <v>0</v>
      </c>
      <c r="R61" s="577">
        <v>0</v>
      </c>
      <c r="S61" s="226">
        <v>0</v>
      </c>
      <c r="T61" s="226">
        <v>0</v>
      </c>
      <c r="U61" s="578">
        <v>0</v>
      </c>
      <c r="V61" s="170">
        <v>0</v>
      </c>
    </row>
    <row r="62" spans="1:22">
      <c r="A62" s="580"/>
      <c r="B62" s="581" t="s">
        <v>694</v>
      </c>
      <c r="C62" s="582">
        <v>-100</v>
      </c>
      <c r="D62" s="584">
        <v>0</v>
      </c>
      <c r="E62" s="584">
        <v>-34.210526315789473</v>
      </c>
      <c r="F62" s="584">
        <v>0</v>
      </c>
      <c r="G62" s="584">
        <v>0</v>
      </c>
      <c r="H62" s="585">
        <v>-100</v>
      </c>
      <c r="I62" s="586">
        <v>433.78069238981249</v>
      </c>
      <c r="J62" s="587">
        <v>0</v>
      </c>
      <c r="K62" s="584">
        <v>0</v>
      </c>
      <c r="L62" s="584">
        <v>0</v>
      </c>
      <c r="M62" s="584">
        <v>-100</v>
      </c>
      <c r="N62" s="584">
        <v>-100</v>
      </c>
      <c r="O62" s="588">
        <v>0</v>
      </c>
      <c r="P62" s="582">
        <v>0</v>
      </c>
      <c r="Q62" s="589">
        <v>0</v>
      </c>
      <c r="R62" s="587">
        <v>0</v>
      </c>
      <c r="S62" s="584">
        <v>0</v>
      </c>
      <c r="T62" s="584">
        <v>0</v>
      </c>
      <c r="U62" s="588">
        <v>0</v>
      </c>
      <c r="V62" s="170">
        <v>0</v>
      </c>
    </row>
    <row r="63" spans="1:22">
      <c r="A63" s="554"/>
      <c r="B63" s="556" t="s">
        <v>587</v>
      </c>
      <c r="C63" s="566">
        <v>19115.773162070487</v>
      </c>
      <c r="D63" s="94">
        <v>0</v>
      </c>
      <c r="E63" s="94">
        <v>14951.507897290154</v>
      </c>
      <c r="F63" s="94">
        <v>15837.975283283582</v>
      </c>
      <c r="G63" s="95">
        <v>14510.518149032257</v>
      </c>
      <c r="H63" s="567">
        <v>15267.71390329114</v>
      </c>
      <c r="I63" s="568">
        <v>16115.652713663421</v>
      </c>
      <c r="J63" s="569">
        <v>0</v>
      </c>
      <c r="K63" s="94">
        <v>13625.173539746836</v>
      </c>
      <c r="L63" s="94">
        <v>14541.12242133721</v>
      </c>
      <c r="M63" s="94">
        <v>14286.765234439359</v>
      </c>
      <c r="N63" s="570">
        <v>14274.386880174419</v>
      </c>
      <c r="O63" s="571">
        <v>0</v>
      </c>
      <c r="P63" s="566">
        <v>0</v>
      </c>
      <c r="Q63" s="572">
        <v>0</v>
      </c>
      <c r="R63" s="569">
        <v>0</v>
      </c>
      <c r="S63" s="570">
        <v>0</v>
      </c>
      <c r="T63" s="570">
        <v>0</v>
      </c>
      <c r="U63" s="571">
        <v>0</v>
      </c>
      <c r="V63" s="170">
        <v>0</v>
      </c>
    </row>
    <row r="64" spans="1:22">
      <c r="A64" s="554"/>
      <c r="B64" s="573" t="s">
        <v>589</v>
      </c>
      <c r="C64" s="574">
        <v>19443.303097836135</v>
      </c>
      <c r="D64" s="226">
        <v>0</v>
      </c>
      <c r="E64" s="226">
        <v>15729.707112300341</v>
      </c>
      <c r="F64" s="226">
        <v>14311.093407852495</v>
      </c>
      <c r="G64" s="226">
        <v>14552.049875192308</v>
      </c>
      <c r="H64" s="575">
        <v>15144.967073904283</v>
      </c>
      <c r="I64" s="576">
        <v>16365.835243679954</v>
      </c>
      <c r="J64" s="577">
        <v>0</v>
      </c>
      <c r="K64" s="226">
        <v>14081.588744795321</v>
      </c>
      <c r="L64" s="226">
        <v>12054.137265363128</v>
      </c>
      <c r="M64" s="226">
        <v>13609.00852268889</v>
      </c>
      <c r="N64" s="226">
        <v>13276.025533086073</v>
      </c>
      <c r="O64" s="578">
        <v>0</v>
      </c>
      <c r="P64" s="574">
        <v>0</v>
      </c>
      <c r="Q64" s="579">
        <v>0</v>
      </c>
      <c r="R64" s="577">
        <v>0</v>
      </c>
      <c r="S64" s="226">
        <v>0</v>
      </c>
      <c r="T64" s="226">
        <v>0</v>
      </c>
      <c r="U64" s="578">
        <v>0</v>
      </c>
      <c r="V64" s="170">
        <v>0</v>
      </c>
    </row>
    <row r="65" spans="1:22">
      <c r="A65" s="580"/>
      <c r="B65" s="581" t="s">
        <v>696</v>
      </c>
      <c r="C65" s="582">
        <v>1.7134014564241247</v>
      </c>
      <c r="D65" s="584">
        <v>0</v>
      </c>
      <c r="E65" s="584">
        <v>5.2048209475328537</v>
      </c>
      <c r="F65" s="584">
        <v>-9.6406380747585612</v>
      </c>
      <c r="G65" s="584">
        <v>0.28621807804168709</v>
      </c>
      <c r="H65" s="585">
        <v>-0.80396338419989233</v>
      </c>
      <c r="I65" s="586">
        <v>1.552419467344436</v>
      </c>
      <c r="J65" s="587">
        <v>0</v>
      </c>
      <c r="K65" s="584">
        <v>3.3497937014677097</v>
      </c>
      <c r="L65" s="584">
        <v>-17.103116829033457</v>
      </c>
      <c r="M65" s="584">
        <v>-4.743947987027072</v>
      </c>
      <c r="N65" s="584">
        <v>-6.9940751604187117</v>
      </c>
      <c r="O65" s="588">
        <v>0</v>
      </c>
      <c r="P65" s="582">
        <v>0</v>
      </c>
      <c r="Q65" s="589">
        <v>0</v>
      </c>
      <c r="R65" s="587">
        <v>0</v>
      </c>
      <c r="S65" s="584">
        <v>0</v>
      </c>
      <c r="T65" s="584">
        <v>0</v>
      </c>
      <c r="U65" s="588">
        <v>0</v>
      </c>
      <c r="V65" s="170">
        <v>0</v>
      </c>
    </row>
    <row r="66" spans="1:22">
      <c r="A66" s="549" t="s">
        <v>154</v>
      </c>
      <c r="B66" s="556" t="s">
        <v>726</v>
      </c>
      <c r="C66" s="566">
        <v>10798.523942266187</v>
      </c>
      <c r="D66" s="94">
        <v>0</v>
      </c>
      <c r="E66" s="94">
        <v>0</v>
      </c>
      <c r="F66" s="94">
        <v>15120.775242105263</v>
      </c>
      <c r="G66" s="95">
        <v>0</v>
      </c>
      <c r="H66" s="567">
        <v>0</v>
      </c>
      <c r="I66" s="568">
        <v>11429.267219508449</v>
      </c>
      <c r="J66" s="569">
        <v>0</v>
      </c>
      <c r="K66" s="94">
        <v>0</v>
      </c>
      <c r="L66" s="94">
        <v>9600.1348705084747</v>
      </c>
      <c r="M66" s="94">
        <v>9536.6076296296287</v>
      </c>
      <c r="N66" s="570">
        <v>9586.4494808510644</v>
      </c>
      <c r="O66" s="571">
        <v>0</v>
      </c>
      <c r="P66" s="566">
        <v>0</v>
      </c>
      <c r="Q66" s="572">
        <v>0</v>
      </c>
      <c r="R66" s="569">
        <v>0</v>
      </c>
      <c r="S66" s="570">
        <v>0</v>
      </c>
      <c r="T66" s="570">
        <v>0</v>
      </c>
      <c r="U66" s="571">
        <v>0</v>
      </c>
      <c r="V66" s="170">
        <v>0</v>
      </c>
    </row>
    <row r="67" spans="1:22">
      <c r="A67" s="554"/>
      <c r="B67" s="573" t="s">
        <v>728</v>
      </c>
      <c r="C67" s="574">
        <v>10961.05029840142</v>
      </c>
      <c r="D67" s="226">
        <v>0</v>
      </c>
      <c r="E67" s="226">
        <v>0</v>
      </c>
      <c r="F67" s="226">
        <v>11186.000889898991</v>
      </c>
      <c r="G67" s="226">
        <v>0</v>
      </c>
      <c r="H67" s="575">
        <v>0</v>
      </c>
      <c r="I67" s="576">
        <v>10994.690945770393</v>
      </c>
      <c r="J67" s="577">
        <v>0</v>
      </c>
      <c r="K67" s="226">
        <v>0</v>
      </c>
      <c r="L67" s="226">
        <v>11205.310124</v>
      </c>
      <c r="M67" s="226">
        <v>11150.019642857143</v>
      </c>
      <c r="N67" s="226">
        <v>11193.215331250001</v>
      </c>
      <c r="O67" s="578">
        <v>0</v>
      </c>
      <c r="P67" s="574">
        <v>0</v>
      </c>
      <c r="Q67" s="579">
        <v>0</v>
      </c>
      <c r="R67" s="577">
        <v>0</v>
      </c>
      <c r="S67" s="226">
        <v>0</v>
      </c>
      <c r="T67" s="226">
        <v>0</v>
      </c>
      <c r="U67" s="578">
        <v>0</v>
      </c>
      <c r="V67" s="170">
        <v>0</v>
      </c>
    </row>
    <row r="68" spans="1:22">
      <c r="A68" s="580"/>
      <c r="B68" s="581" t="s">
        <v>495</v>
      </c>
      <c r="C68" s="582">
        <v>1.5050793701451493</v>
      </c>
      <c r="D68" s="584">
        <v>0</v>
      </c>
      <c r="E68" s="584">
        <v>0</v>
      </c>
      <c r="F68" s="584">
        <v>-26.022305663597933</v>
      </c>
      <c r="G68" s="584">
        <v>0</v>
      </c>
      <c r="H68" s="585">
        <v>0</v>
      </c>
      <c r="I68" s="586">
        <v>-3.8023109040296448</v>
      </c>
      <c r="J68" s="587">
        <v>0</v>
      </c>
      <c r="K68" s="584">
        <v>0</v>
      </c>
      <c r="L68" s="584">
        <v>16.720340652948622</v>
      </c>
      <c r="M68" s="584">
        <v>16.918091588614249</v>
      </c>
      <c r="N68" s="584">
        <v>16.760802355537908</v>
      </c>
      <c r="O68" s="588">
        <v>0</v>
      </c>
      <c r="P68" s="582">
        <v>0</v>
      </c>
      <c r="Q68" s="589">
        <v>0</v>
      </c>
      <c r="R68" s="587">
        <v>0</v>
      </c>
      <c r="S68" s="584">
        <v>0</v>
      </c>
      <c r="T68" s="584">
        <v>0</v>
      </c>
      <c r="U68" s="588">
        <v>0</v>
      </c>
      <c r="V68" s="170">
        <v>0</v>
      </c>
    </row>
    <row r="69" spans="1:22">
      <c r="A69" s="554"/>
      <c r="B69" s="556" t="s">
        <v>730</v>
      </c>
      <c r="C69" s="566">
        <v>10671.431654676258</v>
      </c>
      <c r="D69" s="94">
        <v>0</v>
      </c>
      <c r="E69" s="94">
        <v>0</v>
      </c>
      <c r="F69" s="94">
        <v>5552.1631578947372</v>
      </c>
      <c r="G69" s="95">
        <v>0</v>
      </c>
      <c r="H69" s="567">
        <v>0</v>
      </c>
      <c r="I69" s="568">
        <v>9924.3801843317979</v>
      </c>
      <c r="J69" s="569">
        <v>0</v>
      </c>
      <c r="K69" s="94">
        <v>0</v>
      </c>
      <c r="L69" s="94">
        <v>10457.58174904943</v>
      </c>
      <c r="M69" s="94">
        <v>10300.756756756757</v>
      </c>
      <c r="N69" s="570">
        <v>10423.145400593472</v>
      </c>
      <c r="O69" s="571">
        <v>0</v>
      </c>
      <c r="P69" s="566">
        <v>0</v>
      </c>
      <c r="Q69" s="572">
        <v>0</v>
      </c>
      <c r="R69" s="569">
        <v>0</v>
      </c>
      <c r="S69" s="570">
        <v>0</v>
      </c>
      <c r="T69" s="570">
        <v>0</v>
      </c>
      <c r="U69" s="571">
        <v>0</v>
      </c>
      <c r="V69" s="170">
        <v>0</v>
      </c>
    </row>
    <row r="70" spans="1:22">
      <c r="A70" s="554"/>
      <c r="B70" s="573" t="s">
        <v>732</v>
      </c>
      <c r="C70" s="574">
        <v>11933.336589698047</v>
      </c>
      <c r="D70" s="226">
        <v>0</v>
      </c>
      <c r="E70" s="226">
        <v>0</v>
      </c>
      <c r="F70" s="226">
        <v>9448.7373737373746</v>
      </c>
      <c r="G70" s="226">
        <v>0</v>
      </c>
      <c r="H70" s="575">
        <v>0</v>
      </c>
      <c r="I70" s="576">
        <v>11561.772658610273</v>
      </c>
      <c r="J70" s="577">
        <v>0</v>
      </c>
      <c r="K70" s="226">
        <v>0</v>
      </c>
      <c r="L70" s="226">
        <v>11857.394736842105</v>
      </c>
      <c r="M70" s="226">
        <v>12155.067567567568</v>
      </c>
      <c r="N70" s="226">
        <v>11922.182352941176</v>
      </c>
      <c r="O70" s="578">
        <v>0</v>
      </c>
      <c r="P70" s="574">
        <v>0</v>
      </c>
      <c r="Q70" s="579">
        <v>0</v>
      </c>
      <c r="R70" s="577">
        <v>0</v>
      </c>
      <c r="S70" s="226">
        <v>0</v>
      </c>
      <c r="T70" s="226">
        <v>0</v>
      </c>
      <c r="U70" s="578">
        <v>0</v>
      </c>
      <c r="V70" s="170">
        <v>0</v>
      </c>
    </row>
    <row r="71" spans="1:22">
      <c r="A71" s="580"/>
      <c r="B71" s="581" t="s">
        <v>497</v>
      </c>
      <c r="C71" s="582">
        <v>11.825076295820319</v>
      </c>
      <c r="D71" s="584">
        <v>0</v>
      </c>
      <c r="E71" s="584">
        <v>0</v>
      </c>
      <c r="F71" s="584">
        <v>70.181190736479294</v>
      </c>
      <c r="G71" s="584">
        <v>0</v>
      </c>
      <c r="H71" s="585">
        <v>0</v>
      </c>
      <c r="I71" s="586">
        <v>16.498687513639616</v>
      </c>
      <c r="J71" s="587">
        <v>0</v>
      </c>
      <c r="K71" s="584">
        <v>0</v>
      </c>
      <c r="L71" s="584">
        <v>13.385627971972724</v>
      </c>
      <c r="M71" s="584">
        <v>18.001694968619475</v>
      </c>
      <c r="N71" s="584">
        <v>14.381809854272509</v>
      </c>
      <c r="O71" s="588">
        <v>0</v>
      </c>
      <c r="P71" s="582">
        <v>0</v>
      </c>
      <c r="Q71" s="589">
        <v>0</v>
      </c>
      <c r="R71" s="587">
        <v>0</v>
      </c>
      <c r="S71" s="584">
        <v>0</v>
      </c>
      <c r="T71" s="584">
        <v>0</v>
      </c>
      <c r="U71" s="588">
        <v>0</v>
      </c>
      <c r="V71" s="170">
        <v>0</v>
      </c>
    </row>
    <row r="72" spans="1:22">
      <c r="A72" s="554"/>
      <c r="B72" s="556" t="s">
        <v>734</v>
      </c>
      <c r="C72" s="566">
        <v>269.47931654676262</v>
      </c>
      <c r="D72" s="94">
        <v>0</v>
      </c>
      <c r="E72" s="94">
        <v>0</v>
      </c>
      <c r="F72" s="94">
        <v>0</v>
      </c>
      <c r="G72" s="95">
        <v>0</v>
      </c>
      <c r="H72" s="567">
        <v>0</v>
      </c>
      <c r="I72" s="568">
        <v>269.47931654676262</v>
      </c>
      <c r="J72" s="569">
        <v>0</v>
      </c>
      <c r="K72" s="94">
        <v>0</v>
      </c>
      <c r="L72" s="94">
        <v>24.566101694915254</v>
      </c>
      <c r="M72" s="94">
        <v>6.583333333333333</v>
      </c>
      <c r="N72" s="570">
        <v>21.526760563380282</v>
      </c>
      <c r="O72" s="571">
        <v>0</v>
      </c>
      <c r="P72" s="566">
        <v>0</v>
      </c>
      <c r="Q72" s="572">
        <v>0</v>
      </c>
      <c r="R72" s="569">
        <v>0</v>
      </c>
      <c r="S72" s="570">
        <v>0</v>
      </c>
      <c r="T72" s="570">
        <v>0</v>
      </c>
      <c r="U72" s="571">
        <v>0</v>
      </c>
      <c r="V72" s="170">
        <v>0</v>
      </c>
    </row>
    <row r="73" spans="1:22">
      <c r="A73" s="554"/>
      <c r="B73" s="573" t="s">
        <v>736</v>
      </c>
      <c r="C73" s="574">
        <v>277.71314387211368</v>
      </c>
      <c r="D73" s="226">
        <v>0</v>
      </c>
      <c r="E73" s="226">
        <v>0</v>
      </c>
      <c r="F73" s="226">
        <v>0</v>
      </c>
      <c r="G73" s="226">
        <v>0</v>
      </c>
      <c r="H73" s="575">
        <v>0</v>
      </c>
      <c r="I73" s="576">
        <v>277.71314387211368</v>
      </c>
      <c r="J73" s="577">
        <v>0</v>
      </c>
      <c r="K73" s="226">
        <v>0</v>
      </c>
      <c r="L73" s="226">
        <v>23.313333333333333</v>
      </c>
      <c r="M73" s="226">
        <v>6.75</v>
      </c>
      <c r="N73" s="226">
        <v>20.552777777777777</v>
      </c>
      <c r="O73" s="578">
        <v>0</v>
      </c>
      <c r="P73" s="574">
        <v>0</v>
      </c>
      <c r="Q73" s="579">
        <v>0</v>
      </c>
      <c r="R73" s="577">
        <v>0</v>
      </c>
      <c r="S73" s="226">
        <v>0</v>
      </c>
      <c r="T73" s="226">
        <v>0</v>
      </c>
      <c r="U73" s="578">
        <v>0</v>
      </c>
      <c r="V73" s="170">
        <v>0</v>
      </c>
    </row>
    <row r="74" spans="1:22">
      <c r="A74" s="580"/>
      <c r="B74" s="581" t="s">
        <v>499</v>
      </c>
      <c r="C74" s="582">
        <v>3.0554579961324215</v>
      </c>
      <c r="D74" s="584">
        <v>0</v>
      </c>
      <c r="E74" s="584">
        <v>0</v>
      </c>
      <c r="F74" s="584">
        <v>0</v>
      </c>
      <c r="G74" s="584">
        <v>0</v>
      </c>
      <c r="H74" s="585">
        <v>0</v>
      </c>
      <c r="I74" s="586">
        <v>3.0554579961324215</v>
      </c>
      <c r="J74" s="587">
        <v>0</v>
      </c>
      <c r="K74" s="584">
        <v>0</v>
      </c>
      <c r="L74" s="584">
        <v>-5.0995814359965062</v>
      </c>
      <c r="M74" s="584">
        <v>2.5316455696202578</v>
      </c>
      <c r="N74" s="584">
        <v>-4.5245209223879783</v>
      </c>
      <c r="O74" s="588">
        <v>0</v>
      </c>
      <c r="P74" s="582">
        <v>0</v>
      </c>
      <c r="Q74" s="589">
        <v>0</v>
      </c>
      <c r="R74" s="587">
        <v>0</v>
      </c>
      <c r="S74" s="584">
        <v>0</v>
      </c>
      <c r="T74" s="584">
        <v>0</v>
      </c>
      <c r="U74" s="588">
        <v>0</v>
      </c>
      <c r="V74" s="170">
        <v>0</v>
      </c>
    </row>
    <row r="75" spans="1:22">
      <c r="A75" s="554"/>
      <c r="B75" s="556" t="s">
        <v>738</v>
      </c>
      <c r="C75" s="566">
        <v>6806.4998086330934</v>
      </c>
      <c r="D75" s="94">
        <v>0</v>
      </c>
      <c r="E75" s="94">
        <v>0</v>
      </c>
      <c r="F75" s="94">
        <v>4002.4402273684213</v>
      </c>
      <c r="G75" s="95">
        <v>0</v>
      </c>
      <c r="H75" s="567">
        <v>0</v>
      </c>
      <c r="I75" s="568">
        <v>6397.3052460829495</v>
      </c>
      <c r="J75" s="569">
        <v>0</v>
      </c>
      <c r="K75" s="94">
        <v>0</v>
      </c>
      <c r="L75" s="94">
        <v>4809.4966183050856</v>
      </c>
      <c r="M75" s="94">
        <v>4777.6792913580248</v>
      </c>
      <c r="N75" s="570">
        <v>4802.6423537234041</v>
      </c>
      <c r="O75" s="571">
        <v>0</v>
      </c>
      <c r="P75" s="566">
        <v>0</v>
      </c>
      <c r="Q75" s="572">
        <v>0</v>
      </c>
      <c r="R75" s="569">
        <v>0</v>
      </c>
      <c r="S75" s="570">
        <v>0</v>
      </c>
      <c r="T75" s="570">
        <v>0</v>
      </c>
      <c r="U75" s="571">
        <v>0</v>
      </c>
      <c r="V75" s="170">
        <v>0</v>
      </c>
    </row>
    <row r="76" spans="1:22">
      <c r="A76" s="554"/>
      <c r="B76" s="573" t="s">
        <v>740</v>
      </c>
      <c r="C76" s="574">
        <v>6878.1198589698042</v>
      </c>
      <c r="D76" s="226">
        <v>0</v>
      </c>
      <c r="E76" s="226">
        <v>0</v>
      </c>
      <c r="F76" s="226">
        <v>4968.7768262626259</v>
      </c>
      <c r="G76" s="226">
        <v>0</v>
      </c>
      <c r="H76" s="575">
        <v>0</v>
      </c>
      <c r="I76" s="576">
        <v>6592.5836652567978</v>
      </c>
      <c r="J76" s="577">
        <v>0</v>
      </c>
      <c r="K76" s="226">
        <v>0</v>
      </c>
      <c r="L76" s="226">
        <v>4983.7588333333333</v>
      </c>
      <c r="M76" s="226">
        <v>4959.1702500000001</v>
      </c>
      <c r="N76" s="226">
        <v>4978.3800807291664</v>
      </c>
      <c r="O76" s="578">
        <v>0</v>
      </c>
      <c r="P76" s="574">
        <v>0</v>
      </c>
      <c r="Q76" s="579">
        <v>0</v>
      </c>
      <c r="R76" s="577">
        <v>0</v>
      </c>
      <c r="S76" s="226">
        <v>0</v>
      </c>
      <c r="T76" s="226">
        <v>0</v>
      </c>
      <c r="U76" s="578">
        <v>0</v>
      </c>
      <c r="V76" s="170">
        <v>0</v>
      </c>
    </row>
    <row r="77" spans="1:22">
      <c r="A77" s="580"/>
      <c r="B77" s="581" t="s">
        <v>569</v>
      </c>
      <c r="C77" s="582">
        <v>1.0522302556428611</v>
      </c>
      <c r="D77" s="584">
        <v>0</v>
      </c>
      <c r="E77" s="584">
        <v>0</v>
      </c>
      <c r="F77" s="584">
        <v>24.143685951546733</v>
      </c>
      <c r="G77" s="584">
        <v>0</v>
      </c>
      <c r="H77" s="585">
        <v>0</v>
      </c>
      <c r="I77" s="586">
        <v>3.0525105753460284</v>
      </c>
      <c r="J77" s="587">
        <v>0</v>
      </c>
      <c r="K77" s="584">
        <v>0</v>
      </c>
      <c r="L77" s="584">
        <v>3.6232942625429989</v>
      </c>
      <c r="M77" s="584">
        <v>3.798726276379838</v>
      </c>
      <c r="N77" s="584">
        <v>3.6591882980733703</v>
      </c>
      <c r="O77" s="588">
        <v>0</v>
      </c>
      <c r="P77" s="582">
        <v>0</v>
      </c>
      <c r="Q77" s="589">
        <v>0</v>
      </c>
      <c r="R77" s="587">
        <v>0</v>
      </c>
      <c r="S77" s="584">
        <v>0</v>
      </c>
      <c r="T77" s="584">
        <v>0</v>
      </c>
      <c r="U77" s="588">
        <v>0</v>
      </c>
      <c r="V77" s="170">
        <v>0</v>
      </c>
    </row>
    <row r="78" spans="1:22">
      <c r="A78" s="554"/>
      <c r="B78" s="556" t="s">
        <v>742</v>
      </c>
      <c r="C78" s="566">
        <v>204</v>
      </c>
      <c r="D78" s="94">
        <v>0</v>
      </c>
      <c r="E78" s="94">
        <v>0</v>
      </c>
      <c r="F78" s="94">
        <v>116.57368421052631</v>
      </c>
      <c r="G78" s="95">
        <v>0</v>
      </c>
      <c r="H78" s="567">
        <v>0</v>
      </c>
      <c r="I78" s="568">
        <v>191.24193548387098</v>
      </c>
      <c r="J78" s="569">
        <v>0</v>
      </c>
      <c r="K78" s="94">
        <v>0</v>
      </c>
      <c r="L78" s="94">
        <v>113.83389830508474</v>
      </c>
      <c r="M78" s="94">
        <v>112.45679012345678</v>
      </c>
      <c r="N78" s="570">
        <v>113.53723404255319</v>
      </c>
      <c r="O78" s="571">
        <v>0</v>
      </c>
      <c r="P78" s="566">
        <v>0</v>
      </c>
      <c r="Q78" s="572">
        <v>0</v>
      </c>
      <c r="R78" s="569">
        <v>0</v>
      </c>
      <c r="S78" s="570">
        <v>0</v>
      </c>
      <c r="T78" s="570">
        <v>0</v>
      </c>
      <c r="U78" s="571">
        <v>0</v>
      </c>
      <c r="V78" s="170">
        <v>0</v>
      </c>
    </row>
    <row r="79" spans="1:22">
      <c r="A79" s="554"/>
      <c r="B79" s="573" t="s">
        <v>567</v>
      </c>
      <c r="C79" s="574">
        <v>204</v>
      </c>
      <c r="D79" s="226">
        <v>0</v>
      </c>
      <c r="E79" s="226">
        <v>0</v>
      </c>
      <c r="F79" s="226">
        <v>116.5</v>
      </c>
      <c r="G79" s="226">
        <v>0</v>
      </c>
      <c r="H79" s="575">
        <v>0</v>
      </c>
      <c r="I79" s="576">
        <v>190.91465256797582</v>
      </c>
      <c r="J79" s="577">
        <v>0</v>
      </c>
      <c r="K79" s="226">
        <v>0</v>
      </c>
      <c r="L79" s="226">
        <v>118.1</v>
      </c>
      <c r="M79" s="226">
        <v>117.5</v>
      </c>
      <c r="N79" s="226">
        <v>117.96875</v>
      </c>
      <c r="O79" s="578">
        <v>0</v>
      </c>
      <c r="P79" s="574">
        <v>0</v>
      </c>
      <c r="Q79" s="579">
        <v>0</v>
      </c>
      <c r="R79" s="577">
        <v>0</v>
      </c>
      <c r="S79" s="226">
        <v>0</v>
      </c>
      <c r="T79" s="226">
        <v>0</v>
      </c>
      <c r="U79" s="578">
        <v>0</v>
      </c>
      <c r="V79" s="170">
        <v>0</v>
      </c>
    </row>
    <row r="80" spans="1:22">
      <c r="A80" s="580"/>
      <c r="B80" s="581" t="s">
        <v>37</v>
      </c>
      <c r="C80" s="582">
        <v>0</v>
      </c>
      <c r="D80" s="584">
        <v>0</v>
      </c>
      <c r="E80" s="584">
        <v>0</v>
      </c>
      <c r="F80" s="584">
        <v>-6.3208271253775691E-2</v>
      </c>
      <c r="G80" s="584">
        <v>0</v>
      </c>
      <c r="H80" s="585">
        <v>0</v>
      </c>
      <c r="I80" s="586">
        <v>-0.17113553837816931</v>
      </c>
      <c r="J80" s="587">
        <v>0</v>
      </c>
      <c r="K80" s="584">
        <v>0</v>
      </c>
      <c r="L80" s="584">
        <v>3.7476549239153059</v>
      </c>
      <c r="M80" s="584">
        <v>4.4845756943682122</v>
      </c>
      <c r="N80" s="584">
        <v>3.9031389084094608</v>
      </c>
      <c r="O80" s="588">
        <v>0</v>
      </c>
      <c r="P80" s="582">
        <v>0</v>
      </c>
      <c r="Q80" s="589">
        <v>0</v>
      </c>
      <c r="R80" s="587">
        <v>0</v>
      </c>
      <c r="S80" s="584">
        <v>0</v>
      </c>
      <c r="T80" s="584">
        <v>0</v>
      </c>
      <c r="U80" s="588">
        <v>0</v>
      </c>
      <c r="V80" s="170">
        <v>0</v>
      </c>
    </row>
    <row r="81" spans="1:22">
      <c r="A81" s="554"/>
      <c r="B81" s="556" t="s">
        <v>571</v>
      </c>
      <c r="C81" s="566">
        <v>316.3543526978417</v>
      </c>
      <c r="D81" s="94">
        <v>0</v>
      </c>
      <c r="E81" s="94">
        <v>0</v>
      </c>
      <c r="F81" s="94">
        <v>193.15418315789475</v>
      </c>
      <c r="G81" s="95">
        <v>0</v>
      </c>
      <c r="H81" s="567">
        <v>0</v>
      </c>
      <c r="I81" s="568">
        <v>298.37583333333333</v>
      </c>
      <c r="J81" s="569">
        <v>0</v>
      </c>
      <c r="K81" s="94">
        <v>0</v>
      </c>
      <c r="L81" s="94">
        <v>279.49954950495049</v>
      </c>
      <c r="M81" s="94">
        <v>281.21334999999999</v>
      </c>
      <c r="N81" s="570">
        <v>279.82859919999999</v>
      </c>
      <c r="O81" s="571">
        <v>0</v>
      </c>
      <c r="P81" s="566">
        <v>0</v>
      </c>
      <c r="Q81" s="572">
        <v>0</v>
      </c>
      <c r="R81" s="569">
        <v>0</v>
      </c>
      <c r="S81" s="570">
        <v>0</v>
      </c>
      <c r="T81" s="570">
        <v>0</v>
      </c>
      <c r="U81" s="571">
        <v>0</v>
      </c>
      <c r="V81" s="170">
        <v>0</v>
      </c>
    </row>
    <row r="82" spans="1:22">
      <c r="A82" s="554"/>
      <c r="B82" s="573" t="s">
        <v>573</v>
      </c>
      <c r="C82" s="574">
        <v>328.63077300177622</v>
      </c>
      <c r="D82" s="226">
        <v>0</v>
      </c>
      <c r="E82" s="226">
        <v>0</v>
      </c>
      <c r="F82" s="226">
        <v>142.56942626262625</v>
      </c>
      <c r="G82" s="226">
        <v>0</v>
      </c>
      <c r="H82" s="575">
        <v>0</v>
      </c>
      <c r="I82" s="576">
        <v>300.80588882175226</v>
      </c>
      <c r="J82" s="577">
        <v>0</v>
      </c>
      <c r="K82" s="226">
        <v>0</v>
      </c>
      <c r="L82" s="226">
        <v>205.5199336787565</v>
      </c>
      <c r="M82" s="226">
        <v>207.300884</v>
      </c>
      <c r="N82" s="226">
        <v>205.88638436213992</v>
      </c>
      <c r="O82" s="578">
        <v>0</v>
      </c>
      <c r="P82" s="574">
        <v>0</v>
      </c>
      <c r="Q82" s="579">
        <v>0</v>
      </c>
      <c r="R82" s="577">
        <v>0</v>
      </c>
      <c r="S82" s="226">
        <v>0</v>
      </c>
      <c r="T82" s="226">
        <v>0</v>
      </c>
      <c r="U82" s="578">
        <v>0</v>
      </c>
      <c r="V82" s="170">
        <v>0</v>
      </c>
    </row>
    <row r="83" spans="1:22">
      <c r="A83" s="580"/>
      <c r="B83" s="581" t="s">
        <v>39</v>
      </c>
      <c r="C83" s="582">
        <v>3.8805915579293591</v>
      </c>
      <c r="D83" s="584">
        <v>0</v>
      </c>
      <c r="E83" s="584">
        <v>0</v>
      </c>
      <c r="F83" s="584">
        <v>-26.188796985006409</v>
      </c>
      <c r="G83" s="584">
        <v>0</v>
      </c>
      <c r="H83" s="585">
        <v>0</v>
      </c>
      <c r="I83" s="586">
        <v>0.81442771730918651</v>
      </c>
      <c r="J83" s="587">
        <v>0</v>
      </c>
      <c r="K83" s="584">
        <v>0</v>
      </c>
      <c r="L83" s="584">
        <v>-26.468599308022739</v>
      </c>
      <c r="M83" s="584">
        <v>-26.283412931854048</v>
      </c>
      <c r="N83" s="584">
        <v>-26.424109275911377</v>
      </c>
      <c r="O83" s="588">
        <v>0</v>
      </c>
      <c r="P83" s="582">
        <v>0</v>
      </c>
      <c r="Q83" s="589">
        <v>0</v>
      </c>
      <c r="R83" s="587">
        <v>0</v>
      </c>
      <c r="S83" s="584">
        <v>0</v>
      </c>
      <c r="T83" s="584">
        <v>0</v>
      </c>
      <c r="U83" s="588">
        <v>0</v>
      </c>
      <c r="V83" s="170">
        <v>0</v>
      </c>
    </row>
    <row r="84" spans="1:22">
      <c r="A84" s="554"/>
      <c r="B84" s="556" t="s">
        <v>575</v>
      </c>
      <c r="C84" s="566">
        <v>398.34263741007197</v>
      </c>
      <c r="D84" s="94">
        <v>0</v>
      </c>
      <c r="E84" s="94">
        <v>0</v>
      </c>
      <c r="F84" s="94">
        <v>1291.1066021052632</v>
      </c>
      <c r="G84" s="95">
        <v>0</v>
      </c>
      <c r="H84" s="567">
        <v>0</v>
      </c>
      <c r="I84" s="568">
        <v>528.62309308755755</v>
      </c>
      <c r="J84" s="569">
        <v>0</v>
      </c>
      <c r="K84" s="94">
        <v>0</v>
      </c>
      <c r="L84" s="94">
        <v>1257.3816772881357</v>
      </c>
      <c r="M84" s="94">
        <v>1249.0702592592593</v>
      </c>
      <c r="N84" s="570">
        <v>1255.5911856382979</v>
      </c>
      <c r="O84" s="571">
        <v>0</v>
      </c>
      <c r="P84" s="566">
        <v>0</v>
      </c>
      <c r="Q84" s="572">
        <v>0</v>
      </c>
      <c r="R84" s="569">
        <v>0</v>
      </c>
      <c r="S84" s="570">
        <v>0</v>
      </c>
      <c r="T84" s="570">
        <v>0</v>
      </c>
      <c r="U84" s="571">
        <v>0</v>
      </c>
      <c r="V84" s="170">
        <v>0</v>
      </c>
    </row>
    <row r="85" spans="1:22">
      <c r="A85" s="554"/>
      <c r="B85" s="573" t="s">
        <v>577</v>
      </c>
      <c r="C85" s="574">
        <v>319.85221403197158</v>
      </c>
      <c r="D85" s="226">
        <v>0</v>
      </c>
      <c r="E85" s="226">
        <v>0</v>
      </c>
      <c r="F85" s="226">
        <v>1268.1822060606062</v>
      </c>
      <c r="G85" s="226">
        <v>0</v>
      </c>
      <c r="H85" s="575">
        <v>0</v>
      </c>
      <c r="I85" s="576">
        <v>461.67195604229607</v>
      </c>
      <c r="J85" s="577">
        <v>0</v>
      </c>
      <c r="K85" s="226">
        <v>0</v>
      </c>
      <c r="L85" s="226">
        <v>1270.3708553333333</v>
      </c>
      <c r="M85" s="226">
        <v>1264.1036000000001</v>
      </c>
      <c r="N85" s="226">
        <v>1268.9998932291667</v>
      </c>
      <c r="O85" s="578">
        <v>0</v>
      </c>
      <c r="P85" s="574">
        <v>0</v>
      </c>
      <c r="Q85" s="579">
        <v>0</v>
      </c>
      <c r="R85" s="577">
        <v>0</v>
      </c>
      <c r="S85" s="226">
        <v>0</v>
      </c>
      <c r="T85" s="226">
        <v>0</v>
      </c>
      <c r="U85" s="578">
        <v>0</v>
      </c>
      <c r="V85" s="170">
        <v>0</v>
      </c>
    </row>
    <row r="86" spans="1:22">
      <c r="A86" s="580"/>
      <c r="B86" s="581" t="s">
        <v>501</v>
      </c>
      <c r="C86" s="582">
        <v>-19.704248555571716</v>
      </c>
      <c r="D86" s="584">
        <v>0</v>
      </c>
      <c r="E86" s="584">
        <v>0</v>
      </c>
      <c r="F86" s="584">
        <v>-1.7755618325610556</v>
      </c>
      <c r="G86" s="584">
        <v>0</v>
      </c>
      <c r="H86" s="585">
        <v>0</v>
      </c>
      <c r="I86" s="586">
        <v>-12.66519339028803</v>
      </c>
      <c r="J86" s="587">
        <v>0</v>
      </c>
      <c r="K86" s="584">
        <v>0</v>
      </c>
      <c r="L86" s="584">
        <v>1.0330338257522631</v>
      </c>
      <c r="M86" s="584">
        <v>1.2035624601018158</v>
      </c>
      <c r="N86" s="584">
        <v>1.0679198567368275</v>
      </c>
      <c r="O86" s="588">
        <v>0</v>
      </c>
      <c r="P86" s="582">
        <v>0</v>
      </c>
      <c r="Q86" s="589">
        <v>0</v>
      </c>
      <c r="R86" s="587">
        <v>0</v>
      </c>
      <c r="S86" s="584">
        <v>0</v>
      </c>
      <c r="T86" s="584">
        <v>0</v>
      </c>
      <c r="U86" s="588">
        <v>0</v>
      </c>
      <c r="V86" s="170">
        <v>0</v>
      </c>
    </row>
    <row r="87" spans="1:22">
      <c r="A87" s="554"/>
      <c r="B87" s="556" t="s">
        <v>579</v>
      </c>
      <c r="C87" s="566">
        <v>6029.9113924050635</v>
      </c>
      <c r="D87" s="94">
        <v>0</v>
      </c>
      <c r="E87" s="94">
        <v>0</v>
      </c>
      <c r="F87" s="94">
        <v>0</v>
      </c>
      <c r="G87" s="95">
        <v>0</v>
      </c>
      <c r="H87" s="567">
        <v>0</v>
      </c>
      <c r="I87" s="568">
        <v>6029.9113924050635</v>
      </c>
      <c r="J87" s="569">
        <v>0</v>
      </c>
      <c r="K87" s="94">
        <v>0</v>
      </c>
      <c r="L87" s="94">
        <v>0</v>
      </c>
      <c r="M87" s="94">
        <v>0</v>
      </c>
      <c r="N87" s="570">
        <v>0</v>
      </c>
      <c r="O87" s="571">
        <v>0</v>
      </c>
      <c r="P87" s="566">
        <v>0</v>
      </c>
      <c r="Q87" s="572">
        <v>0</v>
      </c>
      <c r="R87" s="569">
        <v>0</v>
      </c>
      <c r="S87" s="570">
        <v>0</v>
      </c>
      <c r="T87" s="570">
        <v>0</v>
      </c>
      <c r="U87" s="571">
        <v>0</v>
      </c>
      <c r="V87" s="170">
        <v>0</v>
      </c>
    </row>
    <row r="88" spans="1:22">
      <c r="A88" s="554"/>
      <c r="B88" s="573" t="s">
        <v>581</v>
      </c>
      <c r="C88" s="574">
        <v>8621.3312101910833</v>
      </c>
      <c r="D88" s="226">
        <v>0</v>
      </c>
      <c r="E88" s="226">
        <v>0</v>
      </c>
      <c r="F88" s="226">
        <v>2950.5</v>
      </c>
      <c r="G88" s="226">
        <v>0</v>
      </c>
      <c r="H88" s="575">
        <v>0</v>
      </c>
      <c r="I88" s="576">
        <v>8480.4409937888195</v>
      </c>
      <c r="J88" s="577">
        <v>0</v>
      </c>
      <c r="K88" s="226">
        <v>0</v>
      </c>
      <c r="L88" s="226">
        <v>0</v>
      </c>
      <c r="M88" s="226">
        <v>0</v>
      </c>
      <c r="N88" s="226">
        <v>0</v>
      </c>
      <c r="O88" s="578">
        <v>0</v>
      </c>
      <c r="P88" s="574">
        <v>0</v>
      </c>
      <c r="Q88" s="579">
        <v>0</v>
      </c>
      <c r="R88" s="577">
        <v>0</v>
      </c>
      <c r="S88" s="226">
        <v>0</v>
      </c>
      <c r="T88" s="226">
        <v>0</v>
      </c>
      <c r="U88" s="578">
        <v>0</v>
      </c>
      <c r="V88" s="170">
        <v>0</v>
      </c>
    </row>
    <row r="89" spans="1:22">
      <c r="A89" s="580"/>
      <c r="B89" s="581" t="s">
        <v>503</v>
      </c>
      <c r="C89" s="582">
        <v>42.976084541640631</v>
      </c>
      <c r="D89" s="584">
        <v>0</v>
      </c>
      <c r="E89" s="584">
        <v>0</v>
      </c>
      <c r="F89" s="584">
        <v>0</v>
      </c>
      <c r="G89" s="584">
        <v>0</v>
      </c>
      <c r="H89" s="585">
        <v>0</v>
      </c>
      <c r="I89" s="586">
        <v>40.639562373508589</v>
      </c>
      <c r="J89" s="587">
        <v>0</v>
      </c>
      <c r="K89" s="584">
        <v>0</v>
      </c>
      <c r="L89" s="584">
        <v>0</v>
      </c>
      <c r="M89" s="584">
        <v>0</v>
      </c>
      <c r="N89" s="584">
        <v>0</v>
      </c>
      <c r="O89" s="588">
        <v>0</v>
      </c>
      <c r="P89" s="582">
        <v>0</v>
      </c>
      <c r="Q89" s="589">
        <v>0</v>
      </c>
      <c r="R89" s="587">
        <v>0</v>
      </c>
      <c r="S89" s="584">
        <v>0</v>
      </c>
      <c r="T89" s="584">
        <v>0</v>
      </c>
      <c r="U89" s="588">
        <v>0</v>
      </c>
      <c r="V89" s="170">
        <v>0</v>
      </c>
    </row>
    <row r="90" spans="1:22">
      <c r="A90" s="554"/>
      <c r="B90" s="556" t="s">
        <v>583</v>
      </c>
      <c r="C90" s="566">
        <v>0</v>
      </c>
      <c r="D90" s="94">
        <v>0</v>
      </c>
      <c r="E90" s="94">
        <v>0</v>
      </c>
      <c r="F90" s="94">
        <v>0</v>
      </c>
      <c r="G90" s="95">
        <v>0</v>
      </c>
      <c r="H90" s="567">
        <v>0</v>
      </c>
      <c r="I90" s="568">
        <v>0</v>
      </c>
      <c r="J90" s="569">
        <v>0</v>
      </c>
      <c r="K90" s="94">
        <v>0</v>
      </c>
      <c r="L90" s="94">
        <v>0</v>
      </c>
      <c r="M90" s="94">
        <v>0</v>
      </c>
      <c r="N90" s="570">
        <v>0</v>
      </c>
      <c r="O90" s="571">
        <v>0</v>
      </c>
      <c r="P90" s="566">
        <v>0</v>
      </c>
      <c r="Q90" s="572">
        <v>0</v>
      </c>
      <c r="R90" s="569">
        <v>0</v>
      </c>
      <c r="S90" s="570">
        <v>0</v>
      </c>
      <c r="T90" s="570">
        <v>0</v>
      </c>
      <c r="U90" s="571">
        <v>0</v>
      </c>
      <c r="V90" s="170">
        <v>0</v>
      </c>
    </row>
    <row r="91" spans="1:22">
      <c r="A91" s="554"/>
      <c r="B91" s="573" t="s">
        <v>585</v>
      </c>
      <c r="C91" s="574">
        <v>0</v>
      </c>
      <c r="D91" s="226">
        <v>0</v>
      </c>
      <c r="E91" s="226">
        <v>0</v>
      </c>
      <c r="F91" s="226">
        <v>0</v>
      </c>
      <c r="G91" s="226">
        <v>0</v>
      </c>
      <c r="H91" s="575">
        <v>0</v>
      </c>
      <c r="I91" s="576">
        <v>0</v>
      </c>
      <c r="J91" s="577">
        <v>0</v>
      </c>
      <c r="K91" s="226">
        <v>0</v>
      </c>
      <c r="L91" s="226">
        <v>0</v>
      </c>
      <c r="M91" s="226">
        <v>0</v>
      </c>
      <c r="N91" s="226">
        <v>0</v>
      </c>
      <c r="O91" s="578">
        <v>0</v>
      </c>
      <c r="P91" s="574">
        <v>0</v>
      </c>
      <c r="Q91" s="579">
        <v>0</v>
      </c>
      <c r="R91" s="577">
        <v>0</v>
      </c>
      <c r="S91" s="226">
        <v>0</v>
      </c>
      <c r="T91" s="226">
        <v>0</v>
      </c>
      <c r="U91" s="578">
        <v>0</v>
      </c>
      <c r="V91" s="170">
        <v>0</v>
      </c>
    </row>
    <row r="92" spans="1:22">
      <c r="A92" s="580"/>
      <c r="B92" s="581" t="s">
        <v>694</v>
      </c>
      <c r="C92" s="582">
        <v>0</v>
      </c>
      <c r="D92" s="584">
        <v>0</v>
      </c>
      <c r="E92" s="584">
        <v>0</v>
      </c>
      <c r="F92" s="584">
        <v>0</v>
      </c>
      <c r="G92" s="584">
        <v>0</v>
      </c>
      <c r="H92" s="585">
        <v>0</v>
      </c>
      <c r="I92" s="586">
        <v>0</v>
      </c>
      <c r="J92" s="587">
        <v>0</v>
      </c>
      <c r="K92" s="584">
        <v>0</v>
      </c>
      <c r="L92" s="584">
        <v>0</v>
      </c>
      <c r="M92" s="584">
        <v>0</v>
      </c>
      <c r="N92" s="584">
        <v>0</v>
      </c>
      <c r="O92" s="588">
        <v>0</v>
      </c>
      <c r="P92" s="582">
        <v>0</v>
      </c>
      <c r="Q92" s="589">
        <v>0</v>
      </c>
      <c r="R92" s="587">
        <v>0</v>
      </c>
      <c r="S92" s="584">
        <v>0</v>
      </c>
      <c r="T92" s="584">
        <v>0</v>
      </c>
      <c r="U92" s="588">
        <v>0</v>
      </c>
      <c r="V92" s="170">
        <v>0</v>
      </c>
    </row>
    <row r="93" spans="1:22">
      <c r="A93" s="554"/>
      <c r="B93" s="556" t="s">
        <v>587</v>
      </c>
      <c r="C93" s="566">
        <v>30154.907384604317</v>
      </c>
      <c r="D93" s="94">
        <v>0</v>
      </c>
      <c r="E93" s="94">
        <v>0</v>
      </c>
      <c r="F93" s="94">
        <v>25977.054455789472</v>
      </c>
      <c r="G93" s="95">
        <v>0</v>
      </c>
      <c r="H93" s="567">
        <v>0</v>
      </c>
      <c r="I93" s="568">
        <v>29545.236066267284</v>
      </c>
      <c r="J93" s="569">
        <v>0</v>
      </c>
      <c r="K93" s="94">
        <v>0</v>
      </c>
      <c r="L93" s="94">
        <v>24755.838898169492</v>
      </c>
      <c r="M93" s="94">
        <v>24747.566963209876</v>
      </c>
      <c r="N93" s="570">
        <v>24754.056912180848</v>
      </c>
      <c r="O93" s="571">
        <v>0</v>
      </c>
      <c r="P93" s="566">
        <v>0</v>
      </c>
      <c r="Q93" s="572">
        <v>0</v>
      </c>
      <c r="R93" s="569">
        <v>0</v>
      </c>
      <c r="S93" s="570">
        <v>0</v>
      </c>
      <c r="T93" s="570">
        <v>0</v>
      </c>
      <c r="U93" s="571">
        <v>0</v>
      </c>
      <c r="V93" s="170">
        <v>0</v>
      </c>
    </row>
    <row r="94" spans="1:22">
      <c r="A94" s="554"/>
      <c r="B94" s="573" t="s">
        <v>589</v>
      </c>
      <c r="C94" s="574">
        <v>31905.014474049734</v>
      </c>
      <c r="D94" s="226">
        <v>0</v>
      </c>
      <c r="E94" s="226">
        <v>0</v>
      </c>
      <c r="F94" s="226">
        <v>26723.355527373737</v>
      </c>
      <c r="G94" s="226">
        <v>0</v>
      </c>
      <c r="H94" s="575">
        <v>0</v>
      </c>
      <c r="I94" s="576">
        <v>31130.113815861027</v>
      </c>
      <c r="J94" s="577">
        <v>0</v>
      </c>
      <c r="K94" s="226">
        <v>0</v>
      </c>
      <c r="L94" s="226">
        <v>27670.568022533331</v>
      </c>
      <c r="M94" s="226">
        <v>27744.846270952381</v>
      </c>
      <c r="N94" s="226">
        <v>27686.816389374999</v>
      </c>
      <c r="O94" s="578">
        <v>0</v>
      </c>
      <c r="P94" s="574">
        <v>0</v>
      </c>
      <c r="Q94" s="579">
        <v>0</v>
      </c>
      <c r="R94" s="577">
        <v>0</v>
      </c>
      <c r="S94" s="226">
        <v>0</v>
      </c>
      <c r="T94" s="226">
        <v>0</v>
      </c>
      <c r="U94" s="578">
        <v>0</v>
      </c>
      <c r="V94" s="170">
        <v>0</v>
      </c>
    </row>
    <row r="95" spans="1:22">
      <c r="A95" s="580"/>
      <c r="B95" s="581" t="s">
        <v>696</v>
      </c>
      <c r="C95" s="582">
        <v>5.8037223166499912</v>
      </c>
      <c r="D95" s="584">
        <v>0</v>
      </c>
      <c r="E95" s="584">
        <v>0</v>
      </c>
      <c r="F95" s="584">
        <v>2.8729241525608673</v>
      </c>
      <c r="G95" s="584">
        <v>0</v>
      </c>
      <c r="H95" s="585">
        <v>0</v>
      </c>
      <c r="I95" s="586">
        <v>5.3642412808582947</v>
      </c>
      <c r="J95" s="587">
        <v>0</v>
      </c>
      <c r="K95" s="584">
        <v>0</v>
      </c>
      <c r="L95" s="584">
        <v>11.773905688889265</v>
      </c>
      <c r="M95" s="584">
        <v>12.111410031532827</v>
      </c>
      <c r="N95" s="584">
        <v>11.847591235645153</v>
      </c>
      <c r="O95" s="588">
        <v>0</v>
      </c>
      <c r="P95" s="582">
        <v>0</v>
      </c>
      <c r="Q95" s="589">
        <v>0</v>
      </c>
      <c r="R95" s="587">
        <v>0</v>
      </c>
      <c r="S95" s="584">
        <v>0</v>
      </c>
      <c r="T95" s="584">
        <v>0</v>
      </c>
      <c r="U95" s="588">
        <v>0</v>
      </c>
      <c r="V95" s="170">
        <v>0</v>
      </c>
    </row>
    <row r="96" spans="1:22">
      <c r="A96" s="549" t="s">
        <v>155</v>
      </c>
      <c r="B96" s="556" t="s">
        <v>726</v>
      </c>
      <c r="C96" s="566">
        <v>8635.9595031517147</v>
      </c>
      <c r="D96" s="94">
        <v>7088.7453294450179</v>
      </c>
      <c r="E96" s="94">
        <v>7418.6744751283932</v>
      </c>
      <c r="F96" s="94">
        <v>6524.830290804598</v>
      </c>
      <c r="G96" s="95">
        <v>0</v>
      </c>
      <c r="H96" s="567">
        <v>7112.4507042253517</v>
      </c>
      <c r="I96" s="568">
        <v>8226.9478719586568</v>
      </c>
      <c r="J96" s="569">
        <v>6236.4475287542082</v>
      </c>
      <c r="K96" s="94">
        <v>5439.7140991046617</v>
      </c>
      <c r="L96" s="94">
        <v>4959.9130267281107</v>
      </c>
      <c r="M96" s="94">
        <v>4032.5341795918371</v>
      </c>
      <c r="N96" s="570">
        <v>5613.7036634530441</v>
      </c>
      <c r="O96" s="571">
        <v>0</v>
      </c>
      <c r="P96" s="566">
        <v>0</v>
      </c>
      <c r="Q96" s="572">
        <v>0</v>
      </c>
      <c r="R96" s="569">
        <v>0</v>
      </c>
      <c r="S96" s="570">
        <v>0</v>
      </c>
      <c r="T96" s="570">
        <v>0</v>
      </c>
      <c r="U96" s="571">
        <v>0</v>
      </c>
      <c r="V96" s="170">
        <v>0</v>
      </c>
    </row>
    <row r="97" spans="1:22">
      <c r="A97" s="554"/>
      <c r="B97" s="573" t="s">
        <v>728</v>
      </c>
      <c r="C97" s="574">
        <v>8542.6887972710738</v>
      </c>
      <c r="D97" s="226">
        <v>7428.5141160206722</v>
      </c>
      <c r="E97" s="226">
        <v>7603.5839939024381</v>
      </c>
      <c r="F97" s="226">
        <v>6603.6133689008047</v>
      </c>
      <c r="G97" s="226">
        <v>0</v>
      </c>
      <c r="H97" s="575">
        <v>7150.4602525753235</v>
      </c>
      <c r="I97" s="576">
        <v>8223.0964165168571</v>
      </c>
      <c r="J97" s="577">
        <v>6810.0118035920459</v>
      </c>
      <c r="K97" s="226">
        <v>5817.9682437443198</v>
      </c>
      <c r="L97" s="226">
        <v>5386.4154156097566</v>
      </c>
      <c r="M97" s="226">
        <v>4179.6459321428574</v>
      </c>
      <c r="N97" s="226">
        <v>6057.9068845287275</v>
      </c>
      <c r="O97" s="578">
        <v>0</v>
      </c>
      <c r="P97" s="574">
        <v>0</v>
      </c>
      <c r="Q97" s="579">
        <v>0</v>
      </c>
      <c r="R97" s="577">
        <v>0</v>
      </c>
      <c r="S97" s="226">
        <v>0</v>
      </c>
      <c r="T97" s="226">
        <v>0</v>
      </c>
      <c r="U97" s="578">
        <v>0</v>
      </c>
      <c r="V97" s="170">
        <v>0</v>
      </c>
    </row>
    <row r="98" spans="1:22">
      <c r="A98" s="580"/>
      <c r="B98" s="581" t="s">
        <v>495</v>
      </c>
      <c r="C98" s="582">
        <v>-1.0800271335987799</v>
      </c>
      <c r="D98" s="584">
        <v>4.7930736792635633</v>
      </c>
      <c r="E98" s="584">
        <v>2.4924872953243411</v>
      </c>
      <c r="F98" s="584">
        <v>1.2074348999886668</v>
      </c>
      <c r="G98" s="584">
        <v>0</v>
      </c>
      <c r="H98" s="585">
        <v>0.53440860162856518</v>
      </c>
      <c r="I98" s="586">
        <v>-4.6815119066541795E-2</v>
      </c>
      <c r="J98" s="587">
        <v>9.1969710671551628</v>
      </c>
      <c r="K98" s="584">
        <v>6.9535666350905467</v>
      </c>
      <c r="L98" s="584">
        <v>8.5989892682250364</v>
      </c>
      <c r="M98" s="584">
        <v>3.6481216525215077</v>
      </c>
      <c r="N98" s="584">
        <v>7.9128370093274505</v>
      </c>
      <c r="O98" s="588">
        <v>0</v>
      </c>
      <c r="P98" s="582">
        <v>0</v>
      </c>
      <c r="Q98" s="589">
        <v>0</v>
      </c>
      <c r="R98" s="587">
        <v>0</v>
      </c>
      <c r="S98" s="584">
        <v>0</v>
      </c>
      <c r="T98" s="584">
        <v>0</v>
      </c>
      <c r="U98" s="588">
        <v>0</v>
      </c>
      <c r="V98" s="170">
        <v>0</v>
      </c>
    </row>
    <row r="99" spans="1:22">
      <c r="A99" s="554"/>
      <c r="B99" s="556" t="s">
        <v>730</v>
      </c>
      <c r="C99" s="566">
        <v>8968.1030247894487</v>
      </c>
      <c r="D99" s="94">
        <v>7786.5352303523032</v>
      </c>
      <c r="E99" s="94">
        <v>7804.0211022364219</v>
      </c>
      <c r="F99" s="94">
        <v>7863.7134502923973</v>
      </c>
      <c r="G99" s="95">
        <v>0</v>
      </c>
      <c r="H99" s="567">
        <v>9124.3098591549297</v>
      </c>
      <c r="I99" s="568">
        <v>8658.0710389834403</v>
      </c>
      <c r="J99" s="569">
        <v>6380.3703199455413</v>
      </c>
      <c r="K99" s="94">
        <v>5722.6397193410612</v>
      </c>
      <c r="L99" s="94">
        <v>4913.5649999999996</v>
      </c>
      <c r="M99" s="94">
        <v>4031.9387755102039</v>
      </c>
      <c r="N99" s="570">
        <v>5830.3633564280217</v>
      </c>
      <c r="O99" s="571">
        <v>0</v>
      </c>
      <c r="P99" s="566">
        <v>0</v>
      </c>
      <c r="Q99" s="572">
        <v>0</v>
      </c>
      <c r="R99" s="569">
        <v>0</v>
      </c>
      <c r="S99" s="570">
        <v>0</v>
      </c>
      <c r="T99" s="570">
        <v>0</v>
      </c>
      <c r="U99" s="571">
        <v>0</v>
      </c>
      <c r="V99" s="170">
        <v>0</v>
      </c>
    </row>
    <row r="100" spans="1:22">
      <c r="A100" s="554"/>
      <c r="B100" s="573" t="s">
        <v>732</v>
      </c>
      <c r="C100" s="574">
        <v>9375.886630179828</v>
      </c>
      <c r="D100" s="226">
        <v>9482.495251017639</v>
      </c>
      <c r="E100" s="226">
        <v>8099.1089108910892</v>
      </c>
      <c r="F100" s="226">
        <v>9131.9629629629635</v>
      </c>
      <c r="G100" s="226">
        <v>0</v>
      </c>
      <c r="H100" s="575">
        <v>10055.323943661971</v>
      </c>
      <c r="I100" s="576">
        <v>9204.0566963267174</v>
      </c>
      <c r="J100" s="577">
        <v>6506.2109020116804</v>
      </c>
      <c r="K100" s="226">
        <v>6059.8146842878123</v>
      </c>
      <c r="L100" s="226">
        <v>5215.7989821882948</v>
      </c>
      <c r="M100" s="226">
        <v>3803.7321428571427</v>
      </c>
      <c r="N100" s="226">
        <v>6102.4203892493051</v>
      </c>
      <c r="O100" s="578">
        <v>0</v>
      </c>
      <c r="P100" s="574">
        <v>0</v>
      </c>
      <c r="Q100" s="579">
        <v>0</v>
      </c>
      <c r="R100" s="577">
        <v>0</v>
      </c>
      <c r="S100" s="226">
        <v>0</v>
      </c>
      <c r="T100" s="226">
        <v>0</v>
      </c>
      <c r="U100" s="578">
        <v>0</v>
      </c>
      <c r="V100" s="170">
        <v>0</v>
      </c>
    </row>
    <row r="101" spans="1:22">
      <c r="A101" s="580"/>
      <c r="B101" s="581" t="s">
        <v>497</v>
      </c>
      <c r="C101" s="582">
        <v>4.5470441660091563</v>
      </c>
      <c r="D101" s="584">
        <v>21.780676135059391</v>
      </c>
      <c r="E101" s="584">
        <v>3.7812277131093746</v>
      </c>
      <c r="F101" s="584">
        <v>16.127870384486208</v>
      </c>
      <c r="G101" s="584">
        <v>0</v>
      </c>
      <c r="H101" s="585">
        <v>10.203665799149766</v>
      </c>
      <c r="I101" s="586">
        <v>6.3060889069279602</v>
      </c>
      <c r="J101" s="587">
        <v>1.9723084359657244</v>
      </c>
      <c r="K101" s="584">
        <v>5.8919481477610027</v>
      </c>
      <c r="L101" s="584">
        <v>6.1510121915207225</v>
      </c>
      <c r="M101" s="584">
        <v>-5.6599726672234452</v>
      </c>
      <c r="N101" s="584">
        <v>4.6662105976866499</v>
      </c>
      <c r="O101" s="588">
        <v>0</v>
      </c>
      <c r="P101" s="582">
        <v>0</v>
      </c>
      <c r="Q101" s="589">
        <v>0</v>
      </c>
      <c r="R101" s="587">
        <v>0</v>
      </c>
      <c r="S101" s="584">
        <v>0</v>
      </c>
      <c r="T101" s="584">
        <v>0</v>
      </c>
      <c r="U101" s="588">
        <v>0</v>
      </c>
      <c r="V101" s="170">
        <v>0</v>
      </c>
    </row>
    <row r="102" spans="1:22">
      <c r="A102" s="554"/>
      <c r="B102" s="556" t="s">
        <v>734</v>
      </c>
      <c r="C102" s="566">
        <v>0</v>
      </c>
      <c r="D102" s="94">
        <v>0</v>
      </c>
      <c r="E102" s="94">
        <v>0</v>
      </c>
      <c r="F102" s="94">
        <v>0</v>
      </c>
      <c r="G102" s="95">
        <v>0</v>
      </c>
      <c r="H102" s="567">
        <v>0</v>
      </c>
      <c r="I102" s="568">
        <v>0</v>
      </c>
      <c r="J102" s="569">
        <v>1552.3538461538462</v>
      </c>
      <c r="K102" s="94">
        <v>171.26939017169923</v>
      </c>
      <c r="L102" s="94">
        <v>255.13114754098362</v>
      </c>
      <c r="M102" s="94">
        <v>177.88888888888889</v>
      </c>
      <c r="N102" s="570">
        <v>422.26949700046146</v>
      </c>
      <c r="O102" s="571">
        <v>0</v>
      </c>
      <c r="P102" s="566">
        <v>0</v>
      </c>
      <c r="Q102" s="572">
        <v>0</v>
      </c>
      <c r="R102" s="569">
        <v>0</v>
      </c>
      <c r="S102" s="570">
        <v>0</v>
      </c>
      <c r="T102" s="570">
        <v>0</v>
      </c>
      <c r="U102" s="571">
        <v>0</v>
      </c>
      <c r="V102" s="170">
        <v>0</v>
      </c>
    </row>
    <row r="103" spans="1:22">
      <c r="A103" s="554"/>
      <c r="B103" s="573" t="s">
        <v>736</v>
      </c>
      <c r="C103" s="574">
        <v>0</v>
      </c>
      <c r="D103" s="226">
        <v>0</v>
      </c>
      <c r="E103" s="226">
        <v>0</v>
      </c>
      <c r="F103" s="226">
        <v>0</v>
      </c>
      <c r="G103" s="226">
        <v>0</v>
      </c>
      <c r="H103" s="575">
        <v>0</v>
      </c>
      <c r="I103" s="576">
        <v>0</v>
      </c>
      <c r="J103" s="577">
        <v>201.24161073825502</v>
      </c>
      <c r="K103" s="226">
        <v>177.91789354473386</v>
      </c>
      <c r="L103" s="226">
        <v>265.43396226415092</v>
      </c>
      <c r="M103" s="226">
        <v>172.96428571428572</v>
      </c>
      <c r="N103" s="226">
        <v>184.42414995640803</v>
      </c>
      <c r="O103" s="578">
        <v>0</v>
      </c>
      <c r="P103" s="574">
        <v>0</v>
      </c>
      <c r="Q103" s="579">
        <v>0</v>
      </c>
      <c r="R103" s="577">
        <v>0</v>
      </c>
      <c r="S103" s="226">
        <v>0</v>
      </c>
      <c r="T103" s="226">
        <v>0</v>
      </c>
      <c r="U103" s="578">
        <v>0</v>
      </c>
      <c r="V103" s="170">
        <v>0</v>
      </c>
    </row>
    <row r="104" spans="1:22">
      <c r="A104" s="580"/>
      <c r="B104" s="581" t="s">
        <v>499</v>
      </c>
      <c r="C104" s="582">
        <v>0</v>
      </c>
      <c r="D104" s="584">
        <v>0</v>
      </c>
      <c r="E104" s="584">
        <v>0</v>
      </c>
      <c r="F104" s="584">
        <v>0</v>
      </c>
      <c r="G104" s="584">
        <v>0</v>
      </c>
      <c r="H104" s="585">
        <v>0</v>
      </c>
      <c r="I104" s="586">
        <v>0</v>
      </c>
      <c r="J104" s="587">
        <v>-87.03635699831861</v>
      </c>
      <c r="K104" s="584">
        <v>3.8818981993042887</v>
      </c>
      <c r="L104" s="584">
        <v>4.0382426146193238</v>
      </c>
      <c r="M104" s="584">
        <v>-2.7683590613009663</v>
      </c>
      <c r="N104" s="584">
        <v>-56.325486148906819</v>
      </c>
      <c r="O104" s="588">
        <v>0</v>
      </c>
      <c r="P104" s="582">
        <v>0</v>
      </c>
      <c r="Q104" s="589">
        <v>0</v>
      </c>
      <c r="R104" s="587">
        <v>0</v>
      </c>
      <c r="S104" s="584">
        <v>0</v>
      </c>
      <c r="T104" s="584">
        <v>0</v>
      </c>
      <c r="U104" s="588">
        <v>0</v>
      </c>
      <c r="V104" s="170">
        <v>0</v>
      </c>
    </row>
    <row r="105" spans="1:22">
      <c r="A105" s="554"/>
      <c r="B105" s="556" t="s">
        <v>738</v>
      </c>
      <c r="C105" s="566">
        <v>5539.9111069775317</v>
      </c>
      <c r="D105" s="94">
        <v>4132.5311081483906</v>
      </c>
      <c r="E105" s="94">
        <v>4740.1823739766087</v>
      </c>
      <c r="F105" s="94">
        <v>4774.6423764367819</v>
      </c>
      <c r="G105" s="95">
        <v>0</v>
      </c>
      <c r="H105" s="567">
        <v>5247.1690140845067</v>
      </c>
      <c r="I105" s="568">
        <v>5266.5796713357886</v>
      </c>
      <c r="J105" s="569">
        <v>4756.1531502695416</v>
      </c>
      <c r="K105" s="94">
        <v>4218.2098765905639</v>
      </c>
      <c r="L105" s="94">
        <v>3663.3337683215127</v>
      </c>
      <c r="M105" s="94">
        <v>3390.5065591836737</v>
      </c>
      <c r="N105" s="570">
        <v>4318.0071980538069</v>
      </c>
      <c r="O105" s="571">
        <v>0</v>
      </c>
      <c r="P105" s="566">
        <v>0</v>
      </c>
      <c r="Q105" s="572">
        <v>0</v>
      </c>
      <c r="R105" s="569">
        <v>0</v>
      </c>
      <c r="S105" s="570">
        <v>0</v>
      </c>
      <c r="T105" s="570">
        <v>0</v>
      </c>
      <c r="U105" s="571">
        <v>0</v>
      </c>
      <c r="V105" s="170">
        <v>0</v>
      </c>
    </row>
    <row r="106" spans="1:22">
      <c r="A106" s="554"/>
      <c r="B106" s="573" t="s">
        <v>740</v>
      </c>
      <c r="C106" s="574">
        <v>5452.0687586104368</v>
      </c>
      <c r="D106" s="226">
        <v>5249.2097762273897</v>
      </c>
      <c r="E106" s="226">
        <v>4844.9570088145902</v>
      </c>
      <c r="F106" s="226">
        <v>4713.0046445040216</v>
      </c>
      <c r="G106" s="226">
        <v>0</v>
      </c>
      <c r="H106" s="575">
        <v>5217.2955719583097</v>
      </c>
      <c r="I106" s="576">
        <v>5315.2824638581023</v>
      </c>
      <c r="J106" s="577">
        <v>4828.9051861449652</v>
      </c>
      <c r="K106" s="226">
        <v>4199.4593117717004</v>
      </c>
      <c r="L106" s="226">
        <v>3759.0371093975909</v>
      </c>
      <c r="M106" s="226">
        <v>3005.5647464285717</v>
      </c>
      <c r="N106" s="226">
        <v>4335.1049937337784</v>
      </c>
      <c r="O106" s="578">
        <v>0</v>
      </c>
      <c r="P106" s="574">
        <v>0</v>
      </c>
      <c r="Q106" s="579">
        <v>0</v>
      </c>
      <c r="R106" s="577">
        <v>0</v>
      </c>
      <c r="S106" s="226">
        <v>0</v>
      </c>
      <c r="T106" s="226">
        <v>0</v>
      </c>
      <c r="U106" s="578">
        <v>0</v>
      </c>
      <c r="V106" s="170">
        <v>0</v>
      </c>
    </row>
    <row r="107" spans="1:22">
      <c r="A107" s="580"/>
      <c r="B107" s="581" t="s">
        <v>569</v>
      </c>
      <c r="C107" s="582">
        <v>-1.5856273985417793</v>
      </c>
      <c r="D107" s="584">
        <v>27.021663935624552</v>
      </c>
      <c r="E107" s="584">
        <v>2.210350289752343</v>
      </c>
      <c r="F107" s="584">
        <v>-1.2909392384432208</v>
      </c>
      <c r="G107" s="584">
        <v>0</v>
      </c>
      <c r="H107" s="585">
        <v>-0.56932494543267798</v>
      </c>
      <c r="I107" s="586">
        <v>0.92475184202351646</v>
      </c>
      <c r="J107" s="587">
        <v>1.5296403117570052</v>
      </c>
      <c r="K107" s="584">
        <v>-0.44451474363383126</v>
      </c>
      <c r="L107" s="584">
        <v>2.6124657792218628</v>
      </c>
      <c r="M107" s="584">
        <v>-11.353519187639732</v>
      </c>
      <c r="N107" s="584">
        <v>0.3959649647568399</v>
      </c>
      <c r="O107" s="588">
        <v>0</v>
      </c>
      <c r="P107" s="582">
        <v>0</v>
      </c>
      <c r="Q107" s="589">
        <v>0</v>
      </c>
      <c r="R107" s="587">
        <v>0</v>
      </c>
      <c r="S107" s="584">
        <v>0</v>
      </c>
      <c r="T107" s="584">
        <v>0</v>
      </c>
      <c r="U107" s="588">
        <v>0</v>
      </c>
      <c r="V107" s="170">
        <v>0</v>
      </c>
    </row>
    <row r="108" spans="1:22">
      <c r="A108" s="554"/>
      <c r="B108" s="556" t="s">
        <v>742</v>
      </c>
      <c r="C108" s="566">
        <v>85.294786238781597</v>
      </c>
      <c r="D108" s="94">
        <v>732.75985357509637</v>
      </c>
      <c r="E108" s="94">
        <v>314.21396895787137</v>
      </c>
      <c r="F108" s="94">
        <v>50</v>
      </c>
      <c r="G108" s="95">
        <v>0</v>
      </c>
      <c r="H108" s="567">
        <v>0</v>
      </c>
      <c r="I108" s="568">
        <v>207.72342357781281</v>
      </c>
      <c r="J108" s="569">
        <v>270.09099264705884</v>
      </c>
      <c r="K108" s="94">
        <v>260.8755980861244</v>
      </c>
      <c r="L108" s="94">
        <v>174.82499999999999</v>
      </c>
      <c r="M108" s="94">
        <v>0</v>
      </c>
      <c r="N108" s="570">
        <v>258.44864864864866</v>
      </c>
      <c r="O108" s="571">
        <v>0</v>
      </c>
      <c r="P108" s="566">
        <v>0</v>
      </c>
      <c r="Q108" s="572">
        <v>0</v>
      </c>
      <c r="R108" s="569">
        <v>0</v>
      </c>
      <c r="S108" s="570">
        <v>0</v>
      </c>
      <c r="T108" s="570">
        <v>0</v>
      </c>
      <c r="U108" s="571">
        <v>0</v>
      </c>
      <c r="V108" s="170">
        <v>0</v>
      </c>
    </row>
    <row r="109" spans="1:22">
      <c r="A109" s="554"/>
      <c r="B109" s="573" t="s">
        <v>567</v>
      </c>
      <c r="C109" s="574">
        <v>221.1198344901228</v>
      </c>
      <c r="D109" s="226">
        <v>754.06459948320412</v>
      </c>
      <c r="E109" s="226">
        <v>361.77155655095186</v>
      </c>
      <c r="F109" s="226">
        <v>75</v>
      </c>
      <c r="G109" s="226">
        <v>0</v>
      </c>
      <c r="H109" s="575">
        <v>0</v>
      </c>
      <c r="I109" s="576">
        <v>304.70063947459386</v>
      </c>
      <c r="J109" s="577">
        <v>431.14959928762244</v>
      </c>
      <c r="K109" s="226">
        <v>130.50661299597471</v>
      </c>
      <c r="L109" s="226">
        <v>204.55665024630542</v>
      </c>
      <c r="M109" s="226">
        <v>0</v>
      </c>
      <c r="N109" s="226">
        <v>245.56508972267537</v>
      </c>
      <c r="O109" s="578">
        <v>0</v>
      </c>
      <c r="P109" s="574">
        <v>0</v>
      </c>
      <c r="Q109" s="579">
        <v>0</v>
      </c>
      <c r="R109" s="577">
        <v>0</v>
      </c>
      <c r="S109" s="226">
        <v>0</v>
      </c>
      <c r="T109" s="226">
        <v>0</v>
      </c>
      <c r="U109" s="578">
        <v>0</v>
      </c>
      <c r="V109" s="170">
        <v>0</v>
      </c>
    </row>
    <row r="110" spans="1:22">
      <c r="A110" s="580"/>
      <c r="B110" s="581" t="s">
        <v>37</v>
      </c>
      <c r="C110" s="582">
        <v>159.24191177535849</v>
      </c>
      <c r="D110" s="584">
        <v>2.9074663143952311</v>
      </c>
      <c r="E110" s="584">
        <v>15.135414810108848</v>
      </c>
      <c r="F110" s="584">
        <v>50</v>
      </c>
      <c r="G110" s="584">
        <v>0</v>
      </c>
      <c r="H110" s="585">
        <v>0</v>
      </c>
      <c r="I110" s="586">
        <v>46.685739251959497</v>
      </c>
      <c r="J110" s="587">
        <v>59.631239480476417</v>
      </c>
      <c r="K110" s="584">
        <v>-49.973621928069413</v>
      </c>
      <c r="L110" s="584">
        <v>17.006520947407658</v>
      </c>
      <c r="M110" s="584">
        <v>0</v>
      </c>
      <c r="N110" s="584">
        <v>-4.9849589051200693</v>
      </c>
      <c r="O110" s="588">
        <v>0</v>
      </c>
      <c r="P110" s="582">
        <v>0</v>
      </c>
      <c r="Q110" s="589">
        <v>0</v>
      </c>
      <c r="R110" s="587">
        <v>0</v>
      </c>
      <c r="S110" s="584">
        <v>0</v>
      </c>
      <c r="T110" s="584">
        <v>0</v>
      </c>
      <c r="U110" s="588">
        <v>0</v>
      </c>
      <c r="V110" s="170">
        <v>0</v>
      </c>
    </row>
    <row r="111" spans="1:22">
      <c r="A111" s="554"/>
      <c r="B111" s="556" t="s">
        <v>571</v>
      </c>
      <c r="C111" s="566">
        <v>208.4775695358193</v>
      </c>
      <c r="D111" s="94">
        <v>372.41482426310176</v>
      </c>
      <c r="E111" s="94">
        <v>145.00179726562499</v>
      </c>
      <c r="F111" s="94">
        <v>33.377864150943395</v>
      </c>
      <c r="G111" s="95">
        <v>0</v>
      </c>
      <c r="H111" s="567">
        <v>149.30508474576271</v>
      </c>
      <c r="I111" s="568">
        <v>206.40636814242086</v>
      </c>
      <c r="J111" s="569">
        <v>294.00435353535357</v>
      </c>
      <c r="K111" s="94">
        <v>153.11786287625418</v>
      </c>
      <c r="L111" s="94">
        <v>79.719954106280198</v>
      </c>
      <c r="M111" s="94">
        <v>90.11530612244897</v>
      </c>
      <c r="N111" s="570">
        <v>186.67573553561201</v>
      </c>
      <c r="O111" s="571">
        <v>0</v>
      </c>
      <c r="P111" s="566">
        <v>0</v>
      </c>
      <c r="Q111" s="572">
        <v>0</v>
      </c>
      <c r="R111" s="569">
        <v>0</v>
      </c>
      <c r="S111" s="570">
        <v>0</v>
      </c>
      <c r="T111" s="570">
        <v>0</v>
      </c>
      <c r="U111" s="571">
        <v>0</v>
      </c>
      <c r="V111" s="170">
        <v>0</v>
      </c>
    </row>
    <row r="112" spans="1:22">
      <c r="A112" s="554"/>
      <c r="B112" s="573" t="s">
        <v>573</v>
      </c>
      <c r="C112" s="574">
        <v>212.00653389089658</v>
      </c>
      <c r="D112" s="226">
        <v>161.97365606837607</v>
      </c>
      <c r="E112" s="226">
        <v>137.44253737166326</v>
      </c>
      <c r="F112" s="226">
        <v>33.328310218978103</v>
      </c>
      <c r="G112" s="226">
        <v>0</v>
      </c>
      <c r="H112" s="575">
        <v>81.698251690875495</v>
      </c>
      <c r="I112" s="576">
        <v>191.25419591834765</v>
      </c>
      <c r="J112" s="577">
        <v>274.74538101347019</v>
      </c>
      <c r="K112" s="226">
        <v>129.42570966226137</v>
      </c>
      <c r="L112" s="226">
        <v>86.030141</v>
      </c>
      <c r="M112" s="226">
        <v>82.526235714285704</v>
      </c>
      <c r="N112" s="226">
        <v>167.53802878228782</v>
      </c>
      <c r="O112" s="578">
        <v>0</v>
      </c>
      <c r="P112" s="574">
        <v>0</v>
      </c>
      <c r="Q112" s="579">
        <v>0</v>
      </c>
      <c r="R112" s="577">
        <v>0</v>
      </c>
      <c r="S112" s="226">
        <v>0</v>
      </c>
      <c r="T112" s="226">
        <v>0</v>
      </c>
      <c r="U112" s="578">
        <v>0</v>
      </c>
      <c r="V112" s="170">
        <v>0</v>
      </c>
    </row>
    <row r="113" spans="1:22">
      <c r="A113" s="580"/>
      <c r="B113" s="581" t="s">
        <v>39</v>
      </c>
      <c r="C113" s="582">
        <v>1.6927309556297152</v>
      </c>
      <c r="D113" s="584">
        <v>-56.507194258747951</v>
      </c>
      <c r="E113" s="584">
        <v>-5.2132180679899527</v>
      </c>
      <c r="F113" s="584">
        <v>-0.14846345991821472</v>
      </c>
      <c r="G113" s="584">
        <v>0</v>
      </c>
      <c r="H113" s="585">
        <v>-45.280998413422019</v>
      </c>
      <c r="I113" s="586">
        <v>-7.3409422201635657</v>
      </c>
      <c r="J113" s="587">
        <v>-6.550573925282885</v>
      </c>
      <c r="K113" s="584">
        <v>-15.473147788863919</v>
      </c>
      <c r="L113" s="584">
        <v>7.9154422057334024</v>
      </c>
      <c r="M113" s="584">
        <v>-8.4215109893220728</v>
      </c>
      <c r="N113" s="584">
        <v>-10.251844835866896</v>
      </c>
      <c r="O113" s="588">
        <v>0</v>
      </c>
      <c r="P113" s="582">
        <v>0</v>
      </c>
      <c r="Q113" s="589">
        <v>0</v>
      </c>
      <c r="R113" s="587">
        <v>0</v>
      </c>
      <c r="S113" s="584">
        <v>0</v>
      </c>
      <c r="T113" s="584">
        <v>0</v>
      </c>
      <c r="U113" s="588">
        <v>0</v>
      </c>
      <c r="V113" s="170">
        <v>0</v>
      </c>
    </row>
    <row r="114" spans="1:22">
      <c r="A114" s="554"/>
      <c r="B114" s="556" t="s">
        <v>575</v>
      </c>
      <c r="C114" s="566">
        <v>294.16371273508122</v>
      </c>
      <c r="D114" s="94">
        <v>412.56569866454959</v>
      </c>
      <c r="E114" s="94">
        <v>273.74453500717357</v>
      </c>
      <c r="F114" s="94">
        <v>64.89989655172414</v>
      </c>
      <c r="G114" s="95">
        <v>0</v>
      </c>
      <c r="H114" s="567">
        <v>0</v>
      </c>
      <c r="I114" s="568">
        <v>292.20732974846476</v>
      </c>
      <c r="J114" s="569">
        <v>417.32753810786915</v>
      </c>
      <c r="K114" s="94">
        <v>560.75667807832065</v>
      </c>
      <c r="L114" s="94">
        <v>349.48901146496814</v>
      </c>
      <c r="M114" s="94">
        <v>0</v>
      </c>
      <c r="N114" s="570">
        <v>502.48120520142783</v>
      </c>
      <c r="O114" s="571">
        <v>0</v>
      </c>
      <c r="P114" s="566">
        <v>0</v>
      </c>
      <c r="Q114" s="572">
        <v>0</v>
      </c>
      <c r="R114" s="569">
        <v>0</v>
      </c>
      <c r="S114" s="570">
        <v>0</v>
      </c>
      <c r="T114" s="570">
        <v>0</v>
      </c>
      <c r="U114" s="571">
        <v>0</v>
      </c>
      <c r="V114" s="170">
        <v>0</v>
      </c>
    </row>
    <row r="115" spans="1:22">
      <c r="A115" s="554"/>
      <c r="B115" s="573" t="s">
        <v>577</v>
      </c>
      <c r="C115" s="574">
        <v>324.10414326594633</v>
      </c>
      <c r="D115" s="226">
        <v>423.6717457364341</v>
      </c>
      <c r="E115" s="226">
        <v>476.95664664679578</v>
      </c>
      <c r="F115" s="226">
        <v>60.850568364611256</v>
      </c>
      <c r="G115" s="226">
        <v>0</v>
      </c>
      <c r="H115" s="575">
        <v>0</v>
      </c>
      <c r="I115" s="576">
        <v>346.46950128357844</v>
      </c>
      <c r="J115" s="577">
        <v>644.89184922813035</v>
      </c>
      <c r="K115" s="226">
        <v>502.24545410216717</v>
      </c>
      <c r="L115" s="226">
        <v>354.8882872611465</v>
      </c>
      <c r="M115" s="226">
        <v>0</v>
      </c>
      <c r="N115" s="226">
        <v>531.78668105314966</v>
      </c>
      <c r="O115" s="578">
        <v>0</v>
      </c>
      <c r="P115" s="574">
        <v>0</v>
      </c>
      <c r="Q115" s="579">
        <v>0</v>
      </c>
      <c r="R115" s="577">
        <v>0</v>
      </c>
      <c r="S115" s="226">
        <v>0</v>
      </c>
      <c r="T115" s="226">
        <v>0</v>
      </c>
      <c r="U115" s="578">
        <v>0</v>
      </c>
      <c r="V115" s="170">
        <v>0</v>
      </c>
    </row>
    <row r="116" spans="1:22">
      <c r="A116" s="580"/>
      <c r="B116" s="581" t="s">
        <v>501</v>
      </c>
      <c r="C116" s="582">
        <v>10.178152244709038</v>
      </c>
      <c r="D116" s="584">
        <v>2.6919463028153157</v>
      </c>
      <c r="E116" s="584">
        <v>74.234216816162913</v>
      </c>
      <c r="F116" s="584">
        <v>-6.2393445941560737</v>
      </c>
      <c r="G116" s="584">
        <v>0</v>
      </c>
      <c r="H116" s="585">
        <v>0</v>
      </c>
      <c r="I116" s="586">
        <v>18.569750314553417</v>
      </c>
      <c r="J116" s="587">
        <v>54.528946772125373</v>
      </c>
      <c r="K116" s="584">
        <v>-10.434333867706741</v>
      </c>
      <c r="L116" s="584">
        <v>1.5449057392522818</v>
      </c>
      <c r="M116" s="584">
        <v>0</v>
      </c>
      <c r="N116" s="584">
        <v>5.8321536304973352</v>
      </c>
      <c r="O116" s="588">
        <v>0</v>
      </c>
      <c r="P116" s="582">
        <v>0</v>
      </c>
      <c r="Q116" s="589">
        <v>0</v>
      </c>
      <c r="R116" s="587">
        <v>0</v>
      </c>
      <c r="S116" s="584">
        <v>0</v>
      </c>
      <c r="T116" s="584">
        <v>0</v>
      </c>
      <c r="U116" s="588">
        <v>0</v>
      </c>
      <c r="V116" s="170">
        <v>0</v>
      </c>
    </row>
    <row r="117" spans="1:22">
      <c r="A117" s="554"/>
      <c r="B117" s="556" t="s">
        <v>579</v>
      </c>
      <c r="C117" s="566">
        <v>0</v>
      </c>
      <c r="D117" s="94">
        <v>0</v>
      </c>
      <c r="E117" s="94">
        <v>0</v>
      </c>
      <c r="F117" s="94">
        <v>45</v>
      </c>
      <c r="G117" s="95">
        <v>0</v>
      </c>
      <c r="H117" s="567">
        <v>0</v>
      </c>
      <c r="I117" s="568">
        <v>45</v>
      </c>
      <c r="J117" s="569">
        <v>120.21472392638037</v>
      </c>
      <c r="K117" s="94">
        <v>316.65377176015471</v>
      </c>
      <c r="L117" s="94">
        <v>760.75</v>
      </c>
      <c r="M117" s="94">
        <v>0</v>
      </c>
      <c r="N117" s="570">
        <v>243.14403778040142</v>
      </c>
      <c r="O117" s="571">
        <v>0</v>
      </c>
      <c r="P117" s="566">
        <v>0</v>
      </c>
      <c r="Q117" s="572">
        <v>0</v>
      </c>
      <c r="R117" s="569">
        <v>0</v>
      </c>
      <c r="S117" s="570">
        <v>0</v>
      </c>
      <c r="T117" s="570">
        <v>0</v>
      </c>
      <c r="U117" s="571">
        <v>0</v>
      </c>
      <c r="V117" s="170">
        <v>0</v>
      </c>
    </row>
    <row r="118" spans="1:22">
      <c r="A118" s="554"/>
      <c r="B118" s="573" t="s">
        <v>581</v>
      </c>
      <c r="C118" s="574">
        <v>0</v>
      </c>
      <c r="D118" s="226">
        <v>0</v>
      </c>
      <c r="E118" s="226">
        <v>0</v>
      </c>
      <c r="F118" s="226">
        <v>45</v>
      </c>
      <c r="G118" s="226">
        <v>0</v>
      </c>
      <c r="H118" s="575">
        <v>0</v>
      </c>
      <c r="I118" s="576">
        <v>45</v>
      </c>
      <c r="J118" s="577">
        <v>165.80857142857144</v>
      </c>
      <c r="K118" s="226">
        <v>361.8304</v>
      </c>
      <c r="L118" s="226">
        <v>1022.4</v>
      </c>
      <c r="M118" s="226">
        <v>0</v>
      </c>
      <c r="N118" s="226">
        <v>295.19285714285712</v>
      </c>
      <c r="O118" s="578">
        <v>0</v>
      </c>
      <c r="P118" s="574">
        <v>0</v>
      </c>
      <c r="Q118" s="579">
        <v>0</v>
      </c>
      <c r="R118" s="577">
        <v>0</v>
      </c>
      <c r="S118" s="226">
        <v>0</v>
      </c>
      <c r="T118" s="226">
        <v>0</v>
      </c>
      <c r="U118" s="578">
        <v>0</v>
      </c>
      <c r="V118" s="170">
        <v>0</v>
      </c>
    </row>
    <row r="119" spans="1:22">
      <c r="A119" s="580"/>
      <c r="B119" s="581" t="s">
        <v>503</v>
      </c>
      <c r="C119" s="582">
        <v>0</v>
      </c>
      <c r="D119" s="584">
        <v>0</v>
      </c>
      <c r="E119" s="584">
        <v>0</v>
      </c>
      <c r="F119" s="584">
        <v>0</v>
      </c>
      <c r="G119" s="584">
        <v>0</v>
      </c>
      <c r="H119" s="585">
        <v>0</v>
      </c>
      <c r="I119" s="586">
        <v>0</v>
      </c>
      <c r="J119" s="587">
        <v>37.927007618561589</v>
      </c>
      <c r="K119" s="584">
        <v>14.266884613035256</v>
      </c>
      <c r="L119" s="584">
        <v>34.393690437068678</v>
      </c>
      <c r="M119" s="584">
        <v>0</v>
      </c>
      <c r="N119" s="584">
        <v>21.406578519299018</v>
      </c>
      <c r="O119" s="588">
        <v>0</v>
      </c>
      <c r="P119" s="582">
        <v>0</v>
      </c>
      <c r="Q119" s="589">
        <v>0</v>
      </c>
      <c r="R119" s="587">
        <v>0</v>
      </c>
      <c r="S119" s="584">
        <v>0</v>
      </c>
      <c r="T119" s="584">
        <v>0</v>
      </c>
      <c r="U119" s="588">
        <v>0</v>
      </c>
      <c r="V119" s="170">
        <v>0</v>
      </c>
    </row>
    <row r="120" spans="1:22">
      <c r="A120" s="554"/>
      <c r="B120" s="556" t="s">
        <v>583</v>
      </c>
      <c r="C120" s="566">
        <v>0</v>
      </c>
      <c r="D120" s="94">
        <v>0</v>
      </c>
      <c r="E120" s="94">
        <v>141.41342756183747</v>
      </c>
      <c r="F120" s="94">
        <v>0</v>
      </c>
      <c r="G120" s="95">
        <v>0</v>
      </c>
      <c r="H120" s="567">
        <v>0</v>
      </c>
      <c r="I120" s="568">
        <v>141.41342756183747</v>
      </c>
      <c r="J120" s="569">
        <v>50</v>
      </c>
      <c r="K120" s="94">
        <v>72</v>
      </c>
      <c r="L120" s="94">
        <v>0</v>
      </c>
      <c r="M120" s="94">
        <v>13.037037037037036</v>
      </c>
      <c r="N120" s="570">
        <v>50.431876606683808</v>
      </c>
      <c r="O120" s="571">
        <v>0</v>
      </c>
      <c r="P120" s="566">
        <v>0</v>
      </c>
      <c r="Q120" s="572">
        <v>0</v>
      </c>
      <c r="R120" s="569">
        <v>0</v>
      </c>
      <c r="S120" s="570">
        <v>0</v>
      </c>
      <c r="T120" s="570">
        <v>0</v>
      </c>
      <c r="U120" s="571">
        <v>0</v>
      </c>
      <c r="V120" s="170">
        <v>0</v>
      </c>
    </row>
    <row r="121" spans="1:22">
      <c r="A121" s="554"/>
      <c r="B121" s="573" t="s">
        <v>585</v>
      </c>
      <c r="C121" s="574">
        <v>0</v>
      </c>
      <c r="D121" s="226">
        <v>0</v>
      </c>
      <c r="E121" s="226">
        <v>200.73309608540924</v>
      </c>
      <c r="F121" s="226">
        <v>0</v>
      </c>
      <c r="G121" s="226">
        <v>0</v>
      </c>
      <c r="H121" s="575">
        <v>0</v>
      </c>
      <c r="I121" s="576">
        <v>200.73309608540924</v>
      </c>
      <c r="J121" s="577">
        <v>50.153846153846153</v>
      </c>
      <c r="K121" s="226">
        <v>152.68965517241378</v>
      </c>
      <c r="L121" s="226">
        <v>721.30769230769226</v>
      </c>
      <c r="M121" s="226">
        <v>11.964285714285714</v>
      </c>
      <c r="N121" s="226">
        <v>97.370370370370367</v>
      </c>
      <c r="O121" s="578">
        <v>0</v>
      </c>
      <c r="P121" s="574">
        <v>0</v>
      </c>
      <c r="Q121" s="579">
        <v>0</v>
      </c>
      <c r="R121" s="577">
        <v>0</v>
      </c>
      <c r="S121" s="226">
        <v>0</v>
      </c>
      <c r="T121" s="226">
        <v>0</v>
      </c>
      <c r="U121" s="578">
        <v>0</v>
      </c>
      <c r="V121" s="170">
        <v>0</v>
      </c>
    </row>
    <row r="122" spans="1:22">
      <c r="A122" s="580"/>
      <c r="B122" s="581" t="s">
        <v>694</v>
      </c>
      <c r="C122" s="582">
        <v>0</v>
      </c>
      <c r="D122" s="584">
        <v>0</v>
      </c>
      <c r="E122" s="584">
        <v>41.947691634609725</v>
      </c>
      <c r="F122" s="584">
        <v>0</v>
      </c>
      <c r="G122" s="584">
        <v>0</v>
      </c>
      <c r="H122" s="585">
        <v>0</v>
      </c>
      <c r="I122" s="586">
        <v>41.947691634609725</v>
      </c>
      <c r="J122" s="587">
        <v>0.3076923076923066</v>
      </c>
      <c r="K122" s="584">
        <v>112.06896551724137</v>
      </c>
      <c r="L122" s="584">
        <v>0</v>
      </c>
      <c r="M122" s="584">
        <v>-8.2284902597402603</v>
      </c>
      <c r="N122" s="584">
        <v>93.07306592962621</v>
      </c>
      <c r="O122" s="588">
        <v>0</v>
      </c>
      <c r="P122" s="582">
        <v>0</v>
      </c>
      <c r="Q122" s="589">
        <v>0</v>
      </c>
      <c r="R122" s="587">
        <v>0</v>
      </c>
      <c r="S122" s="584">
        <v>0</v>
      </c>
      <c r="T122" s="584">
        <v>0</v>
      </c>
      <c r="U122" s="588">
        <v>0</v>
      </c>
      <c r="V122" s="170">
        <v>0</v>
      </c>
    </row>
    <row r="123" spans="1:22">
      <c r="A123" s="554"/>
      <c r="B123" s="556" t="s">
        <v>587</v>
      </c>
      <c r="C123" s="566">
        <v>22995.272973636802</v>
      </c>
      <c r="D123" s="94">
        <v>19926.191405913018</v>
      </c>
      <c r="E123" s="94">
        <v>19133.814203586804</v>
      </c>
      <c r="F123" s="94">
        <v>18956.562858908048</v>
      </c>
      <c r="G123" s="95">
        <v>0</v>
      </c>
      <c r="H123" s="567">
        <v>21608</v>
      </c>
      <c r="I123" s="568">
        <v>21975.18989856694</v>
      </c>
      <c r="J123" s="569">
        <v>18294.674102000001</v>
      </c>
      <c r="K123" s="94">
        <v>16051.612158280681</v>
      </c>
      <c r="L123" s="94">
        <v>13329.606739032259</v>
      </c>
      <c r="M123" s="94">
        <v>11561.418200816328</v>
      </c>
      <c r="N123" s="570">
        <v>16423.787145903316</v>
      </c>
      <c r="O123" s="571">
        <v>0</v>
      </c>
      <c r="P123" s="566">
        <v>0</v>
      </c>
      <c r="Q123" s="572">
        <v>0</v>
      </c>
      <c r="R123" s="569">
        <v>0</v>
      </c>
      <c r="S123" s="570">
        <v>0</v>
      </c>
      <c r="T123" s="570">
        <v>0</v>
      </c>
      <c r="U123" s="571">
        <v>0</v>
      </c>
      <c r="V123" s="170">
        <v>0</v>
      </c>
    </row>
    <row r="124" spans="1:22">
      <c r="A124" s="554"/>
      <c r="B124" s="573" t="s">
        <v>589</v>
      </c>
      <c r="C124" s="574">
        <v>23306.164755787751</v>
      </c>
      <c r="D124" s="226">
        <v>22885.641105090439</v>
      </c>
      <c r="E124" s="226">
        <v>19953.916335696202</v>
      </c>
      <c r="F124" s="226">
        <v>19822.771457050938</v>
      </c>
      <c r="G124" s="226">
        <v>0</v>
      </c>
      <c r="H124" s="575">
        <v>22504.778019886482</v>
      </c>
      <c r="I124" s="576">
        <v>22630.860715982086</v>
      </c>
      <c r="J124" s="577">
        <v>19075.213878570517</v>
      </c>
      <c r="K124" s="226">
        <v>16520.963355444674</v>
      </c>
      <c r="L124" s="226">
        <v>14212.32039928401</v>
      </c>
      <c r="M124" s="226">
        <v>11076.053676785714</v>
      </c>
      <c r="N124" s="226">
        <v>17022.02304146082</v>
      </c>
      <c r="O124" s="578">
        <v>0</v>
      </c>
      <c r="P124" s="574">
        <v>0</v>
      </c>
      <c r="Q124" s="579">
        <v>0</v>
      </c>
      <c r="R124" s="577">
        <v>0</v>
      </c>
      <c r="S124" s="226">
        <v>0</v>
      </c>
      <c r="T124" s="226">
        <v>0</v>
      </c>
      <c r="U124" s="578">
        <v>0</v>
      </c>
      <c r="V124" s="170">
        <v>0</v>
      </c>
    </row>
    <row r="125" spans="1:22">
      <c r="A125" s="580"/>
      <c r="B125" s="581" t="s">
        <v>696</v>
      </c>
      <c r="C125" s="582">
        <v>1.3519812637465749</v>
      </c>
      <c r="D125" s="584">
        <v>14.852058975501039</v>
      </c>
      <c r="E125" s="584">
        <v>4.2861403554115318</v>
      </c>
      <c r="F125" s="584">
        <v>4.569439115044224</v>
      </c>
      <c r="G125" s="584">
        <v>0</v>
      </c>
      <c r="H125" s="585">
        <v>4.1502129761499544</v>
      </c>
      <c r="I125" s="586">
        <v>2.9836866959584469</v>
      </c>
      <c r="J125" s="587">
        <v>4.2664863676647116</v>
      </c>
      <c r="K125" s="584">
        <v>2.9240128189981505</v>
      </c>
      <c r="L125" s="584">
        <v>6.6222033217750953</v>
      </c>
      <c r="M125" s="584">
        <v>-4.1981400170814993</v>
      </c>
      <c r="N125" s="584">
        <v>3.6424966436972199</v>
      </c>
      <c r="O125" s="588">
        <v>0</v>
      </c>
      <c r="P125" s="582">
        <v>0</v>
      </c>
      <c r="Q125" s="589">
        <v>0</v>
      </c>
      <c r="R125" s="587">
        <v>0</v>
      </c>
      <c r="S125" s="584">
        <v>0</v>
      </c>
      <c r="T125" s="584">
        <v>0</v>
      </c>
      <c r="U125" s="588">
        <v>0</v>
      </c>
      <c r="V125" s="170">
        <v>0</v>
      </c>
    </row>
    <row r="126" spans="1:22">
      <c r="A126" s="549" t="s">
        <v>45</v>
      </c>
      <c r="B126" s="556" t="s">
        <v>726</v>
      </c>
      <c r="C126" s="566">
        <v>7870.6825798080336</v>
      </c>
      <c r="D126" s="94">
        <v>11341.116661570248</v>
      </c>
      <c r="E126" s="94">
        <v>5432.4236510278115</v>
      </c>
      <c r="F126" s="94">
        <v>5581.7827144284829</v>
      </c>
      <c r="G126" s="95">
        <v>5346.7368443618334</v>
      </c>
      <c r="H126" s="567">
        <v>5216.2036193029489</v>
      </c>
      <c r="I126" s="568">
        <v>6974.2641739776045</v>
      </c>
      <c r="J126" s="569">
        <v>4603.6578100591714</v>
      </c>
      <c r="K126" s="94">
        <v>4639.8085477386931</v>
      </c>
      <c r="L126" s="94">
        <v>4694.6210038997215</v>
      </c>
      <c r="M126" s="94">
        <v>4394.9389520958084</v>
      </c>
      <c r="N126" s="570">
        <v>4631.3219170882176</v>
      </c>
      <c r="O126" s="571">
        <v>3927.3862889118759</v>
      </c>
      <c r="P126" s="566">
        <v>3837.8701333333333</v>
      </c>
      <c r="Q126" s="572">
        <v>0</v>
      </c>
      <c r="R126" s="569">
        <v>3926.1722361689481</v>
      </c>
      <c r="S126" s="570">
        <v>0</v>
      </c>
      <c r="T126" s="570">
        <v>0</v>
      </c>
      <c r="U126" s="571">
        <v>0</v>
      </c>
      <c r="V126" s="170">
        <v>0</v>
      </c>
    </row>
    <row r="127" spans="1:22">
      <c r="A127" s="554"/>
      <c r="B127" s="573" t="s">
        <v>728</v>
      </c>
      <c r="C127" s="574">
        <v>7990.7267709999996</v>
      </c>
      <c r="D127" s="226">
        <v>11478.603761914894</v>
      </c>
      <c r="E127" s="226">
        <v>5647.9732683559214</v>
      </c>
      <c r="F127" s="226">
        <v>5688.8382598360658</v>
      </c>
      <c r="G127" s="226">
        <v>5244.4634636264927</v>
      </c>
      <c r="H127" s="575">
        <v>5438.1560450928382</v>
      </c>
      <c r="I127" s="576">
        <v>7028.9475966125783</v>
      </c>
      <c r="J127" s="577">
        <v>4725.8034635568511</v>
      </c>
      <c r="K127" s="226">
        <v>4861.8539960176995</v>
      </c>
      <c r="L127" s="226">
        <v>4695.3818318244166</v>
      </c>
      <c r="M127" s="226">
        <v>4397.0878900523558</v>
      </c>
      <c r="N127" s="226">
        <v>4712.1199630320698</v>
      </c>
      <c r="O127" s="578">
        <v>4228.0514316071431</v>
      </c>
      <c r="P127" s="574">
        <v>3817.2415655172417</v>
      </c>
      <c r="Q127" s="579">
        <v>0</v>
      </c>
      <c r="R127" s="577">
        <v>4222.8008868223887</v>
      </c>
      <c r="S127" s="226">
        <v>0</v>
      </c>
      <c r="T127" s="226">
        <v>0</v>
      </c>
      <c r="U127" s="578">
        <v>0</v>
      </c>
      <c r="V127" s="170">
        <v>0</v>
      </c>
    </row>
    <row r="128" spans="1:22">
      <c r="A128" s="580"/>
      <c r="B128" s="581" t="s">
        <v>495</v>
      </c>
      <c r="C128" s="582">
        <v>1.5252068670630341</v>
      </c>
      <c r="D128" s="584">
        <v>1.2122889169328948</v>
      </c>
      <c r="E128" s="584">
        <v>3.9678351906027802</v>
      </c>
      <c r="F128" s="584">
        <v>1.9179454107171268</v>
      </c>
      <c r="G128" s="584">
        <v>-1.9128186726299905</v>
      </c>
      <c r="H128" s="585">
        <v>4.2550567805393538</v>
      </c>
      <c r="I128" s="586">
        <v>0.78407443811791289</v>
      </c>
      <c r="J128" s="587">
        <v>2.6532305079405907</v>
      </c>
      <c r="K128" s="584">
        <v>4.7856597097573106</v>
      </c>
      <c r="L128" s="584">
        <v>1.6206375851493576E-2</v>
      </c>
      <c r="M128" s="584">
        <v>4.8895740759324575E-2</v>
      </c>
      <c r="N128" s="584">
        <v>1.7446000815821328</v>
      </c>
      <c r="O128" s="588">
        <v>7.655604022047183</v>
      </c>
      <c r="P128" s="582">
        <v>-0.53750041297449891</v>
      </c>
      <c r="Q128" s="589">
        <v>0</v>
      </c>
      <c r="R128" s="587">
        <v>7.5551614348657008</v>
      </c>
      <c r="S128" s="584">
        <v>0</v>
      </c>
      <c r="T128" s="584">
        <v>0</v>
      </c>
      <c r="U128" s="588">
        <v>0</v>
      </c>
      <c r="V128" s="170">
        <v>0</v>
      </c>
    </row>
    <row r="129" spans="1:22">
      <c r="A129" s="554"/>
      <c r="B129" s="556" t="s">
        <v>730</v>
      </c>
      <c r="C129" s="566">
        <v>8283.7732327243848</v>
      </c>
      <c r="D129" s="94">
        <v>5580.2455156950673</v>
      </c>
      <c r="E129" s="94">
        <v>6718.0550847457625</v>
      </c>
      <c r="F129" s="94">
        <v>6468.5427480916032</v>
      </c>
      <c r="G129" s="95">
        <v>6079.9835082458767</v>
      </c>
      <c r="H129" s="567">
        <v>5734.8948948948946</v>
      </c>
      <c r="I129" s="568">
        <v>6976.982343049327</v>
      </c>
      <c r="J129" s="569">
        <v>6546.36231884058</v>
      </c>
      <c r="K129" s="94">
        <v>4866.7713567839191</v>
      </c>
      <c r="L129" s="94">
        <v>6630.0131332082556</v>
      </c>
      <c r="M129" s="94">
        <v>5963.2108843537417</v>
      </c>
      <c r="N129" s="570">
        <v>6022.2747415066469</v>
      </c>
      <c r="O129" s="571">
        <v>8929.8711820159551</v>
      </c>
      <c r="P129" s="566">
        <v>10114</v>
      </c>
      <c r="Q129" s="572">
        <v>0</v>
      </c>
      <c r="R129" s="569">
        <v>8947.6331142857143</v>
      </c>
      <c r="S129" s="570">
        <v>0</v>
      </c>
      <c r="T129" s="570">
        <v>0</v>
      </c>
      <c r="U129" s="571">
        <v>0</v>
      </c>
      <c r="V129" s="170">
        <v>0</v>
      </c>
    </row>
    <row r="130" spans="1:22">
      <c r="A130" s="554"/>
      <c r="B130" s="573" t="s">
        <v>732</v>
      </c>
      <c r="C130" s="574">
        <v>7391.9116945107398</v>
      </c>
      <c r="D130" s="226">
        <v>5918.781859931114</v>
      </c>
      <c r="E130" s="226">
        <v>6494.3010452961671</v>
      </c>
      <c r="F130" s="226">
        <v>6841.4663323782233</v>
      </c>
      <c r="G130" s="226">
        <v>7258.891963109354</v>
      </c>
      <c r="H130" s="575">
        <v>6458.9277456647396</v>
      </c>
      <c r="I130" s="576">
        <v>6877.8612211446525</v>
      </c>
      <c r="J130" s="577">
        <v>6763.2837370242214</v>
      </c>
      <c r="K130" s="226">
        <v>5328.6349557522126</v>
      </c>
      <c r="L130" s="226">
        <v>6907.7899305555557</v>
      </c>
      <c r="M130" s="226">
        <v>6088.1097560975613</v>
      </c>
      <c r="N130" s="226">
        <v>6306.8663065496285</v>
      </c>
      <c r="O130" s="578">
        <v>12194.776511397424</v>
      </c>
      <c r="P130" s="574">
        <v>11611.827586206897</v>
      </c>
      <c r="Q130" s="579">
        <v>0</v>
      </c>
      <c r="R130" s="577">
        <v>12186.517830972154</v>
      </c>
      <c r="S130" s="226">
        <v>0</v>
      </c>
      <c r="T130" s="226">
        <v>0</v>
      </c>
      <c r="U130" s="578">
        <v>0</v>
      </c>
      <c r="V130" s="170">
        <v>0</v>
      </c>
    </row>
    <row r="131" spans="1:22">
      <c r="A131" s="580"/>
      <c r="B131" s="581" t="s">
        <v>497</v>
      </c>
      <c r="C131" s="582">
        <v>-10.766368334304675</v>
      </c>
      <c r="D131" s="584">
        <v>6.0666926443267633</v>
      </c>
      <c r="E131" s="584">
        <v>-3.3306371654745544</v>
      </c>
      <c r="F131" s="584">
        <v>5.7651869796584831</v>
      </c>
      <c r="G131" s="584">
        <v>19.389994286408875</v>
      </c>
      <c r="H131" s="585">
        <v>12.625041330999226</v>
      </c>
      <c r="I131" s="586">
        <v>-1.4206875842737636</v>
      </c>
      <c r="J131" s="587">
        <v>3.3136176645667268</v>
      </c>
      <c r="K131" s="584">
        <v>9.4901437751845439</v>
      </c>
      <c r="L131" s="584">
        <v>4.1896869850223695</v>
      </c>
      <c r="M131" s="584">
        <v>2.0944902698566139</v>
      </c>
      <c r="N131" s="584">
        <v>4.7256489824604495</v>
      </c>
      <c r="O131" s="588">
        <v>36.561617327209895</v>
      </c>
      <c r="P131" s="582">
        <v>14.809448153123361</v>
      </c>
      <c r="Q131" s="589">
        <v>0</v>
      </c>
      <c r="R131" s="587">
        <v>36.198228909444936</v>
      </c>
      <c r="S131" s="584">
        <v>0</v>
      </c>
      <c r="T131" s="584">
        <v>0</v>
      </c>
      <c r="U131" s="588">
        <v>0</v>
      </c>
      <c r="V131" s="170">
        <v>0</v>
      </c>
    </row>
    <row r="132" spans="1:22">
      <c r="A132" s="554"/>
      <c r="B132" s="556" t="s">
        <v>734</v>
      </c>
      <c r="C132" s="566">
        <v>0</v>
      </c>
      <c r="D132" s="94">
        <v>0</v>
      </c>
      <c r="E132" s="94">
        <v>0</v>
      </c>
      <c r="F132" s="94">
        <v>103.51923076923077</v>
      </c>
      <c r="G132" s="95">
        <v>0</v>
      </c>
      <c r="H132" s="567">
        <v>0</v>
      </c>
      <c r="I132" s="568">
        <v>103.51923076923077</v>
      </c>
      <c r="J132" s="569">
        <v>0</v>
      </c>
      <c r="K132" s="94">
        <v>0</v>
      </c>
      <c r="L132" s="94">
        <v>0</v>
      </c>
      <c r="M132" s="94">
        <v>0</v>
      </c>
      <c r="N132" s="570">
        <v>0</v>
      </c>
      <c r="O132" s="571">
        <v>0</v>
      </c>
      <c r="P132" s="566">
        <v>0</v>
      </c>
      <c r="Q132" s="572">
        <v>0</v>
      </c>
      <c r="R132" s="569">
        <v>0</v>
      </c>
      <c r="S132" s="570">
        <v>0</v>
      </c>
      <c r="T132" s="570">
        <v>0</v>
      </c>
      <c r="U132" s="571">
        <v>0</v>
      </c>
      <c r="V132" s="170">
        <v>0</v>
      </c>
    </row>
    <row r="133" spans="1:22">
      <c r="A133" s="554"/>
      <c r="B133" s="573" t="s">
        <v>736</v>
      </c>
      <c r="C133" s="574">
        <v>0</v>
      </c>
      <c r="D133" s="226">
        <v>0</v>
      </c>
      <c r="E133" s="226">
        <v>0</v>
      </c>
      <c r="F133" s="226">
        <v>0</v>
      </c>
      <c r="G133" s="226">
        <v>0</v>
      </c>
      <c r="H133" s="575">
        <v>0</v>
      </c>
      <c r="I133" s="576">
        <v>0</v>
      </c>
      <c r="J133" s="577">
        <v>0</v>
      </c>
      <c r="K133" s="226">
        <v>0</v>
      </c>
      <c r="L133" s="226">
        <v>0</v>
      </c>
      <c r="M133" s="226">
        <v>0</v>
      </c>
      <c r="N133" s="226">
        <v>0</v>
      </c>
      <c r="O133" s="578">
        <v>0</v>
      </c>
      <c r="P133" s="574">
        <v>0</v>
      </c>
      <c r="Q133" s="579">
        <v>0</v>
      </c>
      <c r="R133" s="577">
        <v>0</v>
      </c>
      <c r="S133" s="226">
        <v>0</v>
      </c>
      <c r="T133" s="226">
        <v>0</v>
      </c>
      <c r="U133" s="578">
        <v>0</v>
      </c>
      <c r="V133" s="170">
        <v>0</v>
      </c>
    </row>
    <row r="134" spans="1:22">
      <c r="A134" s="580"/>
      <c r="B134" s="581" t="s">
        <v>499</v>
      </c>
      <c r="C134" s="582">
        <v>0</v>
      </c>
      <c r="D134" s="584">
        <v>0</v>
      </c>
      <c r="E134" s="584">
        <v>0</v>
      </c>
      <c r="F134" s="584">
        <v>-100</v>
      </c>
      <c r="G134" s="584">
        <v>0</v>
      </c>
      <c r="H134" s="585">
        <v>0</v>
      </c>
      <c r="I134" s="586">
        <v>-100</v>
      </c>
      <c r="J134" s="587">
        <v>0</v>
      </c>
      <c r="K134" s="584">
        <v>0</v>
      </c>
      <c r="L134" s="584">
        <v>0</v>
      </c>
      <c r="M134" s="584">
        <v>0</v>
      </c>
      <c r="N134" s="584">
        <v>0</v>
      </c>
      <c r="O134" s="588">
        <v>0</v>
      </c>
      <c r="P134" s="582">
        <v>0</v>
      </c>
      <c r="Q134" s="589">
        <v>0</v>
      </c>
      <c r="R134" s="587">
        <v>0</v>
      </c>
      <c r="S134" s="584">
        <v>0</v>
      </c>
      <c r="T134" s="584">
        <v>0</v>
      </c>
      <c r="U134" s="588">
        <v>0</v>
      </c>
      <c r="V134" s="170">
        <v>0</v>
      </c>
    </row>
    <row r="135" spans="1:22">
      <c r="A135" s="554"/>
      <c r="B135" s="556" t="s">
        <v>738</v>
      </c>
      <c r="C135" s="566">
        <v>5783.0975489211178</v>
      </c>
      <c r="D135" s="94">
        <v>7126.8508913757696</v>
      </c>
      <c r="E135" s="94">
        <v>4290.0549707199034</v>
      </c>
      <c r="F135" s="94">
        <v>4540.6456815509691</v>
      </c>
      <c r="G135" s="95">
        <v>4040.849693802817</v>
      </c>
      <c r="H135" s="567">
        <v>4328.481125806451</v>
      </c>
      <c r="I135" s="568">
        <v>5177.8145189674251</v>
      </c>
      <c r="J135" s="569">
        <v>3601.5170354354354</v>
      </c>
      <c r="K135" s="94">
        <v>3812.9666894472366</v>
      </c>
      <c r="L135" s="94">
        <v>3323.7902731054978</v>
      </c>
      <c r="M135" s="94">
        <v>3558.3405688622756</v>
      </c>
      <c r="N135" s="570">
        <v>3531.5210973901976</v>
      </c>
      <c r="O135" s="571">
        <v>1256.3326025579961</v>
      </c>
      <c r="P135" s="566">
        <v>544.60260000000005</v>
      </c>
      <c r="Q135" s="572">
        <v>0</v>
      </c>
      <c r="R135" s="569">
        <v>1243.399895061485</v>
      </c>
      <c r="S135" s="570">
        <v>0</v>
      </c>
      <c r="T135" s="570">
        <v>0</v>
      </c>
      <c r="U135" s="571">
        <v>0</v>
      </c>
      <c r="V135" s="170">
        <v>0</v>
      </c>
    </row>
    <row r="136" spans="1:22">
      <c r="A136" s="554"/>
      <c r="B136" s="573" t="s">
        <v>740</v>
      </c>
      <c r="C136" s="574">
        <v>5885.1513766335229</v>
      </c>
      <c r="D136" s="226">
        <v>7523.3455702171668</v>
      </c>
      <c r="E136" s="226">
        <v>4517.9519069086646</v>
      </c>
      <c r="F136" s="226">
        <v>4488.9702074766356</v>
      </c>
      <c r="G136" s="226">
        <v>4318.4831039106148</v>
      </c>
      <c r="H136" s="575">
        <v>3917.8474451443572</v>
      </c>
      <c r="I136" s="576">
        <v>5260.9013503715059</v>
      </c>
      <c r="J136" s="577">
        <v>3686.4234220289854</v>
      </c>
      <c r="K136" s="226">
        <v>3862.43625840708</v>
      </c>
      <c r="L136" s="226">
        <v>3353.7742919508864</v>
      </c>
      <c r="M136" s="226">
        <v>3331.8873329842932</v>
      </c>
      <c r="N136" s="226">
        <v>3551.6236525276004</v>
      </c>
      <c r="O136" s="578">
        <v>1258.7814071386777</v>
      </c>
      <c r="P136" s="574">
        <v>538.43202758620691</v>
      </c>
      <c r="Q136" s="579">
        <v>0</v>
      </c>
      <c r="R136" s="577">
        <v>1246.7617684695053</v>
      </c>
      <c r="S136" s="226">
        <v>0</v>
      </c>
      <c r="T136" s="226">
        <v>0</v>
      </c>
      <c r="U136" s="578">
        <v>0</v>
      </c>
      <c r="V136" s="170">
        <v>0</v>
      </c>
    </row>
    <row r="137" spans="1:22">
      <c r="A137" s="580"/>
      <c r="B137" s="581" t="s">
        <v>569</v>
      </c>
      <c r="C137" s="582">
        <v>1.7646914451831104</v>
      </c>
      <c r="D137" s="584">
        <v>5.5633923718145555</v>
      </c>
      <c r="E137" s="584">
        <v>5.3122148257815534</v>
      </c>
      <c r="F137" s="584">
        <v>-1.1380644449818103</v>
      </c>
      <c r="G137" s="584">
        <v>6.8706690707547393</v>
      </c>
      <c r="H137" s="585">
        <v>-9.4867845954991346</v>
      </c>
      <c r="I137" s="586">
        <v>1.6046699065738312</v>
      </c>
      <c r="J137" s="587">
        <v>2.3575172839154579</v>
      </c>
      <c r="K137" s="584">
        <v>1.2974036488898615</v>
      </c>
      <c r="L137" s="584">
        <v>0.902103212949529</v>
      </c>
      <c r="M137" s="584">
        <v>-6.3640124236446365</v>
      </c>
      <c r="N137" s="584">
        <v>0.56923219720416207</v>
      </c>
      <c r="O137" s="588">
        <v>0.1949169014396018</v>
      </c>
      <c r="P137" s="582">
        <v>-1.1330413064118934</v>
      </c>
      <c r="Q137" s="589">
        <v>0</v>
      </c>
      <c r="R137" s="587">
        <v>0.27037748847920401</v>
      </c>
      <c r="S137" s="584">
        <v>0</v>
      </c>
      <c r="T137" s="584">
        <v>0</v>
      </c>
      <c r="U137" s="588">
        <v>0</v>
      </c>
      <c r="V137" s="170">
        <v>0</v>
      </c>
    </row>
    <row r="138" spans="1:22">
      <c r="A138" s="554"/>
      <c r="B138" s="556" t="s">
        <v>742</v>
      </c>
      <c r="C138" s="566">
        <v>92.25</v>
      </c>
      <c r="D138" s="94">
        <v>92.25</v>
      </c>
      <c r="E138" s="94">
        <v>92.25</v>
      </c>
      <c r="F138" s="94">
        <v>92.25</v>
      </c>
      <c r="G138" s="95">
        <v>92.25</v>
      </c>
      <c r="H138" s="567">
        <v>92.25</v>
      </c>
      <c r="I138" s="568">
        <v>92.25</v>
      </c>
      <c r="J138" s="569">
        <v>92.25</v>
      </c>
      <c r="K138" s="94">
        <v>92.25</v>
      </c>
      <c r="L138" s="94">
        <v>92.25</v>
      </c>
      <c r="M138" s="94">
        <v>92.25</v>
      </c>
      <c r="N138" s="570">
        <v>92.25</v>
      </c>
      <c r="O138" s="571">
        <v>97.983449716113029</v>
      </c>
      <c r="P138" s="566">
        <v>52</v>
      </c>
      <c r="Q138" s="572">
        <v>0</v>
      </c>
      <c r="R138" s="569">
        <v>97.36177171183931</v>
      </c>
      <c r="S138" s="570">
        <v>0</v>
      </c>
      <c r="T138" s="570">
        <v>0</v>
      </c>
      <c r="U138" s="571">
        <v>0</v>
      </c>
      <c r="V138" s="170">
        <v>0</v>
      </c>
    </row>
    <row r="139" spans="1:22">
      <c r="A139" s="554"/>
      <c r="B139" s="573" t="s">
        <v>567</v>
      </c>
      <c r="C139" s="574">
        <v>141</v>
      </c>
      <c r="D139" s="226">
        <v>141</v>
      </c>
      <c r="E139" s="226">
        <v>141</v>
      </c>
      <c r="F139" s="226">
        <v>141</v>
      </c>
      <c r="G139" s="226">
        <v>141</v>
      </c>
      <c r="H139" s="575">
        <v>141</v>
      </c>
      <c r="I139" s="576">
        <v>141</v>
      </c>
      <c r="J139" s="577">
        <v>141</v>
      </c>
      <c r="K139" s="226">
        <v>141</v>
      </c>
      <c r="L139" s="226">
        <v>141</v>
      </c>
      <c r="M139" s="226">
        <v>141</v>
      </c>
      <c r="N139" s="226">
        <v>141</v>
      </c>
      <c r="O139" s="578">
        <v>135.55684351315202</v>
      </c>
      <c r="P139" s="574">
        <v>108.20689655172414</v>
      </c>
      <c r="Q139" s="579">
        <v>0</v>
      </c>
      <c r="R139" s="577">
        <v>135.20774647887325</v>
      </c>
      <c r="S139" s="226">
        <v>0</v>
      </c>
      <c r="T139" s="226">
        <v>0</v>
      </c>
      <c r="U139" s="578">
        <v>0</v>
      </c>
      <c r="V139" s="170">
        <v>0</v>
      </c>
    </row>
    <row r="140" spans="1:22">
      <c r="A140" s="580"/>
      <c r="B140" s="581" t="s">
        <v>37</v>
      </c>
      <c r="C140" s="582">
        <v>52.845528455284551</v>
      </c>
      <c r="D140" s="584">
        <v>52.845528455284551</v>
      </c>
      <c r="E140" s="584">
        <v>52.845528455284551</v>
      </c>
      <c r="F140" s="584">
        <v>52.845528455284551</v>
      </c>
      <c r="G140" s="584">
        <v>52.845528455284551</v>
      </c>
      <c r="H140" s="585">
        <v>52.845528455284551</v>
      </c>
      <c r="I140" s="586">
        <v>52.845528455284551</v>
      </c>
      <c r="J140" s="587">
        <v>52.845528455284551</v>
      </c>
      <c r="K140" s="584">
        <v>52.845528455284551</v>
      </c>
      <c r="L140" s="584">
        <v>52.845528455284551</v>
      </c>
      <c r="M140" s="584">
        <v>52.845528455284551</v>
      </c>
      <c r="N140" s="584">
        <v>52.845528455284551</v>
      </c>
      <c r="O140" s="588">
        <v>38.346673755517081</v>
      </c>
      <c r="P140" s="582">
        <v>108.09018567639259</v>
      </c>
      <c r="Q140" s="589">
        <v>0</v>
      </c>
      <c r="R140" s="587">
        <v>38.871493504705626</v>
      </c>
      <c r="S140" s="584">
        <v>0</v>
      </c>
      <c r="T140" s="584">
        <v>0</v>
      </c>
      <c r="U140" s="588">
        <v>0</v>
      </c>
      <c r="V140" s="170">
        <v>0</v>
      </c>
    </row>
    <row r="141" spans="1:22">
      <c r="A141" s="554"/>
      <c r="B141" s="556" t="s">
        <v>571</v>
      </c>
      <c r="C141" s="566">
        <v>106.67162327555712</v>
      </c>
      <c r="D141" s="94">
        <v>123.24124645426515</v>
      </c>
      <c r="E141" s="94">
        <v>170.00348933577089</v>
      </c>
      <c r="F141" s="94">
        <v>177.68324981179421</v>
      </c>
      <c r="G141" s="95">
        <v>148.63814636591479</v>
      </c>
      <c r="H141" s="567">
        <v>177.84483870967742</v>
      </c>
      <c r="I141" s="568">
        <v>142.4069175868373</v>
      </c>
      <c r="J141" s="569">
        <v>85.21622522522523</v>
      </c>
      <c r="K141" s="94">
        <v>177.48200804020101</v>
      </c>
      <c r="L141" s="94">
        <v>170.67870430906387</v>
      </c>
      <c r="M141" s="94">
        <v>175.55813173652695</v>
      </c>
      <c r="N141" s="570">
        <v>154.80574042011457</v>
      </c>
      <c r="O141" s="571">
        <v>0</v>
      </c>
      <c r="P141" s="566">
        <v>0</v>
      </c>
      <c r="Q141" s="572">
        <v>0</v>
      </c>
      <c r="R141" s="569">
        <v>0</v>
      </c>
      <c r="S141" s="570">
        <v>0</v>
      </c>
      <c r="T141" s="570">
        <v>0</v>
      </c>
      <c r="U141" s="571">
        <v>0</v>
      </c>
      <c r="V141" s="170">
        <v>0</v>
      </c>
    </row>
    <row r="142" spans="1:22">
      <c r="A142" s="554"/>
      <c r="B142" s="573" t="s">
        <v>573</v>
      </c>
      <c r="C142" s="574">
        <v>107.49845312499998</v>
      </c>
      <c r="D142" s="226">
        <v>124.46821129707114</v>
      </c>
      <c r="E142" s="226">
        <v>177.16443091334895</v>
      </c>
      <c r="F142" s="226">
        <v>177.18246908240795</v>
      </c>
      <c r="G142" s="226">
        <v>129.6922163493841</v>
      </c>
      <c r="H142" s="575">
        <v>177.42330708661416</v>
      </c>
      <c r="I142" s="576">
        <v>143.04509578263438</v>
      </c>
      <c r="J142" s="577">
        <v>178.75973177842567</v>
      </c>
      <c r="K142" s="226">
        <v>175.2669557522124</v>
      </c>
      <c r="L142" s="226">
        <v>171.39301648351648</v>
      </c>
      <c r="M142" s="226">
        <v>170.14768586387433</v>
      </c>
      <c r="N142" s="226">
        <v>173.75004434072346</v>
      </c>
      <c r="O142" s="578">
        <v>0</v>
      </c>
      <c r="P142" s="574">
        <v>0</v>
      </c>
      <c r="Q142" s="579">
        <v>0</v>
      </c>
      <c r="R142" s="577">
        <v>0</v>
      </c>
      <c r="S142" s="226">
        <v>0</v>
      </c>
      <c r="T142" s="226">
        <v>0</v>
      </c>
      <c r="U142" s="578">
        <v>0</v>
      </c>
      <c r="V142" s="170">
        <v>0</v>
      </c>
    </row>
    <row r="143" spans="1:22">
      <c r="A143" s="580"/>
      <c r="B143" s="581" t="s">
        <v>39</v>
      </c>
      <c r="C143" s="582">
        <v>0.77511696555603093</v>
      </c>
      <c r="D143" s="584">
        <v>0.99557970899078074</v>
      </c>
      <c r="E143" s="584">
        <v>4.2122321168565007</v>
      </c>
      <c r="F143" s="584">
        <v>-0.28183901966938435</v>
      </c>
      <c r="G143" s="584">
        <v>-12.746344380459332</v>
      </c>
      <c r="H143" s="585">
        <v>-0.23702212902078551</v>
      </c>
      <c r="I143" s="586">
        <v>0.44813707550964405</v>
      </c>
      <c r="J143" s="587">
        <v>109.7719434367884</v>
      </c>
      <c r="K143" s="584">
        <v>-1.248043287569119</v>
      </c>
      <c r="L143" s="584">
        <v>0.41851277073156679</v>
      </c>
      <c r="M143" s="584">
        <v>-3.081854323200746</v>
      </c>
      <c r="N143" s="584">
        <v>12.237468629520778</v>
      </c>
      <c r="O143" s="588">
        <v>0</v>
      </c>
      <c r="P143" s="582">
        <v>0</v>
      </c>
      <c r="Q143" s="589">
        <v>0</v>
      </c>
      <c r="R143" s="587">
        <v>0</v>
      </c>
      <c r="S143" s="584">
        <v>0</v>
      </c>
      <c r="T143" s="584">
        <v>0</v>
      </c>
      <c r="U143" s="588">
        <v>0</v>
      </c>
      <c r="V143" s="170">
        <v>0</v>
      </c>
    </row>
    <row r="144" spans="1:22">
      <c r="A144" s="554"/>
      <c r="B144" s="556" t="s">
        <v>575</v>
      </c>
      <c r="C144" s="566">
        <v>63.84386614785992</v>
      </c>
      <c r="D144" s="94">
        <v>65.076067761806982</v>
      </c>
      <c r="E144" s="94">
        <v>64.991026497277687</v>
      </c>
      <c r="F144" s="94">
        <v>65.137046904315199</v>
      </c>
      <c r="G144" s="95">
        <v>64.831189642416774</v>
      </c>
      <c r="H144" s="567">
        <v>65.032354838709679</v>
      </c>
      <c r="I144" s="568">
        <v>64.621798834385629</v>
      </c>
      <c r="J144" s="569">
        <v>65.603643243243241</v>
      </c>
      <c r="K144" s="94">
        <v>65.005124623115577</v>
      </c>
      <c r="L144" s="94">
        <v>64.395405646359578</v>
      </c>
      <c r="M144" s="94">
        <v>65.425207185628736</v>
      </c>
      <c r="N144" s="570">
        <v>64.915449013367279</v>
      </c>
      <c r="O144" s="571">
        <v>234.54931822228028</v>
      </c>
      <c r="P144" s="566">
        <v>140.12420000000003</v>
      </c>
      <c r="Q144" s="572">
        <v>0</v>
      </c>
      <c r="R144" s="569">
        <v>233.27272807055948</v>
      </c>
      <c r="S144" s="570">
        <v>0</v>
      </c>
      <c r="T144" s="570">
        <v>0</v>
      </c>
      <c r="U144" s="571">
        <v>0</v>
      </c>
      <c r="V144" s="170">
        <v>0</v>
      </c>
    </row>
    <row r="145" spans="1:22">
      <c r="A145" s="554"/>
      <c r="B145" s="573" t="s">
        <v>577</v>
      </c>
      <c r="C145" s="574">
        <v>125.01079410511365</v>
      </c>
      <c r="D145" s="226">
        <v>127.59335305067218</v>
      </c>
      <c r="E145" s="226">
        <v>126.96784215456675</v>
      </c>
      <c r="F145" s="226">
        <v>127.00115516637479</v>
      </c>
      <c r="G145" s="226">
        <v>127.13190226049517</v>
      </c>
      <c r="H145" s="575">
        <v>127.15337007874017</v>
      </c>
      <c r="I145" s="576">
        <v>126.42449999999999</v>
      </c>
      <c r="J145" s="577">
        <v>128.11629391304348</v>
      </c>
      <c r="K145" s="226">
        <v>125.67933451327434</v>
      </c>
      <c r="L145" s="226">
        <v>126.09243841961852</v>
      </c>
      <c r="M145" s="226">
        <v>128.01770890052356</v>
      </c>
      <c r="N145" s="226">
        <v>126.60302717770034</v>
      </c>
      <c r="O145" s="578">
        <v>265.6262542780749</v>
      </c>
      <c r="P145" s="574">
        <v>34.618324137931033</v>
      </c>
      <c r="Q145" s="579">
        <v>0</v>
      </c>
      <c r="R145" s="577">
        <v>262.67894676638804</v>
      </c>
      <c r="S145" s="226">
        <v>0</v>
      </c>
      <c r="T145" s="226">
        <v>0</v>
      </c>
      <c r="U145" s="578">
        <v>0</v>
      </c>
      <c r="V145" s="170">
        <v>0</v>
      </c>
    </row>
    <row r="146" spans="1:22">
      <c r="A146" s="580"/>
      <c r="B146" s="581" t="s">
        <v>501</v>
      </c>
      <c r="C146" s="582">
        <v>95.807055004459613</v>
      </c>
      <c r="D146" s="584">
        <v>96.068013079235968</v>
      </c>
      <c r="E146" s="584">
        <v>95.362112275431016</v>
      </c>
      <c r="F146" s="584">
        <v>94.975303920266015</v>
      </c>
      <c r="G146" s="584">
        <v>96.096821547937822</v>
      </c>
      <c r="H146" s="585">
        <v>95.523244382123693</v>
      </c>
      <c r="I146" s="586">
        <v>95.637543801595314</v>
      </c>
      <c r="J146" s="587">
        <v>95.288382747308233</v>
      </c>
      <c r="K146" s="584">
        <v>93.337579524589117</v>
      </c>
      <c r="L146" s="584">
        <v>95.809681069610306</v>
      </c>
      <c r="M146" s="584">
        <v>95.670314863968599</v>
      </c>
      <c r="N146" s="584">
        <v>95.027576797058671</v>
      </c>
      <c r="O146" s="588">
        <v>13.24963819606727</v>
      </c>
      <c r="P146" s="582">
        <v>-75.294542885575055</v>
      </c>
      <c r="Q146" s="589">
        <v>0</v>
      </c>
      <c r="R146" s="587">
        <v>12.605939382221257</v>
      </c>
      <c r="S146" s="584">
        <v>0</v>
      </c>
      <c r="T146" s="584">
        <v>0</v>
      </c>
      <c r="U146" s="588">
        <v>0</v>
      </c>
      <c r="V146" s="170">
        <v>0</v>
      </c>
    </row>
    <row r="147" spans="1:22">
      <c r="A147" s="554"/>
      <c r="B147" s="556" t="s">
        <v>579</v>
      </c>
      <c r="C147" s="566">
        <v>0</v>
      </c>
      <c r="D147" s="94">
        <v>0</v>
      </c>
      <c r="E147" s="94">
        <v>0</v>
      </c>
      <c r="F147" s="94">
        <v>0</v>
      </c>
      <c r="G147" s="95">
        <v>0</v>
      </c>
      <c r="H147" s="567">
        <v>0</v>
      </c>
      <c r="I147" s="568">
        <v>0</v>
      </c>
      <c r="J147" s="569">
        <v>0</v>
      </c>
      <c r="K147" s="94">
        <v>0</v>
      </c>
      <c r="L147" s="94">
        <v>0</v>
      </c>
      <c r="M147" s="94">
        <v>0</v>
      </c>
      <c r="N147" s="570">
        <v>0</v>
      </c>
      <c r="O147" s="571">
        <v>0</v>
      </c>
      <c r="P147" s="566">
        <v>0</v>
      </c>
      <c r="Q147" s="572">
        <v>0</v>
      </c>
      <c r="R147" s="569">
        <v>0</v>
      </c>
      <c r="S147" s="570">
        <v>0</v>
      </c>
      <c r="T147" s="570">
        <v>0</v>
      </c>
      <c r="U147" s="571">
        <v>0</v>
      </c>
      <c r="V147" s="170">
        <v>0</v>
      </c>
    </row>
    <row r="148" spans="1:22">
      <c r="A148" s="554"/>
      <c r="B148" s="573" t="s">
        <v>581</v>
      </c>
      <c r="C148" s="574">
        <v>0</v>
      </c>
      <c r="D148" s="226">
        <v>0</v>
      </c>
      <c r="E148" s="226">
        <v>0</v>
      </c>
      <c r="F148" s="226">
        <v>0</v>
      </c>
      <c r="G148" s="226">
        <v>0</v>
      </c>
      <c r="H148" s="575">
        <v>0</v>
      </c>
      <c r="I148" s="576">
        <v>0</v>
      </c>
      <c r="J148" s="577">
        <v>0</v>
      </c>
      <c r="K148" s="226">
        <v>0</v>
      </c>
      <c r="L148" s="226">
        <v>0</v>
      </c>
      <c r="M148" s="226">
        <v>0</v>
      </c>
      <c r="N148" s="226">
        <v>0</v>
      </c>
      <c r="O148" s="578">
        <v>0</v>
      </c>
      <c r="P148" s="574">
        <v>0</v>
      </c>
      <c r="Q148" s="579">
        <v>0</v>
      </c>
      <c r="R148" s="577">
        <v>0</v>
      </c>
      <c r="S148" s="226">
        <v>0</v>
      </c>
      <c r="T148" s="226">
        <v>0</v>
      </c>
      <c r="U148" s="578">
        <v>0</v>
      </c>
      <c r="V148" s="170">
        <v>0</v>
      </c>
    </row>
    <row r="149" spans="1:22">
      <c r="A149" s="580"/>
      <c r="B149" s="581" t="s">
        <v>503</v>
      </c>
      <c r="C149" s="582">
        <v>0</v>
      </c>
      <c r="D149" s="584">
        <v>0</v>
      </c>
      <c r="E149" s="584">
        <v>0</v>
      </c>
      <c r="F149" s="584">
        <v>0</v>
      </c>
      <c r="G149" s="584">
        <v>0</v>
      </c>
      <c r="H149" s="585">
        <v>0</v>
      </c>
      <c r="I149" s="586">
        <v>0</v>
      </c>
      <c r="J149" s="587">
        <v>0</v>
      </c>
      <c r="K149" s="584">
        <v>0</v>
      </c>
      <c r="L149" s="584">
        <v>0</v>
      </c>
      <c r="M149" s="584">
        <v>0</v>
      </c>
      <c r="N149" s="584">
        <v>0</v>
      </c>
      <c r="O149" s="588">
        <v>0</v>
      </c>
      <c r="P149" s="582">
        <v>0</v>
      </c>
      <c r="Q149" s="589">
        <v>0</v>
      </c>
      <c r="R149" s="587">
        <v>0</v>
      </c>
      <c r="S149" s="584">
        <v>0</v>
      </c>
      <c r="T149" s="584">
        <v>0</v>
      </c>
      <c r="U149" s="588">
        <v>0</v>
      </c>
      <c r="V149" s="170">
        <v>0</v>
      </c>
    </row>
    <row r="150" spans="1:22">
      <c r="A150" s="554"/>
      <c r="B150" s="556" t="s">
        <v>583</v>
      </c>
      <c r="C150" s="566">
        <v>0</v>
      </c>
      <c r="D150" s="94">
        <v>0</v>
      </c>
      <c r="E150" s="94">
        <v>0</v>
      </c>
      <c r="F150" s="94">
        <v>0</v>
      </c>
      <c r="G150" s="95">
        <v>0</v>
      </c>
      <c r="H150" s="567">
        <v>0</v>
      </c>
      <c r="I150" s="568">
        <v>0</v>
      </c>
      <c r="J150" s="569">
        <v>0</v>
      </c>
      <c r="K150" s="94">
        <v>0</v>
      </c>
      <c r="L150" s="94">
        <v>0</v>
      </c>
      <c r="M150" s="94">
        <v>0</v>
      </c>
      <c r="N150" s="570">
        <v>0</v>
      </c>
      <c r="O150" s="571">
        <v>8749.9059405940588</v>
      </c>
      <c r="P150" s="566">
        <v>0</v>
      </c>
      <c r="Q150" s="572">
        <v>0</v>
      </c>
      <c r="R150" s="569">
        <v>8749.9059405940588</v>
      </c>
      <c r="S150" s="570">
        <v>0</v>
      </c>
      <c r="T150" s="570">
        <v>0</v>
      </c>
      <c r="U150" s="571">
        <v>0</v>
      </c>
      <c r="V150" s="170">
        <v>0</v>
      </c>
    </row>
    <row r="151" spans="1:22">
      <c r="A151" s="554"/>
      <c r="B151" s="573" t="s">
        <v>585</v>
      </c>
      <c r="C151" s="574">
        <v>0</v>
      </c>
      <c r="D151" s="226">
        <v>0</v>
      </c>
      <c r="E151" s="226">
        <v>0</v>
      </c>
      <c r="F151" s="226">
        <v>0</v>
      </c>
      <c r="G151" s="226">
        <v>0</v>
      </c>
      <c r="H151" s="575">
        <v>0</v>
      </c>
      <c r="I151" s="576">
        <v>0</v>
      </c>
      <c r="J151" s="577">
        <v>0</v>
      </c>
      <c r="K151" s="226">
        <v>0</v>
      </c>
      <c r="L151" s="226">
        <v>0</v>
      </c>
      <c r="M151" s="226">
        <v>0</v>
      </c>
      <c r="N151" s="226">
        <v>0</v>
      </c>
      <c r="O151" s="578">
        <v>13072.368181818181</v>
      </c>
      <c r="P151" s="574">
        <v>0</v>
      </c>
      <c r="Q151" s="579">
        <v>0</v>
      </c>
      <c r="R151" s="577">
        <v>13072.368181818181</v>
      </c>
      <c r="S151" s="226">
        <v>0</v>
      </c>
      <c r="T151" s="226">
        <v>0</v>
      </c>
      <c r="U151" s="578">
        <v>0</v>
      </c>
      <c r="V151" s="170">
        <v>0</v>
      </c>
    </row>
    <row r="152" spans="1:22">
      <c r="A152" s="580"/>
      <c r="B152" s="581" t="s">
        <v>694</v>
      </c>
      <c r="C152" s="582">
        <v>0</v>
      </c>
      <c r="D152" s="584">
        <v>0</v>
      </c>
      <c r="E152" s="584">
        <v>0</v>
      </c>
      <c r="F152" s="584">
        <v>0</v>
      </c>
      <c r="G152" s="584">
        <v>0</v>
      </c>
      <c r="H152" s="585">
        <v>0</v>
      </c>
      <c r="I152" s="586">
        <v>0</v>
      </c>
      <c r="J152" s="587">
        <v>0</v>
      </c>
      <c r="K152" s="584">
        <v>0</v>
      </c>
      <c r="L152" s="584">
        <v>0</v>
      </c>
      <c r="M152" s="584">
        <v>0</v>
      </c>
      <c r="N152" s="584">
        <v>0</v>
      </c>
      <c r="O152" s="588">
        <v>49.4000995047343</v>
      </c>
      <c r="P152" s="582">
        <v>0</v>
      </c>
      <c r="Q152" s="589">
        <v>0</v>
      </c>
      <c r="R152" s="587">
        <v>49.4000995047343</v>
      </c>
      <c r="S152" s="584">
        <v>0</v>
      </c>
      <c r="T152" s="584">
        <v>0</v>
      </c>
      <c r="U152" s="588">
        <v>0</v>
      </c>
      <c r="V152" s="170">
        <v>0</v>
      </c>
    </row>
    <row r="153" spans="1:22">
      <c r="A153" s="554"/>
      <c r="B153" s="556" t="s">
        <v>587</v>
      </c>
      <c r="C153" s="566">
        <v>21012.661663784933</v>
      </c>
      <c r="D153" s="94">
        <v>23685.911171247433</v>
      </c>
      <c r="E153" s="94">
        <v>15626.094294422033</v>
      </c>
      <c r="F153" s="94">
        <v>15631.805485728974</v>
      </c>
      <c r="G153" s="95">
        <v>14061.011096122073</v>
      </c>
      <c r="H153" s="567">
        <v>14909.391137989276</v>
      </c>
      <c r="I153" s="568">
        <v>18237.976648329903</v>
      </c>
      <c r="J153" s="569">
        <v>13699.232912115383</v>
      </c>
      <c r="K153" s="94">
        <v>13531.564678555278</v>
      </c>
      <c r="L153" s="94">
        <v>12791.880767859117</v>
      </c>
      <c r="M153" s="94">
        <v>13478.535119880238</v>
      </c>
      <c r="N153" s="570">
        <v>13231.801172286416</v>
      </c>
      <c r="O153" s="571">
        <v>12402.624408238236</v>
      </c>
      <c r="P153" s="566">
        <v>12891.939007999999</v>
      </c>
      <c r="Q153" s="572">
        <v>0</v>
      </c>
      <c r="R153" s="569">
        <v>12409.230815975794</v>
      </c>
      <c r="S153" s="570">
        <v>0</v>
      </c>
      <c r="T153" s="570">
        <v>0</v>
      </c>
      <c r="U153" s="571">
        <v>0</v>
      </c>
      <c r="V153" s="170">
        <v>0</v>
      </c>
    </row>
    <row r="154" spans="1:22">
      <c r="A154" s="554"/>
      <c r="B154" s="573" t="s">
        <v>589</v>
      </c>
      <c r="C154" s="574">
        <v>20565.016120532669</v>
      </c>
      <c r="D154" s="226">
        <v>24315.924594477769</v>
      </c>
      <c r="E154" s="226">
        <v>15930.611879601875</v>
      </c>
      <c r="F154" s="226">
        <v>16074.101686254377</v>
      </c>
      <c r="G154" s="226">
        <v>15555.918974402584</v>
      </c>
      <c r="H154" s="575">
        <v>15515.752561784777</v>
      </c>
      <c r="I154" s="576">
        <v>18384.971263903699</v>
      </c>
      <c r="J154" s="577">
        <v>14462.490453043478</v>
      </c>
      <c r="K154" s="226">
        <v>14333.746536769913</v>
      </c>
      <c r="L154" s="226">
        <v>13712.692122207083</v>
      </c>
      <c r="M154" s="226">
        <v>13340.029837382199</v>
      </c>
      <c r="N154" s="226">
        <v>13984.596026457608</v>
      </c>
      <c r="O154" s="578">
        <v>15600.062158698755</v>
      </c>
      <c r="P154" s="574">
        <v>13979.282414482757</v>
      </c>
      <c r="Q154" s="579">
        <v>0</v>
      </c>
      <c r="R154" s="577">
        <v>15579.383490602728</v>
      </c>
      <c r="S154" s="226">
        <v>0</v>
      </c>
      <c r="T154" s="226">
        <v>0</v>
      </c>
      <c r="U154" s="578">
        <v>0</v>
      </c>
      <c r="V154" s="170">
        <v>0</v>
      </c>
    </row>
    <row r="155" spans="1:22">
      <c r="A155" s="580"/>
      <c r="B155" s="581" t="s">
        <v>696</v>
      </c>
      <c r="C155" s="582">
        <v>-2.130360971945668</v>
      </c>
      <c r="D155" s="584">
        <v>2.6598656841840858</v>
      </c>
      <c r="E155" s="584">
        <v>1.9487760629253552</v>
      </c>
      <c r="F155" s="584">
        <v>2.8294633075443301</v>
      </c>
      <c r="G155" s="584">
        <v>10.6315816697762</v>
      </c>
      <c r="H155" s="585">
        <v>4.0669764323942506</v>
      </c>
      <c r="I155" s="586">
        <v>0.80598093970723916</v>
      </c>
      <c r="J155" s="587">
        <v>5.5715348868408645</v>
      </c>
      <c r="K155" s="584">
        <v>5.9282269070178337</v>
      </c>
      <c r="L155" s="584">
        <v>7.1984047620393525</v>
      </c>
      <c r="M155" s="584">
        <v>-1.0275989287125888</v>
      </c>
      <c r="N155" s="584">
        <v>5.6892848099009896</v>
      </c>
      <c r="O155" s="588">
        <v>25.780332010511209</v>
      </c>
      <c r="P155" s="582">
        <v>8.4342890996305133</v>
      </c>
      <c r="Q155" s="589">
        <v>0</v>
      </c>
      <c r="R155" s="587">
        <v>25.546729862947192</v>
      </c>
      <c r="S155" s="584">
        <v>0</v>
      </c>
      <c r="T155" s="584">
        <v>0</v>
      </c>
      <c r="U155" s="588">
        <v>0</v>
      </c>
      <c r="V155" s="170">
        <v>0</v>
      </c>
    </row>
    <row r="156" spans="1:22">
      <c r="A156" s="549" t="s">
        <v>205</v>
      </c>
      <c r="B156" s="556" t="s">
        <v>726</v>
      </c>
      <c r="C156" s="566">
        <v>7881.3877706103285</v>
      </c>
      <c r="D156" s="94">
        <v>0</v>
      </c>
      <c r="E156" s="94">
        <v>8045.4000835431243</v>
      </c>
      <c r="F156" s="94">
        <v>6541.4251045454548</v>
      </c>
      <c r="G156" s="95">
        <v>0</v>
      </c>
      <c r="H156" s="567">
        <v>0</v>
      </c>
      <c r="I156" s="568">
        <v>7773.4710637487324</v>
      </c>
      <c r="J156" s="569">
        <v>0</v>
      </c>
      <c r="K156" s="94">
        <v>5406.0993043643266</v>
      </c>
      <c r="L156" s="94">
        <v>5468.2741663201659</v>
      </c>
      <c r="M156" s="94">
        <v>5263.1612885844752</v>
      </c>
      <c r="N156" s="570">
        <v>5422.7906344262292</v>
      </c>
      <c r="O156" s="571">
        <v>5501.0768403100774</v>
      </c>
      <c r="P156" s="566">
        <v>0</v>
      </c>
      <c r="Q156" s="572">
        <v>0</v>
      </c>
      <c r="R156" s="569">
        <v>5501.0768403100774</v>
      </c>
      <c r="S156" s="570">
        <v>0</v>
      </c>
      <c r="T156" s="570">
        <v>0</v>
      </c>
      <c r="U156" s="571">
        <v>0</v>
      </c>
      <c r="V156" s="170">
        <v>0</v>
      </c>
    </row>
    <row r="157" spans="1:22">
      <c r="A157" s="554"/>
      <c r="B157" s="573" t="s">
        <v>728</v>
      </c>
      <c r="C157" s="574">
        <v>8006.4573943430669</v>
      </c>
      <c r="D157" s="226">
        <v>0</v>
      </c>
      <c r="E157" s="226">
        <v>8028.3234561860454</v>
      </c>
      <c r="F157" s="226">
        <v>6715.3412701378247</v>
      </c>
      <c r="G157" s="226">
        <v>0</v>
      </c>
      <c r="H157" s="575">
        <v>0</v>
      </c>
      <c r="I157" s="576">
        <v>7847.0806583783778</v>
      </c>
      <c r="J157" s="577">
        <v>0</v>
      </c>
      <c r="K157" s="226">
        <v>5465.0647357429725</v>
      </c>
      <c r="L157" s="226">
        <v>5494.7590783144915</v>
      </c>
      <c r="M157" s="226">
        <v>5258.779082727272</v>
      </c>
      <c r="N157" s="226">
        <v>5455.312962625665</v>
      </c>
      <c r="O157" s="578">
        <v>5567.956375714286</v>
      </c>
      <c r="P157" s="574">
        <v>0</v>
      </c>
      <c r="Q157" s="579">
        <v>0</v>
      </c>
      <c r="R157" s="577">
        <v>5567.956375714286</v>
      </c>
      <c r="S157" s="226">
        <v>0</v>
      </c>
      <c r="T157" s="226">
        <v>0</v>
      </c>
      <c r="U157" s="578">
        <v>0</v>
      </c>
      <c r="V157" s="170">
        <v>0</v>
      </c>
    </row>
    <row r="158" spans="1:22">
      <c r="A158" s="580"/>
      <c r="B158" s="581" t="s">
        <v>495</v>
      </c>
      <c r="C158" s="582">
        <v>1.5868984926629623</v>
      </c>
      <c r="D158" s="584">
        <v>0</v>
      </c>
      <c r="E158" s="584">
        <v>-0.21225330225664185</v>
      </c>
      <c r="F158" s="584">
        <v>2.6586892429834657</v>
      </c>
      <c r="G158" s="584">
        <v>0</v>
      </c>
      <c r="H158" s="585">
        <v>0</v>
      </c>
      <c r="I158" s="586">
        <v>0.94693341013284071</v>
      </c>
      <c r="J158" s="587">
        <v>0</v>
      </c>
      <c r="K158" s="584">
        <v>1.0907204632930683</v>
      </c>
      <c r="L158" s="584">
        <v>0.48433767563173197</v>
      </c>
      <c r="M158" s="584">
        <v>-8.3261857597029518E-2</v>
      </c>
      <c r="N158" s="584">
        <v>0.59973416626063292</v>
      </c>
      <c r="O158" s="588">
        <v>1.2157535214585151</v>
      </c>
      <c r="P158" s="582">
        <v>0</v>
      </c>
      <c r="Q158" s="589">
        <v>0</v>
      </c>
      <c r="R158" s="587">
        <v>1.2157535214585151</v>
      </c>
      <c r="S158" s="584">
        <v>0</v>
      </c>
      <c r="T158" s="584">
        <v>0</v>
      </c>
      <c r="U158" s="588">
        <v>0</v>
      </c>
      <c r="V158" s="170">
        <v>0</v>
      </c>
    </row>
    <row r="159" spans="1:22">
      <c r="A159" s="554"/>
      <c r="B159" s="556" t="s">
        <v>730</v>
      </c>
      <c r="C159" s="566">
        <v>6473.9971126082773</v>
      </c>
      <c r="D159" s="94">
        <v>0</v>
      </c>
      <c r="E159" s="94">
        <v>5137.3534482758623</v>
      </c>
      <c r="F159" s="94">
        <v>4988.9969696969692</v>
      </c>
      <c r="G159" s="95">
        <v>0</v>
      </c>
      <c r="H159" s="567">
        <v>0</v>
      </c>
      <c r="I159" s="568">
        <v>5692.6021549937841</v>
      </c>
      <c r="J159" s="569">
        <v>0</v>
      </c>
      <c r="K159" s="94">
        <v>6718.496268656716</v>
      </c>
      <c r="L159" s="94">
        <v>6767.927855711423</v>
      </c>
      <c r="M159" s="94">
        <v>6480.1569506726455</v>
      </c>
      <c r="N159" s="570">
        <v>6716.3238474672735</v>
      </c>
      <c r="O159" s="571">
        <v>6703.5724137931038</v>
      </c>
      <c r="P159" s="566">
        <v>0</v>
      </c>
      <c r="Q159" s="572">
        <v>0</v>
      </c>
      <c r="R159" s="569">
        <v>6703.5724137931038</v>
      </c>
      <c r="S159" s="570">
        <v>0</v>
      </c>
      <c r="T159" s="570">
        <v>0</v>
      </c>
      <c r="U159" s="571">
        <v>0</v>
      </c>
      <c r="V159" s="170">
        <v>0</v>
      </c>
    </row>
    <row r="160" spans="1:22">
      <c r="A160" s="554"/>
      <c r="B160" s="573" t="s">
        <v>732</v>
      </c>
      <c r="C160" s="574">
        <v>6921.5858156028371</v>
      </c>
      <c r="D160" s="226">
        <v>0</v>
      </c>
      <c r="E160" s="226">
        <v>5389.5708848715512</v>
      </c>
      <c r="F160" s="226">
        <v>5042.8593272171256</v>
      </c>
      <c r="G160" s="226">
        <v>0</v>
      </c>
      <c r="H160" s="575">
        <v>0</v>
      </c>
      <c r="I160" s="576">
        <v>6008.2245945391087</v>
      </c>
      <c r="J160" s="577">
        <v>0</v>
      </c>
      <c r="K160" s="226">
        <v>7419.634765625</v>
      </c>
      <c r="L160" s="226">
        <v>7377.0934489402698</v>
      </c>
      <c r="M160" s="226">
        <v>7410.0888888888885</v>
      </c>
      <c r="N160" s="226">
        <v>7393.5470422535209</v>
      </c>
      <c r="O160" s="578">
        <v>7477.5316455696202</v>
      </c>
      <c r="P160" s="574">
        <v>0</v>
      </c>
      <c r="Q160" s="579">
        <v>0</v>
      </c>
      <c r="R160" s="577">
        <v>7477.5316455696202</v>
      </c>
      <c r="S160" s="226">
        <v>0</v>
      </c>
      <c r="T160" s="226">
        <v>0</v>
      </c>
      <c r="U160" s="578">
        <v>0</v>
      </c>
      <c r="V160" s="170">
        <v>0</v>
      </c>
    </row>
    <row r="161" spans="1:22">
      <c r="A161" s="580"/>
      <c r="B161" s="581" t="s">
        <v>497</v>
      </c>
      <c r="C161" s="582">
        <v>6.9136376678770706</v>
      </c>
      <c r="D161" s="584">
        <v>0</v>
      </c>
      <c r="E161" s="584">
        <v>4.9094818788521382</v>
      </c>
      <c r="F161" s="584">
        <v>1.0796229752656665</v>
      </c>
      <c r="G161" s="584">
        <v>0</v>
      </c>
      <c r="H161" s="585">
        <v>0</v>
      </c>
      <c r="I161" s="586">
        <v>5.544431719480829</v>
      </c>
      <c r="J161" s="587">
        <v>0</v>
      </c>
      <c r="K161" s="584">
        <v>10.435943832241918</v>
      </c>
      <c r="L161" s="584">
        <v>9.0007696035762965</v>
      </c>
      <c r="M161" s="584">
        <v>14.350453936454659</v>
      </c>
      <c r="N161" s="584">
        <v>10.083242115277518</v>
      </c>
      <c r="O161" s="588">
        <v>11.545474323273321</v>
      </c>
      <c r="P161" s="582">
        <v>0</v>
      </c>
      <c r="Q161" s="589">
        <v>0</v>
      </c>
      <c r="R161" s="587">
        <v>11.545474323273321</v>
      </c>
      <c r="S161" s="584">
        <v>0</v>
      </c>
      <c r="T161" s="584">
        <v>0</v>
      </c>
      <c r="U161" s="588">
        <v>0</v>
      </c>
      <c r="V161" s="170">
        <v>0</v>
      </c>
    </row>
    <row r="162" spans="1:22">
      <c r="A162" s="554"/>
      <c r="B162" s="556" t="s">
        <v>734</v>
      </c>
      <c r="C162" s="566">
        <v>118.44059976931949</v>
      </c>
      <c r="D162" s="94">
        <v>0</v>
      </c>
      <c r="E162" s="94">
        <v>99.209934395501406</v>
      </c>
      <c r="F162" s="94">
        <v>245.64097744360902</v>
      </c>
      <c r="G162" s="95">
        <v>0</v>
      </c>
      <c r="H162" s="567">
        <v>0</v>
      </c>
      <c r="I162" s="568">
        <v>137.56123276561232</v>
      </c>
      <c r="J162" s="569">
        <v>0</v>
      </c>
      <c r="K162" s="94">
        <v>0</v>
      </c>
      <c r="L162" s="94">
        <v>0</v>
      </c>
      <c r="M162" s="94">
        <v>0</v>
      </c>
      <c r="N162" s="570">
        <v>0</v>
      </c>
      <c r="O162" s="571">
        <v>0</v>
      </c>
      <c r="P162" s="566">
        <v>0</v>
      </c>
      <c r="Q162" s="572">
        <v>0</v>
      </c>
      <c r="R162" s="569">
        <v>0</v>
      </c>
      <c r="S162" s="570">
        <v>0</v>
      </c>
      <c r="T162" s="570">
        <v>0</v>
      </c>
      <c r="U162" s="571">
        <v>0</v>
      </c>
      <c r="V162" s="170">
        <v>0</v>
      </c>
    </row>
    <row r="163" spans="1:22">
      <c r="A163" s="554"/>
      <c r="B163" s="573" t="s">
        <v>736</v>
      </c>
      <c r="C163" s="574">
        <v>144</v>
      </c>
      <c r="D163" s="226">
        <v>0</v>
      </c>
      <c r="E163" s="226">
        <v>106.04518072289157</v>
      </c>
      <c r="F163" s="226">
        <v>247.8</v>
      </c>
      <c r="G163" s="226">
        <v>0</v>
      </c>
      <c r="H163" s="575">
        <v>0</v>
      </c>
      <c r="I163" s="576">
        <v>150.91180124223604</v>
      </c>
      <c r="J163" s="577">
        <v>0</v>
      </c>
      <c r="K163" s="226">
        <v>0</v>
      </c>
      <c r="L163" s="226">
        <v>0</v>
      </c>
      <c r="M163" s="226">
        <v>0</v>
      </c>
      <c r="N163" s="226">
        <v>0</v>
      </c>
      <c r="O163" s="578">
        <v>0</v>
      </c>
      <c r="P163" s="574">
        <v>0</v>
      </c>
      <c r="Q163" s="579">
        <v>0</v>
      </c>
      <c r="R163" s="577">
        <v>0</v>
      </c>
      <c r="S163" s="226">
        <v>0</v>
      </c>
      <c r="T163" s="226">
        <v>0</v>
      </c>
      <c r="U163" s="578">
        <v>0</v>
      </c>
      <c r="V163" s="170">
        <v>0</v>
      </c>
    </row>
    <row r="164" spans="1:22">
      <c r="A164" s="580"/>
      <c r="B164" s="581" t="s">
        <v>499</v>
      </c>
      <c r="C164" s="582">
        <v>21.579931442817081</v>
      </c>
      <c r="D164" s="584">
        <v>0</v>
      </c>
      <c r="E164" s="584">
        <v>6.8896793139096202</v>
      </c>
      <c r="F164" s="584">
        <v>0.87893419854455423</v>
      </c>
      <c r="G164" s="584">
        <v>0</v>
      </c>
      <c r="H164" s="585">
        <v>0</v>
      </c>
      <c r="I164" s="586">
        <v>9.705182345502438</v>
      </c>
      <c r="J164" s="587">
        <v>0</v>
      </c>
      <c r="K164" s="584">
        <v>0</v>
      </c>
      <c r="L164" s="584">
        <v>0</v>
      </c>
      <c r="M164" s="584">
        <v>0</v>
      </c>
      <c r="N164" s="584">
        <v>0</v>
      </c>
      <c r="O164" s="588">
        <v>0</v>
      </c>
      <c r="P164" s="582">
        <v>0</v>
      </c>
      <c r="Q164" s="589">
        <v>0</v>
      </c>
      <c r="R164" s="587">
        <v>0</v>
      </c>
      <c r="S164" s="584">
        <v>0</v>
      </c>
      <c r="T164" s="584">
        <v>0</v>
      </c>
      <c r="U164" s="588">
        <v>0</v>
      </c>
      <c r="V164" s="170">
        <v>0</v>
      </c>
    </row>
    <row r="165" spans="1:22">
      <c r="A165" s="554"/>
      <c r="B165" s="556" t="s">
        <v>738</v>
      </c>
      <c r="C165" s="566">
        <v>6340.389924965003</v>
      </c>
      <c r="D165" s="94">
        <v>0</v>
      </c>
      <c r="E165" s="94">
        <v>4542.8975487203352</v>
      </c>
      <c r="F165" s="94">
        <v>3985.0553112121215</v>
      </c>
      <c r="G165" s="95">
        <v>0</v>
      </c>
      <c r="H165" s="567">
        <v>0</v>
      </c>
      <c r="I165" s="568">
        <v>5246.4214351373184</v>
      </c>
      <c r="J165" s="569">
        <v>0</v>
      </c>
      <c r="K165" s="94">
        <v>3125.0888753731342</v>
      </c>
      <c r="L165" s="94">
        <v>2908.920152304609</v>
      </c>
      <c r="M165" s="94">
        <v>3517.8425022421525</v>
      </c>
      <c r="N165" s="570">
        <v>3052.1507269208878</v>
      </c>
      <c r="O165" s="571">
        <v>2131.2005903448276</v>
      </c>
      <c r="P165" s="566">
        <v>0</v>
      </c>
      <c r="Q165" s="572">
        <v>0</v>
      </c>
      <c r="R165" s="569">
        <v>2131.2005903448276</v>
      </c>
      <c r="S165" s="570">
        <v>0</v>
      </c>
      <c r="T165" s="570">
        <v>0</v>
      </c>
      <c r="U165" s="571">
        <v>0</v>
      </c>
      <c r="V165" s="170">
        <v>0</v>
      </c>
    </row>
    <row r="166" spans="1:22">
      <c r="A166" s="554"/>
      <c r="B166" s="573" t="s">
        <v>740</v>
      </c>
      <c r="C166" s="574">
        <v>6368.5165711826003</v>
      </c>
      <c r="D166" s="226">
        <v>0</v>
      </c>
      <c r="E166" s="226">
        <v>4554.7887922114041</v>
      </c>
      <c r="F166" s="226">
        <v>4745.1609571865438</v>
      </c>
      <c r="G166" s="226">
        <v>0</v>
      </c>
      <c r="H166" s="575">
        <v>0</v>
      </c>
      <c r="I166" s="576">
        <v>5377.3078444400162</v>
      </c>
      <c r="J166" s="577">
        <v>0</v>
      </c>
      <c r="K166" s="226">
        <v>3178.1350234375</v>
      </c>
      <c r="L166" s="226">
        <v>2940.4184763005778</v>
      </c>
      <c r="M166" s="226">
        <v>3511.8197706666665</v>
      </c>
      <c r="N166" s="226">
        <v>3081.4191317183099</v>
      </c>
      <c r="O166" s="578">
        <v>2281.7064354430381</v>
      </c>
      <c r="P166" s="574">
        <v>0</v>
      </c>
      <c r="Q166" s="579">
        <v>0</v>
      </c>
      <c r="R166" s="577">
        <v>2281.7064354430381</v>
      </c>
      <c r="S166" s="226">
        <v>0</v>
      </c>
      <c r="T166" s="226">
        <v>0</v>
      </c>
      <c r="U166" s="578">
        <v>0</v>
      </c>
      <c r="V166" s="170">
        <v>0</v>
      </c>
    </row>
    <row r="167" spans="1:22">
      <c r="A167" s="580"/>
      <c r="B167" s="581" t="s">
        <v>569</v>
      </c>
      <c r="C167" s="582">
        <v>0.44361066985564734</v>
      </c>
      <c r="D167" s="584">
        <v>0</v>
      </c>
      <c r="E167" s="584">
        <v>0.2617546040504159</v>
      </c>
      <c r="F167" s="584">
        <v>19.073904541195024</v>
      </c>
      <c r="G167" s="584">
        <v>0</v>
      </c>
      <c r="H167" s="585">
        <v>0</v>
      </c>
      <c r="I167" s="586">
        <v>2.4947749798767735</v>
      </c>
      <c r="J167" s="587">
        <v>0</v>
      </c>
      <c r="K167" s="584">
        <v>1.6974284629915386</v>
      </c>
      <c r="L167" s="584">
        <v>1.0828184462545001</v>
      </c>
      <c r="M167" s="584">
        <v>-0.17120526492153343</v>
      </c>
      <c r="N167" s="584">
        <v>0.95894362422097956</v>
      </c>
      <c r="O167" s="588">
        <v>7.0620215563030957</v>
      </c>
      <c r="P167" s="582">
        <v>0</v>
      </c>
      <c r="Q167" s="589">
        <v>0</v>
      </c>
      <c r="R167" s="587">
        <v>7.0620215563030957</v>
      </c>
      <c r="S167" s="584">
        <v>0</v>
      </c>
      <c r="T167" s="584">
        <v>0</v>
      </c>
      <c r="U167" s="588">
        <v>0</v>
      </c>
      <c r="V167" s="170">
        <v>0</v>
      </c>
    </row>
    <row r="168" spans="1:22">
      <c r="A168" s="554"/>
      <c r="B168" s="556" t="s">
        <v>742</v>
      </c>
      <c r="C168" s="566">
        <v>216</v>
      </c>
      <c r="D168" s="94">
        <v>0</v>
      </c>
      <c r="E168" s="94">
        <v>135.18032786885246</v>
      </c>
      <c r="F168" s="94">
        <v>45.024436090225564</v>
      </c>
      <c r="G168" s="95">
        <v>0</v>
      </c>
      <c r="H168" s="567">
        <v>0</v>
      </c>
      <c r="I168" s="568">
        <v>154.16276668960771</v>
      </c>
      <c r="J168" s="569">
        <v>0</v>
      </c>
      <c r="K168" s="94">
        <v>0</v>
      </c>
      <c r="L168" s="94">
        <v>0</v>
      </c>
      <c r="M168" s="94">
        <v>0</v>
      </c>
      <c r="N168" s="570">
        <v>0</v>
      </c>
      <c r="O168" s="571">
        <v>0</v>
      </c>
      <c r="P168" s="566">
        <v>0</v>
      </c>
      <c r="Q168" s="572">
        <v>0</v>
      </c>
      <c r="R168" s="569">
        <v>0</v>
      </c>
      <c r="S168" s="570">
        <v>0</v>
      </c>
      <c r="T168" s="570">
        <v>0</v>
      </c>
      <c r="U168" s="571">
        <v>0</v>
      </c>
      <c r="V168" s="170">
        <v>0</v>
      </c>
    </row>
    <row r="169" spans="1:22">
      <c r="A169" s="554"/>
      <c r="B169" s="573" t="s">
        <v>567</v>
      </c>
      <c r="C169" s="574">
        <v>160.09968282736747</v>
      </c>
      <c r="D169" s="226">
        <v>0</v>
      </c>
      <c r="E169" s="226">
        <v>150.00358422939067</v>
      </c>
      <c r="F169" s="226">
        <v>101.51809523809524</v>
      </c>
      <c r="G169" s="226">
        <v>0</v>
      </c>
      <c r="H169" s="575">
        <v>0</v>
      </c>
      <c r="I169" s="576">
        <v>149.17905405405406</v>
      </c>
      <c r="J169" s="577">
        <v>0</v>
      </c>
      <c r="K169" s="226">
        <v>0</v>
      </c>
      <c r="L169" s="226">
        <v>0</v>
      </c>
      <c r="M169" s="226">
        <v>0</v>
      </c>
      <c r="N169" s="226">
        <v>0</v>
      </c>
      <c r="O169" s="578">
        <v>0</v>
      </c>
      <c r="P169" s="574">
        <v>0</v>
      </c>
      <c r="Q169" s="579">
        <v>0</v>
      </c>
      <c r="R169" s="577">
        <v>0</v>
      </c>
      <c r="S169" s="226">
        <v>0</v>
      </c>
      <c r="T169" s="226">
        <v>0</v>
      </c>
      <c r="U169" s="578">
        <v>0</v>
      </c>
      <c r="V169" s="170">
        <v>0</v>
      </c>
    </row>
    <row r="170" spans="1:22">
      <c r="A170" s="580"/>
      <c r="B170" s="581" t="s">
        <v>37</v>
      </c>
      <c r="C170" s="582">
        <v>-25.879776468811354</v>
      </c>
      <c r="D170" s="584">
        <v>0</v>
      </c>
      <c r="E170" s="584">
        <v>10.965542541751526</v>
      </c>
      <c r="F170" s="584">
        <v>125.4733297151366</v>
      </c>
      <c r="G170" s="584">
        <v>0</v>
      </c>
      <c r="H170" s="585">
        <v>0</v>
      </c>
      <c r="I170" s="586">
        <v>-3.2327602459210416</v>
      </c>
      <c r="J170" s="587">
        <v>0</v>
      </c>
      <c r="K170" s="584">
        <v>0</v>
      </c>
      <c r="L170" s="584">
        <v>0</v>
      </c>
      <c r="M170" s="584">
        <v>0</v>
      </c>
      <c r="N170" s="584">
        <v>0</v>
      </c>
      <c r="O170" s="588">
        <v>0</v>
      </c>
      <c r="P170" s="582">
        <v>0</v>
      </c>
      <c r="Q170" s="589">
        <v>0</v>
      </c>
      <c r="R170" s="587">
        <v>0</v>
      </c>
      <c r="S170" s="584">
        <v>0</v>
      </c>
      <c r="T170" s="584">
        <v>0</v>
      </c>
      <c r="U170" s="588">
        <v>0</v>
      </c>
      <c r="V170" s="170">
        <v>0</v>
      </c>
    </row>
    <row r="171" spans="1:22">
      <c r="A171" s="554"/>
      <c r="B171" s="556" t="s">
        <v>571</v>
      </c>
      <c r="C171" s="566">
        <v>180.11746888472351</v>
      </c>
      <c r="D171" s="94">
        <v>0</v>
      </c>
      <c r="E171" s="94">
        <v>36.795390228013034</v>
      </c>
      <c r="F171" s="94">
        <v>28.653484848484847</v>
      </c>
      <c r="G171" s="95">
        <v>0</v>
      </c>
      <c r="H171" s="567">
        <v>0</v>
      </c>
      <c r="I171" s="568">
        <v>97.583506413109447</v>
      </c>
      <c r="J171" s="569">
        <v>0</v>
      </c>
      <c r="K171" s="94">
        <v>16.625557089552238</v>
      </c>
      <c r="L171" s="94">
        <v>16.196624849699397</v>
      </c>
      <c r="M171" s="94">
        <v>17.149670852017938</v>
      </c>
      <c r="N171" s="570">
        <v>16.448438702333522</v>
      </c>
      <c r="O171" s="571">
        <v>17.830831724137933</v>
      </c>
      <c r="P171" s="566">
        <v>0</v>
      </c>
      <c r="Q171" s="572">
        <v>0</v>
      </c>
      <c r="R171" s="569">
        <v>17.830831724137933</v>
      </c>
      <c r="S171" s="570">
        <v>0</v>
      </c>
      <c r="T171" s="570">
        <v>0</v>
      </c>
      <c r="U171" s="571">
        <v>0</v>
      </c>
      <c r="V171" s="170">
        <v>0</v>
      </c>
    </row>
    <row r="172" spans="1:22">
      <c r="A172" s="554"/>
      <c r="B172" s="573" t="s">
        <v>573</v>
      </c>
      <c r="C172" s="574">
        <v>211.75508470267818</v>
      </c>
      <c r="D172" s="226">
        <v>0</v>
      </c>
      <c r="E172" s="226">
        <v>36.272359109874827</v>
      </c>
      <c r="F172" s="226">
        <v>143.24648073394494</v>
      </c>
      <c r="G172" s="226">
        <v>0</v>
      </c>
      <c r="H172" s="575">
        <v>0</v>
      </c>
      <c r="I172" s="576">
        <v>127.32730925408853</v>
      </c>
      <c r="J172" s="577">
        <v>0</v>
      </c>
      <c r="K172" s="226">
        <v>16.746316406249999</v>
      </c>
      <c r="L172" s="226">
        <v>16.364213487475915</v>
      </c>
      <c r="M172" s="226">
        <v>17.367327111111113</v>
      </c>
      <c r="N172" s="226">
        <v>16.601586591549296</v>
      </c>
      <c r="O172" s="578">
        <v>18.009325316455694</v>
      </c>
      <c r="P172" s="574">
        <v>0</v>
      </c>
      <c r="Q172" s="579">
        <v>0</v>
      </c>
      <c r="R172" s="577">
        <v>18.009325316455694</v>
      </c>
      <c r="S172" s="226">
        <v>0</v>
      </c>
      <c r="T172" s="226">
        <v>0</v>
      </c>
      <c r="U172" s="578">
        <v>0</v>
      </c>
      <c r="V172" s="170">
        <v>0</v>
      </c>
    </row>
    <row r="173" spans="1:22">
      <c r="A173" s="580"/>
      <c r="B173" s="581" t="s">
        <v>39</v>
      </c>
      <c r="C173" s="582">
        <v>17.564990233236607</v>
      </c>
      <c r="D173" s="584">
        <v>0</v>
      </c>
      <c r="E173" s="584">
        <v>-1.4214582720745621</v>
      </c>
      <c r="F173" s="584">
        <v>399.92690763936724</v>
      </c>
      <c r="G173" s="584">
        <v>0</v>
      </c>
      <c r="H173" s="585">
        <v>0</v>
      </c>
      <c r="I173" s="586">
        <v>30.480358755568638</v>
      </c>
      <c r="J173" s="587">
        <v>0</v>
      </c>
      <c r="K173" s="584">
        <v>0.72634749047686353</v>
      </c>
      <c r="L173" s="584">
        <v>1.0347133389314038</v>
      </c>
      <c r="M173" s="584">
        <v>1.2691570641285188</v>
      </c>
      <c r="N173" s="584">
        <v>0.93107857826072382</v>
      </c>
      <c r="O173" s="588">
        <v>1.0010390714199298</v>
      </c>
      <c r="P173" s="582">
        <v>0</v>
      </c>
      <c r="Q173" s="589">
        <v>0</v>
      </c>
      <c r="R173" s="587">
        <v>1.0010390714199298</v>
      </c>
      <c r="S173" s="584">
        <v>0</v>
      </c>
      <c r="T173" s="584">
        <v>0</v>
      </c>
      <c r="U173" s="588">
        <v>0</v>
      </c>
      <c r="V173" s="170">
        <v>0</v>
      </c>
    </row>
    <row r="174" spans="1:22">
      <c r="A174" s="554"/>
      <c r="B174" s="556" t="s">
        <v>575</v>
      </c>
      <c r="C174" s="566">
        <v>252.24918506766213</v>
      </c>
      <c r="D174" s="94">
        <v>0</v>
      </c>
      <c r="E174" s="94">
        <v>240.24978957654724</v>
      </c>
      <c r="F174" s="94">
        <v>161.54085977443609</v>
      </c>
      <c r="G174" s="95">
        <v>0</v>
      </c>
      <c r="H174" s="567">
        <v>0</v>
      </c>
      <c r="I174" s="568">
        <v>236.90019461028191</v>
      </c>
      <c r="J174" s="569">
        <v>0</v>
      </c>
      <c r="K174" s="94">
        <v>0</v>
      </c>
      <c r="L174" s="94">
        <v>0</v>
      </c>
      <c r="M174" s="94">
        <v>0</v>
      </c>
      <c r="N174" s="570">
        <v>0</v>
      </c>
      <c r="O174" s="571">
        <v>0</v>
      </c>
      <c r="P174" s="566">
        <v>0</v>
      </c>
      <c r="Q174" s="572">
        <v>0</v>
      </c>
      <c r="R174" s="569">
        <v>0</v>
      </c>
      <c r="S174" s="570">
        <v>0</v>
      </c>
      <c r="T174" s="570">
        <v>0</v>
      </c>
      <c r="U174" s="571">
        <v>0</v>
      </c>
      <c r="V174" s="170">
        <v>0</v>
      </c>
    </row>
    <row r="175" spans="1:22">
      <c r="A175" s="554"/>
      <c r="B175" s="573" t="s">
        <v>577</v>
      </c>
      <c r="C175" s="574">
        <v>419.68799519710018</v>
      </c>
      <c r="D175" s="226">
        <v>0</v>
      </c>
      <c r="E175" s="226">
        <v>228.80056736207698</v>
      </c>
      <c r="F175" s="226">
        <v>172.75188190476189</v>
      </c>
      <c r="G175" s="226">
        <v>0</v>
      </c>
      <c r="H175" s="575">
        <v>0</v>
      </c>
      <c r="I175" s="576">
        <v>308.95253982409491</v>
      </c>
      <c r="J175" s="577">
        <v>0</v>
      </c>
      <c r="K175" s="226">
        <v>0</v>
      </c>
      <c r="L175" s="226">
        <v>0</v>
      </c>
      <c r="M175" s="226">
        <v>0</v>
      </c>
      <c r="N175" s="226">
        <v>0</v>
      </c>
      <c r="O175" s="578">
        <v>0</v>
      </c>
      <c r="P175" s="574">
        <v>0</v>
      </c>
      <c r="Q175" s="579">
        <v>0</v>
      </c>
      <c r="R175" s="577">
        <v>0</v>
      </c>
      <c r="S175" s="226">
        <v>0</v>
      </c>
      <c r="T175" s="226">
        <v>0</v>
      </c>
      <c r="U175" s="578">
        <v>0</v>
      </c>
      <c r="V175" s="170">
        <v>0</v>
      </c>
    </row>
    <row r="176" spans="1:22">
      <c r="A176" s="580"/>
      <c r="B176" s="581" t="s">
        <v>501</v>
      </c>
      <c r="C176" s="582">
        <v>66.378335408506899</v>
      </c>
      <c r="D176" s="584">
        <v>0</v>
      </c>
      <c r="E176" s="584">
        <v>-4.7655493204177697</v>
      </c>
      <c r="F176" s="584">
        <v>6.9400535232881992</v>
      </c>
      <c r="G176" s="584">
        <v>0</v>
      </c>
      <c r="H176" s="585">
        <v>0</v>
      </c>
      <c r="I176" s="586">
        <v>30.414641630980654</v>
      </c>
      <c r="J176" s="587">
        <v>0</v>
      </c>
      <c r="K176" s="584">
        <v>0</v>
      </c>
      <c r="L176" s="584">
        <v>0</v>
      </c>
      <c r="M176" s="584">
        <v>0</v>
      </c>
      <c r="N176" s="584">
        <v>0</v>
      </c>
      <c r="O176" s="588">
        <v>0</v>
      </c>
      <c r="P176" s="582">
        <v>0</v>
      </c>
      <c r="Q176" s="589">
        <v>0</v>
      </c>
      <c r="R176" s="587">
        <v>0</v>
      </c>
      <c r="S176" s="584">
        <v>0</v>
      </c>
      <c r="T176" s="584">
        <v>0</v>
      </c>
      <c r="U176" s="588">
        <v>0</v>
      </c>
      <c r="V176" s="170">
        <v>0</v>
      </c>
    </row>
    <row r="177" spans="1:22">
      <c r="A177" s="554"/>
      <c r="B177" s="556" t="s">
        <v>579</v>
      </c>
      <c r="C177" s="566">
        <v>7924.0447761194027</v>
      </c>
      <c r="D177" s="94">
        <v>0</v>
      </c>
      <c r="E177" s="94">
        <v>936.02037037037042</v>
      </c>
      <c r="F177" s="94">
        <v>3146.1219512195121</v>
      </c>
      <c r="G177" s="95">
        <v>0</v>
      </c>
      <c r="H177" s="567">
        <v>0</v>
      </c>
      <c r="I177" s="568">
        <v>1798.3842592592594</v>
      </c>
      <c r="J177" s="569">
        <v>0</v>
      </c>
      <c r="K177" s="94">
        <v>695.75</v>
      </c>
      <c r="L177" s="94">
        <v>677.77777777777783</v>
      </c>
      <c r="M177" s="94">
        <v>747.1875</v>
      </c>
      <c r="N177" s="570">
        <v>690.4833948339483</v>
      </c>
      <c r="O177" s="571">
        <v>586.38461538461536</v>
      </c>
      <c r="P177" s="566">
        <v>0</v>
      </c>
      <c r="Q177" s="572">
        <v>0</v>
      </c>
      <c r="R177" s="569">
        <v>586.38461538461536</v>
      </c>
      <c r="S177" s="570">
        <v>0</v>
      </c>
      <c r="T177" s="570">
        <v>0</v>
      </c>
      <c r="U177" s="571">
        <v>0</v>
      </c>
      <c r="V177" s="170">
        <v>0</v>
      </c>
    </row>
    <row r="178" spans="1:22">
      <c r="A178" s="554"/>
      <c r="B178" s="573" t="s">
        <v>581</v>
      </c>
      <c r="C178" s="574">
        <v>7834.4428571428571</v>
      </c>
      <c r="D178" s="226">
        <v>0</v>
      </c>
      <c r="E178" s="226">
        <v>2620.0476190476193</v>
      </c>
      <c r="F178" s="226">
        <v>3379.0408163265306</v>
      </c>
      <c r="G178" s="226">
        <v>0</v>
      </c>
      <c r="H178" s="575">
        <v>0</v>
      </c>
      <c r="I178" s="576">
        <v>3925.8863636363635</v>
      </c>
      <c r="J178" s="577">
        <v>0</v>
      </c>
      <c r="K178" s="226">
        <v>982.62068965517244</v>
      </c>
      <c r="L178" s="226">
        <v>968.37241379310342</v>
      </c>
      <c r="M178" s="226">
        <v>969.67741935483866</v>
      </c>
      <c r="N178" s="226">
        <v>972.07692307692309</v>
      </c>
      <c r="O178" s="578">
        <v>859.5</v>
      </c>
      <c r="P178" s="574">
        <v>0</v>
      </c>
      <c r="Q178" s="579">
        <v>0</v>
      </c>
      <c r="R178" s="577">
        <v>859.5</v>
      </c>
      <c r="S178" s="226">
        <v>0</v>
      </c>
      <c r="T178" s="226">
        <v>0</v>
      </c>
      <c r="U178" s="578">
        <v>0</v>
      </c>
      <c r="V178" s="170">
        <v>0</v>
      </c>
    </row>
    <row r="179" spans="1:22">
      <c r="A179" s="580"/>
      <c r="B179" s="581" t="s">
        <v>503</v>
      </c>
      <c r="C179" s="582">
        <v>-1.130759877159931</v>
      </c>
      <c r="D179" s="584">
        <v>0</v>
      </c>
      <c r="E179" s="584">
        <v>179.91352560104031</v>
      </c>
      <c r="F179" s="584">
        <v>7.403364164467102</v>
      </c>
      <c r="G179" s="584">
        <v>0</v>
      </c>
      <c r="H179" s="585">
        <v>0</v>
      </c>
      <c r="I179" s="586">
        <v>118.30075210141162</v>
      </c>
      <c r="J179" s="587">
        <v>0</v>
      </c>
      <c r="K179" s="584">
        <v>41.231863407139407</v>
      </c>
      <c r="L179" s="584">
        <v>42.874618428490656</v>
      </c>
      <c r="M179" s="584">
        <v>29.776986279192126</v>
      </c>
      <c r="N179" s="584">
        <v>40.782085470816305</v>
      </c>
      <c r="O179" s="588">
        <v>46.576151121605676</v>
      </c>
      <c r="P179" s="582">
        <v>0</v>
      </c>
      <c r="Q179" s="589">
        <v>0</v>
      </c>
      <c r="R179" s="587">
        <v>46.576151121605676</v>
      </c>
      <c r="S179" s="584">
        <v>0</v>
      </c>
      <c r="T179" s="584">
        <v>0</v>
      </c>
      <c r="U179" s="588">
        <v>0</v>
      </c>
      <c r="V179" s="170">
        <v>0</v>
      </c>
    </row>
    <row r="180" spans="1:22">
      <c r="A180" s="554"/>
      <c r="B180" s="556" t="s">
        <v>583</v>
      </c>
      <c r="C180" s="566">
        <v>0</v>
      </c>
      <c r="D180" s="94">
        <v>0</v>
      </c>
      <c r="E180" s="94">
        <v>195.91351351351352</v>
      </c>
      <c r="F180" s="94">
        <v>0</v>
      </c>
      <c r="G180" s="95">
        <v>0</v>
      </c>
      <c r="H180" s="567">
        <v>0</v>
      </c>
      <c r="I180" s="568">
        <v>195.91351351351352</v>
      </c>
      <c r="J180" s="569">
        <v>0</v>
      </c>
      <c r="K180" s="94">
        <v>0</v>
      </c>
      <c r="L180" s="94">
        <v>0</v>
      </c>
      <c r="M180" s="94">
        <v>0</v>
      </c>
      <c r="N180" s="570">
        <v>0</v>
      </c>
      <c r="O180" s="571">
        <v>0</v>
      </c>
      <c r="P180" s="566">
        <v>0</v>
      </c>
      <c r="Q180" s="572">
        <v>0</v>
      </c>
      <c r="R180" s="569">
        <v>0</v>
      </c>
      <c r="S180" s="570">
        <v>0</v>
      </c>
      <c r="T180" s="570">
        <v>0</v>
      </c>
      <c r="U180" s="571">
        <v>0</v>
      </c>
      <c r="V180" s="170">
        <v>0</v>
      </c>
    </row>
    <row r="181" spans="1:22">
      <c r="A181" s="554"/>
      <c r="B181" s="573" t="s">
        <v>585</v>
      </c>
      <c r="C181" s="574">
        <v>366</v>
      </c>
      <c r="D181" s="226">
        <v>0</v>
      </c>
      <c r="E181" s="226">
        <v>209.01871657754012</v>
      </c>
      <c r="F181" s="226">
        <v>0</v>
      </c>
      <c r="G181" s="226">
        <v>0</v>
      </c>
      <c r="H181" s="575">
        <v>0</v>
      </c>
      <c r="I181" s="576">
        <v>319.69794952681389</v>
      </c>
      <c r="J181" s="577">
        <v>0</v>
      </c>
      <c r="K181" s="226">
        <v>0</v>
      </c>
      <c r="L181" s="226">
        <v>0</v>
      </c>
      <c r="M181" s="226">
        <v>0</v>
      </c>
      <c r="N181" s="226">
        <v>0</v>
      </c>
      <c r="O181" s="578">
        <v>0</v>
      </c>
      <c r="P181" s="574">
        <v>0</v>
      </c>
      <c r="Q181" s="579">
        <v>0</v>
      </c>
      <c r="R181" s="577">
        <v>0</v>
      </c>
      <c r="S181" s="226">
        <v>0</v>
      </c>
      <c r="T181" s="226">
        <v>0</v>
      </c>
      <c r="U181" s="578">
        <v>0</v>
      </c>
      <c r="V181" s="170">
        <v>0</v>
      </c>
    </row>
    <row r="182" spans="1:22">
      <c r="A182" s="580"/>
      <c r="B182" s="581" t="s">
        <v>694</v>
      </c>
      <c r="C182" s="582">
        <v>0</v>
      </c>
      <c r="D182" s="584">
        <v>0</v>
      </c>
      <c r="E182" s="584">
        <v>6.6892797893304285</v>
      </c>
      <c r="F182" s="584">
        <v>0</v>
      </c>
      <c r="G182" s="584">
        <v>0</v>
      </c>
      <c r="H182" s="585">
        <v>0</v>
      </c>
      <c r="I182" s="586">
        <v>63.183204564784702</v>
      </c>
      <c r="J182" s="587">
        <v>0</v>
      </c>
      <c r="K182" s="584">
        <v>0</v>
      </c>
      <c r="L182" s="584">
        <v>0</v>
      </c>
      <c r="M182" s="584">
        <v>0</v>
      </c>
      <c r="N182" s="584">
        <v>0</v>
      </c>
      <c r="O182" s="588">
        <v>0</v>
      </c>
      <c r="P182" s="582">
        <v>0</v>
      </c>
      <c r="Q182" s="589">
        <v>0</v>
      </c>
      <c r="R182" s="587">
        <v>0</v>
      </c>
      <c r="S182" s="584">
        <v>0</v>
      </c>
      <c r="T182" s="584">
        <v>0</v>
      </c>
      <c r="U182" s="588">
        <v>0</v>
      </c>
      <c r="V182" s="170">
        <v>0</v>
      </c>
    </row>
    <row r="183" spans="1:22">
      <c r="A183" s="554"/>
      <c r="B183" s="556" t="s">
        <v>587</v>
      </c>
      <c r="C183" s="566">
        <v>20912.898148110125</v>
      </c>
      <c r="D183" s="94">
        <v>0</v>
      </c>
      <c r="E183" s="94">
        <v>18146.412248143322</v>
      </c>
      <c r="F183" s="94">
        <v>16036.725508060605</v>
      </c>
      <c r="G183" s="95">
        <v>0</v>
      </c>
      <c r="H183" s="567">
        <v>0</v>
      </c>
      <c r="I183" s="568">
        <v>19062.443353792409</v>
      </c>
      <c r="J183" s="569">
        <v>0</v>
      </c>
      <c r="K183" s="94">
        <v>15077.098388320896</v>
      </c>
      <c r="L183" s="94">
        <v>14878.967370340681</v>
      </c>
      <c r="M183" s="94">
        <v>15065.062544304932</v>
      </c>
      <c r="N183" s="570">
        <v>14963.029663699488</v>
      </c>
      <c r="O183" s="571">
        <v>13429.126571862069</v>
      </c>
      <c r="P183" s="566">
        <v>0</v>
      </c>
      <c r="Q183" s="572">
        <v>0</v>
      </c>
      <c r="R183" s="569">
        <v>13429.126571862069</v>
      </c>
      <c r="S183" s="570">
        <v>0</v>
      </c>
      <c r="T183" s="570">
        <v>0</v>
      </c>
      <c r="U183" s="571">
        <v>0</v>
      </c>
      <c r="V183" s="170">
        <v>0</v>
      </c>
    </row>
    <row r="184" spans="1:22">
      <c r="A184" s="554"/>
      <c r="B184" s="573" t="s">
        <v>589</v>
      </c>
      <c r="C184" s="574">
        <v>21776.327030493885</v>
      </c>
      <c r="D184" s="226">
        <v>0</v>
      </c>
      <c r="E184" s="226">
        <v>18373.711580797404</v>
      </c>
      <c r="F184" s="226">
        <v>17246.432092262996</v>
      </c>
      <c r="G184" s="226">
        <v>0</v>
      </c>
      <c r="H184" s="575">
        <v>0</v>
      </c>
      <c r="I184" s="576">
        <v>19723.319295420486</v>
      </c>
      <c r="J184" s="577">
        <v>0</v>
      </c>
      <c r="K184" s="226">
        <v>15856.112700664062</v>
      </c>
      <c r="L184" s="226">
        <v>15396.800711348747</v>
      </c>
      <c r="M184" s="226">
        <v>15978.750955200001</v>
      </c>
      <c r="N184" s="226">
        <v>15603.057918895774</v>
      </c>
      <c r="O184" s="578">
        <v>14328.629246835444</v>
      </c>
      <c r="P184" s="574">
        <v>0</v>
      </c>
      <c r="Q184" s="579">
        <v>0</v>
      </c>
      <c r="R184" s="577">
        <v>14328.629246835444</v>
      </c>
      <c r="S184" s="226">
        <v>0</v>
      </c>
      <c r="T184" s="226">
        <v>0</v>
      </c>
      <c r="U184" s="578">
        <v>0</v>
      </c>
      <c r="V184" s="170">
        <v>0</v>
      </c>
    </row>
    <row r="185" spans="1:22">
      <c r="A185" s="580"/>
      <c r="B185" s="581" t="s">
        <v>696</v>
      </c>
      <c r="C185" s="582">
        <v>4.1286907068965313</v>
      </c>
      <c r="D185" s="584">
        <v>0</v>
      </c>
      <c r="E185" s="584">
        <v>1.2525855223934874</v>
      </c>
      <c r="F185" s="584">
        <v>7.5433515626014271</v>
      </c>
      <c r="G185" s="584">
        <v>0</v>
      </c>
      <c r="H185" s="585">
        <v>0</v>
      </c>
      <c r="I185" s="586">
        <v>3.466900487846424</v>
      </c>
      <c r="J185" s="587">
        <v>0</v>
      </c>
      <c r="K185" s="584">
        <v>5.1668715841677502</v>
      </c>
      <c r="L185" s="584">
        <v>3.4803042988070616</v>
      </c>
      <c r="M185" s="584">
        <v>6.0649493369708711</v>
      </c>
      <c r="N185" s="584">
        <v>4.277397489553894</v>
      </c>
      <c r="O185" s="588">
        <v>6.6981472708589642</v>
      </c>
      <c r="P185" s="582">
        <v>0</v>
      </c>
      <c r="Q185" s="589">
        <v>0</v>
      </c>
      <c r="R185" s="587">
        <v>6.6981472708589642</v>
      </c>
      <c r="S185" s="584">
        <v>0</v>
      </c>
      <c r="T185" s="584">
        <v>0</v>
      </c>
      <c r="U185" s="588">
        <v>0</v>
      </c>
      <c r="V185" s="170">
        <v>0</v>
      </c>
    </row>
    <row r="186" spans="1:22">
      <c r="A186" s="549" t="s">
        <v>206</v>
      </c>
      <c r="B186" s="556" t="s">
        <v>726</v>
      </c>
      <c r="C186" s="566">
        <v>12537.325253333334</v>
      </c>
      <c r="D186" s="94">
        <v>10323.998150564972</v>
      </c>
      <c r="E186" s="94">
        <v>9376.3126051282052</v>
      </c>
      <c r="F186" s="94">
        <v>9044.900777276147</v>
      </c>
      <c r="G186" s="95">
        <v>0</v>
      </c>
      <c r="H186" s="567">
        <v>0</v>
      </c>
      <c r="I186" s="568">
        <v>10332.121298611904</v>
      </c>
      <c r="J186" s="569">
        <v>6260.6160285714286</v>
      </c>
      <c r="K186" s="94">
        <v>6700.9060836223507</v>
      </c>
      <c r="L186" s="94">
        <v>6775.5734111111105</v>
      </c>
      <c r="M186" s="94">
        <v>7225.1603168539332</v>
      </c>
      <c r="N186" s="570">
        <v>6763.0032746561883</v>
      </c>
      <c r="O186" s="571">
        <v>6270.0133029411763</v>
      </c>
      <c r="P186" s="566">
        <v>5841.3720300000004</v>
      </c>
      <c r="Q186" s="572">
        <v>6375.5269705882356</v>
      </c>
      <c r="R186" s="569">
        <v>6326.6551777397262</v>
      </c>
      <c r="S186" s="570">
        <v>0</v>
      </c>
      <c r="T186" s="570">
        <v>0</v>
      </c>
      <c r="U186" s="571">
        <v>0</v>
      </c>
      <c r="V186" s="170">
        <v>0</v>
      </c>
    </row>
    <row r="187" spans="1:22">
      <c r="A187" s="554"/>
      <c r="B187" s="573" t="s">
        <v>728</v>
      </c>
      <c r="C187" s="574">
        <v>11492.923545044319</v>
      </c>
      <c r="D187" s="226">
        <v>9618.2673264773603</v>
      </c>
      <c r="E187" s="226">
        <v>8632.0949422535214</v>
      </c>
      <c r="F187" s="226">
        <v>8155.6560183783786</v>
      </c>
      <c r="G187" s="226">
        <v>0</v>
      </c>
      <c r="H187" s="575">
        <v>0</v>
      </c>
      <c r="I187" s="576">
        <v>9456.461271409029</v>
      </c>
      <c r="J187" s="577">
        <v>7093.8851117647055</v>
      </c>
      <c r="K187" s="226">
        <v>7032.1137556034482</v>
      </c>
      <c r="L187" s="226">
        <v>6225.2958338308454</v>
      </c>
      <c r="M187" s="226">
        <v>6600.5351439024389</v>
      </c>
      <c r="N187" s="226">
        <v>6788.667336412459</v>
      </c>
      <c r="O187" s="578">
        <v>6081.2714819672137</v>
      </c>
      <c r="P187" s="574">
        <v>5510.9790904761912</v>
      </c>
      <c r="Q187" s="579">
        <v>6053.0626368098156</v>
      </c>
      <c r="R187" s="577">
        <v>6017.5106614864872</v>
      </c>
      <c r="S187" s="226">
        <v>0</v>
      </c>
      <c r="T187" s="226">
        <v>0</v>
      </c>
      <c r="U187" s="578">
        <v>0</v>
      </c>
      <c r="V187" s="170">
        <v>0</v>
      </c>
    </row>
    <row r="188" spans="1:22">
      <c r="A188" s="580"/>
      <c r="B188" s="581" t="s">
        <v>495</v>
      </c>
      <c r="C188" s="582">
        <v>-8.3303391049166322</v>
      </c>
      <c r="D188" s="584">
        <v>-6.835828656642982</v>
      </c>
      <c r="E188" s="584">
        <v>-7.9372104388632199</v>
      </c>
      <c r="F188" s="584">
        <v>-9.831448467979353</v>
      </c>
      <c r="G188" s="584">
        <v>0</v>
      </c>
      <c r="H188" s="585">
        <v>0</v>
      </c>
      <c r="I188" s="586">
        <v>-8.4751233739437239</v>
      </c>
      <c r="J188" s="587">
        <v>13.309697949698657</v>
      </c>
      <c r="K188" s="584">
        <v>4.9427296524958084</v>
      </c>
      <c r="L188" s="584">
        <v>-8.1214908892858784</v>
      </c>
      <c r="M188" s="584">
        <v>-8.6451392849297513</v>
      </c>
      <c r="N188" s="584">
        <v>0.3794772930606839</v>
      </c>
      <c r="O188" s="588">
        <v>-3.0102299924216496</v>
      </c>
      <c r="P188" s="582">
        <v>-5.6560845264945261</v>
      </c>
      <c r="Q188" s="589">
        <v>-5.0578459673376299</v>
      </c>
      <c r="R188" s="587">
        <v>-4.8863816277037033</v>
      </c>
      <c r="S188" s="584">
        <v>0</v>
      </c>
      <c r="T188" s="584">
        <v>0</v>
      </c>
      <c r="U188" s="588">
        <v>0</v>
      </c>
      <c r="V188" s="170">
        <v>0</v>
      </c>
    </row>
    <row r="189" spans="1:22">
      <c r="A189" s="554"/>
      <c r="B189" s="556" t="s">
        <v>730</v>
      </c>
      <c r="C189" s="566">
        <v>6188.9891213389119</v>
      </c>
      <c r="D189" s="94">
        <v>7108.4465944272442</v>
      </c>
      <c r="E189" s="94">
        <v>6355.4200385356453</v>
      </c>
      <c r="F189" s="94">
        <v>6428.4397810218979</v>
      </c>
      <c r="G189" s="95">
        <v>0</v>
      </c>
      <c r="H189" s="567">
        <v>0</v>
      </c>
      <c r="I189" s="568">
        <v>6540.2404241506165</v>
      </c>
      <c r="J189" s="569">
        <v>5475.4712643678158</v>
      </c>
      <c r="K189" s="94">
        <v>3860.4053452115813</v>
      </c>
      <c r="L189" s="94">
        <v>5063.4025157232709</v>
      </c>
      <c r="M189" s="94">
        <v>5439.1428571428569</v>
      </c>
      <c r="N189" s="570">
        <v>4506.8221680876977</v>
      </c>
      <c r="O189" s="571">
        <v>6378.2075471698117</v>
      </c>
      <c r="P189" s="566">
        <v>6445.84</v>
      </c>
      <c r="Q189" s="572">
        <v>6846.4369973190351</v>
      </c>
      <c r="R189" s="569">
        <v>6769.2062084257204</v>
      </c>
      <c r="S189" s="570">
        <v>0</v>
      </c>
      <c r="T189" s="570">
        <v>0</v>
      </c>
      <c r="U189" s="571">
        <v>0</v>
      </c>
      <c r="V189" s="170">
        <v>0</v>
      </c>
    </row>
    <row r="190" spans="1:22">
      <c r="A190" s="554"/>
      <c r="B190" s="573" t="s">
        <v>732</v>
      </c>
      <c r="C190" s="574">
        <v>5999.7733812949637</v>
      </c>
      <c r="D190" s="226">
        <v>5326.4527824620573</v>
      </c>
      <c r="E190" s="226">
        <v>5718.0581280788174</v>
      </c>
      <c r="F190" s="226">
        <v>5530.0821033210332</v>
      </c>
      <c r="G190" s="226">
        <v>0</v>
      </c>
      <c r="H190" s="575">
        <v>0</v>
      </c>
      <c r="I190" s="576">
        <v>5637.3343188537638</v>
      </c>
      <c r="J190" s="577">
        <v>5715.8850574712642</v>
      </c>
      <c r="K190" s="226">
        <v>2787.8714652956296</v>
      </c>
      <c r="L190" s="226">
        <v>4980.786764705882</v>
      </c>
      <c r="M190" s="226">
        <v>4677.161764705882</v>
      </c>
      <c r="N190" s="226">
        <v>3870.6483957219252</v>
      </c>
      <c r="O190" s="578">
        <v>5887.666666666667</v>
      </c>
      <c r="P190" s="574">
        <v>6019.9655172413795</v>
      </c>
      <c r="Q190" s="579">
        <v>5889.7950138504157</v>
      </c>
      <c r="R190" s="577">
        <v>5898.1803652968038</v>
      </c>
      <c r="S190" s="226">
        <v>0</v>
      </c>
      <c r="T190" s="226">
        <v>0</v>
      </c>
      <c r="U190" s="578">
        <v>0</v>
      </c>
      <c r="V190" s="170">
        <v>0</v>
      </c>
    </row>
    <row r="191" spans="1:22">
      <c r="A191" s="580"/>
      <c r="B191" s="581" t="s">
        <v>497</v>
      </c>
      <c r="C191" s="582">
        <v>-3.0572963748078741</v>
      </c>
      <c r="D191" s="584">
        <v>-25.068681156895845</v>
      </c>
      <c r="E191" s="584">
        <v>-10.028635504690934</v>
      </c>
      <c r="F191" s="584">
        <v>-13.974738946034854</v>
      </c>
      <c r="G191" s="584">
        <v>0</v>
      </c>
      <c r="H191" s="585">
        <v>0</v>
      </c>
      <c r="I191" s="586">
        <v>-13.805396235324386</v>
      </c>
      <c r="J191" s="587">
        <v>4.3907415726563208</v>
      </c>
      <c r="K191" s="584">
        <v>-27.78293427777772</v>
      </c>
      <c r="L191" s="584">
        <v>-1.6316251919701041</v>
      </c>
      <c r="M191" s="584">
        <v>-14.009212709615024</v>
      </c>
      <c r="N191" s="584">
        <v>-14.115794869175172</v>
      </c>
      <c r="O191" s="588">
        <v>-7.6908892800268216</v>
      </c>
      <c r="P191" s="582">
        <v>-6.6069663962900194</v>
      </c>
      <c r="Q191" s="589">
        <v>-13.97284432535093</v>
      </c>
      <c r="R191" s="587">
        <v>-12.867473915106018</v>
      </c>
      <c r="S191" s="584">
        <v>0</v>
      </c>
      <c r="T191" s="584">
        <v>0</v>
      </c>
      <c r="U191" s="588">
        <v>0</v>
      </c>
      <c r="V191" s="170">
        <v>0</v>
      </c>
    </row>
    <row r="192" spans="1:22">
      <c r="A192" s="554"/>
      <c r="B192" s="556" t="s">
        <v>734</v>
      </c>
      <c r="C192" s="566">
        <v>0</v>
      </c>
      <c r="D192" s="94">
        <v>0</v>
      </c>
      <c r="E192" s="94">
        <v>0</v>
      </c>
      <c r="F192" s="94">
        <v>441.60344827586209</v>
      </c>
      <c r="G192" s="95">
        <v>0</v>
      </c>
      <c r="H192" s="567">
        <v>0</v>
      </c>
      <c r="I192" s="568">
        <v>441.60344827586209</v>
      </c>
      <c r="J192" s="569">
        <v>0</v>
      </c>
      <c r="K192" s="94">
        <v>0</v>
      </c>
      <c r="L192" s="94">
        <v>0</v>
      </c>
      <c r="M192" s="94">
        <v>0</v>
      </c>
      <c r="N192" s="570">
        <v>0</v>
      </c>
      <c r="O192" s="571">
        <v>0</v>
      </c>
      <c r="P192" s="566">
        <v>0</v>
      </c>
      <c r="Q192" s="572">
        <v>0</v>
      </c>
      <c r="R192" s="569">
        <v>0</v>
      </c>
      <c r="S192" s="570">
        <v>0</v>
      </c>
      <c r="T192" s="570">
        <v>0</v>
      </c>
      <c r="U192" s="571">
        <v>0</v>
      </c>
      <c r="V192" s="170">
        <v>0</v>
      </c>
    </row>
    <row r="193" spans="1:22">
      <c r="A193" s="554"/>
      <c r="B193" s="573" t="s">
        <v>736</v>
      </c>
      <c r="C193" s="574">
        <v>0</v>
      </c>
      <c r="D193" s="226">
        <v>0</v>
      </c>
      <c r="E193" s="226">
        <v>0</v>
      </c>
      <c r="F193" s="226">
        <v>250.47761194029852</v>
      </c>
      <c r="G193" s="226">
        <v>0</v>
      </c>
      <c r="H193" s="575">
        <v>0</v>
      </c>
      <c r="I193" s="576">
        <v>250.47761194029852</v>
      </c>
      <c r="J193" s="577">
        <v>0</v>
      </c>
      <c r="K193" s="226">
        <v>0</v>
      </c>
      <c r="L193" s="226">
        <v>0</v>
      </c>
      <c r="M193" s="226">
        <v>0</v>
      </c>
      <c r="N193" s="226">
        <v>0</v>
      </c>
      <c r="O193" s="578">
        <v>0</v>
      </c>
      <c r="P193" s="574">
        <v>0</v>
      </c>
      <c r="Q193" s="579">
        <v>0</v>
      </c>
      <c r="R193" s="577">
        <v>0</v>
      </c>
      <c r="S193" s="226">
        <v>0</v>
      </c>
      <c r="T193" s="226">
        <v>0</v>
      </c>
      <c r="U193" s="578">
        <v>0</v>
      </c>
      <c r="V193" s="170">
        <v>0</v>
      </c>
    </row>
    <row r="194" spans="1:22">
      <c r="A194" s="580"/>
      <c r="B194" s="581" t="s">
        <v>499</v>
      </c>
      <c r="C194" s="582">
        <v>0</v>
      </c>
      <c r="D194" s="584">
        <v>0</v>
      </c>
      <c r="E194" s="584">
        <v>0</v>
      </c>
      <c r="F194" s="584">
        <v>-43.27996918542415</v>
      </c>
      <c r="G194" s="584">
        <v>0</v>
      </c>
      <c r="H194" s="585">
        <v>0</v>
      </c>
      <c r="I194" s="586">
        <v>-43.27996918542415</v>
      </c>
      <c r="J194" s="587">
        <v>0</v>
      </c>
      <c r="K194" s="584">
        <v>0</v>
      </c>
      <c r="L194" s="584">
        <v>0</v>
      </c>
      <c r="M194" s="584">
        <v>0</v>
      </c>
      <c r="N194" s="584">
        <v>0</v>
      </c>
      <c r="O194" s="588">
        <v>0</v>
      </c>
      <c r="P194" s="582">
        <v>0</v>
      </c>
      <c r="Q194" s="589">
        <v>0</v>
      </c>
      <c r="R194" s="587">
        <v>0</v>
      </c>
      <c r="S194" s="584">
        <v>0</v>
      </c>
      <c r="T194" s="584">
        <v>0</v>
      </c>
      <c r="U194" s="588">
        <v>0</v>
      </c>
      <c r="V194" s="170">
        <v>0</v>
      </c>
    </row>
    <row r="195" spans="1:22">
      <c r="A195" s="554"/>
      <c r="B195" s="556" t="s">
        <v>738</v>
      </c>
      <c r="C195" s="566">
        <v>1110.7581510805501</v>
      </c>
      <c r="D195" s="94">
        <v>959.01204017467251</v>
      </c>
      <c r="E195" s="94">
        <v>853.38179482071712</v>
      </c>
      <c r="F195" s="94">
        <v>880.93869297752804</v>
      </c>
      <c r="G195" s="95">
        <v>0</v>
      </c>
      <c r="H195" s="567">
        <v>0</v>
      </c>
      <c r="I195" s="568">
        <v>973.58095203303674</v>
      </c>
      <c r="J195" s="569">
        <v>633.72254074074078</v>
      </c>
      <c r="K195" s="94">
        <v>649.39337943925239</v>
      </c>
      <c r="L195" s="94">
        <v>1477.7941375</v>
      </c>
      <c r="M195" s="94">
        <v>709.88553513513511</v>
      </c>
      <c r="N195" s="570">
        <v>769.08281434977573</v>
      </c>
      <c r="O195" s="571">
        <v>0</v>
      </c>
      <c r="P195" s="566">
        <v>540.14048205128211</v>
      </c>
      <c r="Q195" s="572">
        <v>594.48366499999997</v>
      </c>
      <c r="R195" s="569">
        <v>576.67371428571437</v>
      </c>
      <c r="S195" s="570">
        <v>0</v>
      </c>
      <c r="T195" s="570">
        <v>0</v>
      </c>
      <c r="U195" s="571">
        <v>0</v>
      </c>
      <c r="V195" s="170">
        <v>0</v>
      </c>
    </row>
    <row r="196" spans="1:22">
      <c r="A196" s="554"/>
      <c r="B196" s="573" t="s">
        <v>740</v>
      </c>
      <c r="C196" s="574">
        <v>980.3093676891616</v>
      </c>
      <c r="D196" s="226">
        <v>761.03526797546021</v>
      </c>
      <c r="E196" s="226">
        <v>802.9507253218884</v>
      </c>
      <c r="F196" s="226">
        <v>750.07249435897427</v>
      </c>
      <c r="G196" s="226">
        <v>0</v>
      </c>
      <c r="H196" s="575">
        <v>0</v>
      </c>
      <c r="I196" s="576">
        <v>835.21483665679511</v>
      </c>
      <c r="J196" s="577">
        <v>722.37106067415732</v>
      </c>
      <c r="K196" s="226">
        <v>624.7874532212885</v>
      </c>
      <c r="L196" s="226">
        <v>603.62840697674415</v>
      </c>
      <c r="M196" s="226">
        <v>552.45103157894744</v>
      </c>
      <c r="N196" s="226">
        <v>632.00934631578946</v>
      </c>
      <c r="O196" s="578">
        <v>0</v>
      </c>
      <c r="P196" s="574">
        <v>501.43067000000002</v>
      </c>
      <c r="Q196" s="579">
        <v>530.83645047619052</v>
      </c>
      <c r="R196" s="577">
        <v>526.13152560000003</v>
      </c>
      <c r="S196" s="226">
        <v>0</v>
      </c>
      <c r="T196" s="226">
        <v>0</v>
      </c>
      <c r="U196" s="578">
        <v>0</v>
      </c>
      <c r="V196" s="170">
        <v>0</v>
      </c>
    </row>
    <row r="197" spans="1:22">
      <c r="A197" s="580"/>
      <c r="B197" s="581" t="s">
        <v>569</v>
      </c>
      <c r="C197" s="582">
        <v>-11.744121190061705</v>
      </c>
      <c r="D197" s="584">
        <v>-20.643825510590379</v>
      </c>
      <c r="E197" s="584">
        <v>-5.9095553484854388</v>
      </c>
      <c r="F197" s="584">
        <v>-14.855312822760988</v>
      </c>
      <c r="G197" s="584">
        <v>0</v>
      </c>
      <c r="H197" s="585">
        <v>0</v>
      </c>
      <c r="I197" s="586">
        <v>-14.212081192355374</v>
      </c>
      <c r="J197" s="587">
        <v>13.988538237853703</v>
      </c>
      <c r="K197" s="584">
        <v>-3.7890633007701688</v>
      </c>
      <c r="L197" s="584">
        <v>-59.153417133058284</v>
      </c>
      <c r="M197" s="584">
        <v>-22.177449146955524</v>
      </c>
      <c r="N197" s="584">
        <v>-17.822978940164667</v>
      </c>
      <c r="O197" s="588">
        <v>0</v>
      </c>
      <c r="P197" s="582">
        <v>-7.1666193032365406</v>
      </c>
      <c r="Q197" s="589">
        <v>-10.70630166495987</v>
      </c>
      <c r="R197" s="587">
        <v>-8.7644342777644066</v>
      </c>
      <c r="S197" s="584">
        <v>0</v>
      </c>
      <c r="T197" s="584">
        <v>0</v>
      </c>
      <c r="U197" s="588">
        <v>0</v>
      </c>
      <c r="V197" s="170">
        <v>0</v>
      </c>
    </row>
    <row r="198" spans="1:22">
      <c r="A198" s="554"/>
      <c r="B198" s="556" t="s">
        <v>742</v>
      </c>
      <c r="C198" s="566">
        <v>0</v>
      </c>
      <c r="D198" s="94">
        <v>0</v>
      </c>
      <c r="E198" s="94">
        <v>154.07246376811594</v>
      </c>
      <c r="F198" s="94">
        <v>0</v>
      </c>
      <c r="G198" s="95">
        <v>0</v>
      </c>
      <c r="H198" s="567">
        <v>0</v>
      </c>
      <c r="I198" s="568">
        <v>154.07246376811594</v>
      </c>
      <c r="J198" s="569">
        <v>0</v>
      </c>
      <c r="K198" s="94">
        <v>0</v>
      </c>
      <c r="L198" s="94">
        <v>0</v>
      </c>
      <c r="M198" s="94">
        <v>941.98701298701303</v>
      </c>
      <c r="N198" s="570">
        <v>941.98701298701303</v>
      </c>
      <c r="O198" s="571">
        <v>0</v>
      </c>
      <c r="P198" s="566">
        <v>0</v>
      </c>
      <c r="Q198" s="572">
        <v>0</v>
      </c>
      <c r="R198" s="569">
        <v>0</v>
      </c>
      <c r="S198" s="570">
        <v>0</v>
      </c>
      <c r="T198" s="570">
        <v>0</v>
      </c>
      <c r="U198" s="571">
        <v>0</v>
      </c>
      <c r="V198" s="170">
        <v>0</v>
      </c>
    </row>
    <row r="199" spans="1:22">
      <c r="A199" s="554"/>
      <c r="B199" s="573" t="s">
        <v>567</v>
      </c>
      <c r="C199" s="574">
        <v>0</v>
      </c>
      <c r="D199" s="226">
        <v>0</v>
      </c>
      <c r="E199" s="226">
        <v>138.35555555555555</v>
      </c>
      <c r="F199" s="226">
        <v>157.0514705882353</v>
      </c>
      <c r="G199" s="226">
        <v>0</v>
      </c>
      <c r="H199" s="575">
        <v>0</v>
      </c>
      <c r="I199" s="576">
        <v>143.48185483870967</v>
      </c>
      <c r="J199" s="577">
        <v>0</v>
      </c>
      <c r="K199" s="226">
        <v>0</v>
      </c>
      <c r="L199" s="226">
        <v>0</v>
      </c>
      <c r="M199" s="226">
        <v>196.69135802469137</v>
      </c>
      <c r="N199" s="226">
        <v>196.69135802469137</v>
      </c>
      <c r="O199" s="578">
        <v>0</v>
      </c>
      <c r="P199" s="574">
        <v>0</v>
      </c>
      <c r="Q199" s="579">
        <v>0</v>
      </c>
      <c r="R199" s="577">
        <v>0</v>
      </c>
      <c r="S199" s="226">
        <v>0</v>
      </c>
      <c r="T199" s="226">
        <v>0</v>
      </c>
      <c r="U199" s="578">
        <v>0</v>
      </c>
      <c r="V199" s="170">
        <v>0</v>
      </c>
    </row>
    <row r="200" spans="1:22">
      <c r="A200" s="580"/>
      <c r="B200" s="581" t="s">
        <v>37</v>
      </c>
      <c r="C200" s="582">
        <v>0</v>
      </c>
      <c r="D200" s="584">
        <v>0</v>
      </c>
      <c r="E200" s="584">
        <v>-10.200984542062521</v>
      </c>
      <c r="F200" s="584">
        <v>0</v>
      </c>
      <c r="G200" s="584">
        <v>0</v>
      </c>
      <c r="H200" s="585">
        <v>0</v>
      </c>
      <c r="I200" s="586">
        <v>-6.8737843676891437</v>
      </c>
      <c r="J200" s="587">
        <v>0</v>
      </c>
      <c r="K200" s="584">
        <v>0</v>
      </c>
      <c r="L200" s="584">
        <v>0</v>
      </c>
      <c r="M200" s="584">
        <v>-79.11952550163204</v>
      </c>
      <c r="N200" s="584">
        <v>-79.11952550163204</v>
      </c>
      <c r="O200" s="588">
        <v>0</v>
      </c>
      <c r="P200" s="582">
        <v>0</v>
      </c>
      <c r="Q200" s="589">
        <v>0</v>
      </c>
      <c r="R200" s="587">
        <v>0</v>
      </c>
      <c r="S200" s="584">
        <v>0</v>
      </c>
      <c r="T200" s="584">
        <v>0</v>
      </c>
      <c r="U200" s="588">
        <v>0</v>
      </c>
      <c r="V200" s="170">
        <v>0</v>
      </c>
    </row>
    <row r="201" spans="1:22">
      <c r="A201" s="554"/>
      <c r="B201" s="556" t="s">
        <v>571</v>
      </c>
      <c r="C201" s="566">
        <v>187.81162656826567</v>
      </c>
      <c r="D201" s="94">
        <v>222.62266979865774</v>
      </c>
      <c r="E201" s="94">
        <v>224.7174451612903</v>
      </c>
      <c r="F201" s="94">
        <v>222.8592378250591</v>
      </c>
      <c r="G201" s="95">
        <v>0</v>
      </c>
      <c r="H201" s="567">
        <v>0</v>
      </c>
      <c r="I201" s="568">
        <v>216.71482131837305</v>
      </c>
      <c r="J201" s="569">
        <v>275.22654814814814</v>
      </c>
      <c r="K201" s="94">
        <v>101.50912555555556</v>
      </c>
      <c r="L201" s="94">
        <v>195.03333333333333</v>
      </c>
      <c r="M201" s="94">
        <v>194.01845588235295</v>
      </c>
      <c r="N201" s="570">
        <v>151.03884895522387</v>
      </c>
      <c r="O201" s="571">
        <v>226.22664</v>
      </c>
      <c r="P201" s="566">
        <v>202.214</v>
      </c>
      <c r="Q201" s="572">
        <v>227.09548729281772</v>
      </c>
      <c r="R201" s="569">
        <v>225.05157094017096</v>
      </c>
      <c r="S201" s="570">
        <v>0</v>
      </c>
      <c r="T201" s="570">
        <v>0</v>
      </c>
      <c r="U201" s="571">
        <v>0</v>
      </c>
      <c r="V201" s="170">
        <v>0</v>
      </c>
    </row>
    <row r="202" spans="1:22">
      <c r="A202" s="554"/>
      <c r="B202" s="573" t="s">
        <v>573</v>
      </c>
      <c r="C202" s="574">
        <v>190.34714095238095</v>
      </c>
      <c r="D202" s="226">
        <v>153.40474792243768</v>
      </c>
      <c r="E202" s="226">
        <v>194.45397018348623</v>
      </c>
      <c r="F202" s="226">
        <v>197.0756732334047</v>
      </c>
      <c r="G202" s="226">
        <v>0</v>
      </c>
      <c r="H202" s="575">
        <v>0</v>
      </c>
      <c r="I202" s="576">
        <v>185.02516390120329</v>
      </c>
      <c r="J202" s="577">
        <v>162.39240000000001</v>
      </c>
      <c r="K202" s="226">
        <v>104.2009137254902</v>
      </c>
      <c r="L202" s="226">
        <v>178.06372000000002</v>
      </c>
      <c r="M202" s="226">
        <v>131.51488750000001</v>
      </c>
      <c r="N202" s="226">
        <v>129.7737152238806</v>
      </c>
      <c r="O202" s="578">
        <v>218.40803529411764</v>
      </c>
      <c r="P202" s="574">
        <v>189.87767368421052</v>
      </c>
      <c r="Q202" s="579">
        <v>242.63261666666668</v>
      </c>
      <c r="R202" s="577">
        <v>235.52763735408561</v>
      </c>
      <c r="S202" s="226">
        <v>0</v>
      </c>
      <c r="T202" s="226">
        <v>0</v>
      </c>
      <c r="U202" s="578">
        <v>0</v>
      </c>
      <c r="V202" s="170">
        <v>0</v>
      </c>
    </row>
    <row r="203" spans="1:22">
      <c r="A203" s="580"/>
      <c r="B203" s="581" t="s">
        <v>39</v>
      </c>
      <c r="C203" s="582">
        <v>1.3500305760855975</v>
      </c>
      <c r="D203" s="584">
        <v>-31.092036556214815</v>
      </c>
      <c r="E203" s="584">
        <v>-13.467345606427013</v>
      </c>
      <c r="F203" s="584">
        <v>-11.569439455722307</v>
      </c>
      <c r="G203" s="584">
        <v>0</v>
      </c>
      <c r="H203" s="585">
        <v>0</v>
      </c>
      <c r="I203" s="586">
        <v>-14.622745793013801</v>
      </c>
      <c r="J203" s="587">
        <v>-40.996825672286562</v>
      </c>
      <c r="K203" s="584">
        <v>2.6517696366731425</v>
      </c>
      <c r="L203" s="584">
        <v>-8.7008784823107064</v>
      </c>
      <c r="M203" s="584">
        <v>-32.215269469134036</v>
      </c>
      <c r="N203" s="584">
        <v>-14.079247742180169</v>
      </c>
      <c r="O203" s="588">
        <v>-3.4560937234811804</v>
      </c>
      <c r="P203" s="582">
        <v>-6.100629192731204</v>
      </c>
      <c r="Q203" s="589">
        <v>6.8416724431936098</v>
      </c>
      <c r="R203" s="587">
        <v>4.6549625804210324</v>
      </c>
      <c r="S203" s="584">
        <v>0</v>
      </c>
      <c r="T203" s="584">
        <v>0</v>
      </c>
      <c r="U203" s="588">
        <v>0</v>
      </c>
      <c r="V203" s="170">
        <v>0</v>
      </c>
    </row>
    <row r="204" spans="1:22">
      <c r="A204" s="554"/>
      <c r="B204" s="556" t="s">
        <v>575</v>
      </c>
      <c r="C204" s="566">
        <v>566.2016274329502</v>
      </c>
      <c r="D204" s="94">
        <v>825.21203366733459</v>
      </c>
      <c r="E204" s="94">
        <v>505.56133855072466</v>
      </c>
      <c r="F204" s="94">
        <v>323.89152000000001</v>
      </c>
      <c r="G204" s="95">
        <v>0</v>
      </c>
      <c r="H204" s="567">
        <v>0</v>
      </c>
      <c r="I204" s="568">
        <v>624.68134218268904</v>
      </c>
      <c r="J204" s="569">
        <v>0</v>
      </c>
      <c r="K204" s="94">
        <v>0</v>
      </c>
      <c r="L204" s="94">
        <v>370.05052727272727</v>
      </c>
      <c r="M204" s="94">
        <v>0</v>
      </c>
      <c r="N204" s="570">
        <v>370.05052727272727</v>
      </c>
      <c r="O204" s="571">
        <v>0</v>
      </c>
      <c r="P204" s="566">
        <v>0</v>
      </c>
      <c r="Q204" s="572">
        <v>0</v>
      </c>
      <c r="R204" s="569">
        <v>0</v>
      </c>
      <c r="S204" s="570">
        <v>0</v>
      </c>
      <c r="T204" s="570">
        <v>0</v>
      </c>
      <c r="U204" s="571">
        <v>0</v>
      </c>
      <c r="V204" s="170">
        <v>0</v>
      </c>
    </row>
    <row r="205" spans="1:22">
      <c r="A205" s="554"/>
      <c r="B205" s="573" t="s">
        <v>577</v>
      </c>
      <c r="C205" s="574">
        <v>436.43974423851733</v>
      </c>
      <c r="D205" s="226">
        <v>229.39646747252746</v>
      </c>
      <c r="E205" s="226">
        <v>458.71106666666668</v>
      </c>
      <c r="F205" s="226">
        <v>280.93381520190025</v>
      </c>
      <c r="G205" s="226">
        <v>0</v>
      </c>
      <c r="H205" s="575">
        <v>0</v>
      </c>
      <c r="I205" s="576">
        <v>352.58582135061391</v>
      </c>
      <c r="J205" s="577">
        <v>0</v>
      </c>
      <c r="K205" s="226">
        <v>0</v>
      </c>
      <c r="L205" s="226">
        <v>290.13368985507248</v>
      </c>
      <c r="M205" s="226">
        <v>0</v>
      </c>
      <c r="N205" s="226">
        <v>290.13368985507248</v>
      </c>
      <c r="O205" s="578">
        <v>0</v>
      </c>
      <c r="P205" s="574">
        <v>0</v>
      </c>
      <c r="Q205" s="579">
        <v>129.2756</v>
      </c>
      <c r="R205" s="577">
        <v>129.2756</v>
      </c>
      <c r="S205" s="226">
        <v>0</v>
      </c>
      <c r="T205" s="226">
        <v>0</v>
      </c>
      <c r="U205" s="578">
        <v>0</v>
      </c>
      <c r="V205" s="170">
        <v>0</v>
      </c>
    </row>
    <row r="206" spans="1:22">
      <c r="A206" s="580"/>
      <c r="B206" s="581" t="s">
        <v>501</v>
      </c>
      <c r="C206" s="582">
        <v>-22.917963655941509</v>
      </c>
      <c r="D206" s="584">
        <v>-72.201512082529391</v>
      </c>
      <c r="E206" s="584">
        <v>-9.2669807423095367</v>
      </c>
      <c r="F206" s="584">
        <v>-13.262991509657235</v>
      </c>
      <c r="G206" s="584">
        <v>0</v>
      </c>
      <c r="H206" s="585">
        <v>0</v>
      </c>
      <c r="I206" s="586">
        <v>-43.557491229264272</v>
      </c>
      <c r="J206" s="587">
        <v>0</v>
      </c>
      <c r="K206" s="584">
        <v>0</v>
      </c>
      <c r="L206" s="584">
        <v>-21.596196067234917</v>
      </c>
      <c r="M206" s="584">
        <v>0</v>
      </c>
      <c r="N206" s="584">
        <v>-21.596196067234917</v>
      </c>
      <c r="O206" s="588">
        <v>0</v>
      </c>
      <c r="P206" s="582">
        <v>0</v>
      </c>
      <c r="Q206" s="589">
        <v>0</v>
      </c>
      <c r="R206" s="587">
        <v>0</v>
      </c>
      <c r="S206" s="584">
        <v>0</v>
      </c>
      <c r="T206" s="584">
        <v>0</v>
      </c>
      <c r="U206" s="588">
        <v>0</v>
      </c>
      <c r="V206" s="170">
        <v>0</v>
      </c>
    </row>
    <row r="207" spans="1:22">
      <c r="A207" s="554"/>
      <c r="B207" s="556" t="s">
        <v>579</v>
      </c>
      <c r="C207" s="566">
        <v>0</v>
      </c>
      <c r="D207" s="94">
        <v>104.66582914572864</v>
      </c>
      <c r="E207" s="94">
        <v>1704.5942028985507</v>
      </c>
      <c r="F207" s="94">
        <v>1234.8333333333333</v>
      </c>
      <c r="G207" s="95">
        <v>0</v>
      </c>
      <c r="H207" s="567">
        <v>0</v>
      </c>
      <c r="I207" s="568">
        <v>424.36116504854368</v>
      </c>
      <c r="J207" s="569">
        <v>0</v>
      </c>
      <c r="K207" s="94">
        <v>0</v>
      </c>
      <c r="L207" s="94">
        <v>484.75</v>
      </c>
      <c r="M207" s="94">
        <v>0</v>
      </c>
      <c r="N207" s="570">
        <v>484.75</v>
      </c>
      <c r="O207" s="571">
        <v>0</v>
      </c>
      <c r="P207" s="566">
        <v>0</v>
      </c>
      <c r="Q207" s="572">
        <v>0</v>
      </c>
      <c r="R207" s="569">
        <v>0</v>
      </c>
      <c r="S207" s="570">
        <v>0</v>
      </c>
      <c r="T207" s="570">
        <v>0</v>
      </c>
      <c r="U207" s="571">
        <v>0</v>
      </c>
      <c r="V207" s="170">
        <v>0</v>
      </c>
    </row>
    <row r="208" spans="1:22">
      <c r="A208" s="554"/>
      <c r="B208" s="573" t="s">
        <v>581</v>
      </c>
      <c r="C208" s="574">
        <v>0</v>
      </c>
      <c r="D208" s="226">
        <v>47.536842105263155</v>
      </c>
      <c r="E208" s="226">
        <v>1618.8026315789473</v>
      </c>
      <c r="F208" s="226">
        <v>2191.3200000000002</v>
      </c>
      <c r="G208" s="226">
        <v>0</v>
      </c>
      <c r="H208" s="575">
        <v>0</v>
      </c>
      <c r="I208" s="576">
        <v>495.37351778656125</v>
      </c>
      <c r="J208" s="577">
        <v>0</v>
      </c>
      <c r="K208" s="226">
        <v>0</v>
      </c>
      <c r="L208" s="226">
        <v>351</v>
      </c>
      <c r="M208" s="226">
        <v>0</v>
      </c>
      <c r="N208" s="226">
        <v>351</v>
      </c>
      <c r="O208" s="578">
        <v>0</v>
      </c>
      <c r="P208" s="574">
        <v>0</v>
      </c>
      <c r="Q208" s="579">
        <v>0</v>
      </c>
      <c r="R208" s="577">
        <v>0</v>
      </c>
      <c r="S208" s="226">
        <v>0</v>
      </c>
      <c r="T208" s="226">
        <v>0</v>
      </c>
      <c r="U208" s="578">
        <v>0</v>
      </c>
      <c r="V208" s="170">
        <v>0</v>
      </c>
    </row>
    <row r="209" spans="1:22">
      <c r="A209" s="580"/>
      <c r="B209" s="581" t="s">
        <v>503</v>
      </c>
      <c r="C209" s="582">
        <v>0</v>
      </c>
      <c r="D209" s="584">
        <v>-54.582271508042503</v>
      </c>
      <c r="E209" s="584">
        <v>-5.0329615795783251</v>
      </c>
      <c r="F209" s="584">
        <v>77.458766365231497</v>
      </c>
      <c r="G209" s="584">
        <v>0</v>
      </c>
      <c r="H209" s="585">
        <v>0</v>
      </c>
      <c r="I209" s="586">
        <v>16.733942355421306</v>
      </c>
      <c r="J209" s="587">
        <v>0</v>
      </c>
      <c r="K209" s="584">
        <v>0</v>
      </c>
      <c r="L209" s="584">
        <v>-27.591542031975248</v>
      </c>
      <c r="M209" s="584">
        <v>0</v>
      </c>
      <c r="N209" s="584">
        <v>-27.591542031975248</v>
      </c>
      <c r="O209" s="588">
        <v>0</v>
      </c>
      <c r="P209" s="582">
        <v>0</v>
      </c>
      <c r="Q209" s="589">
        <v>0</v>
      </c>
      <c r="R209" s="587">
        <v>0</v>
      </c>
      <c r="S209" s="584">
        <v>0</v>
      </c>
      <c r="T209" s="584">
        <v>0</v>
      </c>
      <c r="U209" s="588">
        <v>0</v>
      </c>
      <c r="V209" s="170">
        <v>0</v>
      </c>
    </row>
    <row r="210" spans="1:22">
      <c r="A210" s="554"/>
      <c r="B210" s="556" t="s">
        <v>583</v>
      </c>
      <c r="C210" s="566">
        <v>0</v>
      </c>
      <c r="D210" s="94">
        <v>588.7462311557789</v>
      </c>
      <c r="E210" s="94">
        <v>0</v>
      </c>
      <c r="F210" s="94">
        <v>0</v>
      </c>
      <c r="G210" s="95">
        <v>0</v>
      </c>
      <c r="H210" s="567">
        <v>0</v>
      </c>
      <c r="I210" s="568">
        <v>588.7462311557789</v>
      </c>
      <c r="J210" s="569">
        <v>0</v>
      </c>
      <c r="K210" s="94">
        <v>0</v>
      </c>
      <c r="L210" s="94">
        <v>0</v>
      </c>
      <c r="M210" s="94">
        <v>0</v>
      </c>
      <c r="N210" s="570">
        <v>0</v>
      </c>
      <c r="O210" s="571">
        <v>0</v>
      </c>
      <c r="P210" s="566">
        <v>0</v>
      </c>
      <c r="Q210" s="572">
        <v>0</v>
      </c>
      <c r="R210" s="569">
        <v>0</v>
      </c>
      <c r="S210" s="570">
        <v>0</v>
      </c>
      <c r="T210" s="570">
        <v>0</v>
      </c>
      <c r="U210" s="571">
        <v>0</v>
      </c>
      <c r="V210" s="170">
        <v>0</v>
      </c>
    </row>
    <row r="211" spans="1:22">
      <c r="A211" s="554"/>
      <c r="B211" s="573" t="s">
        <v>585</v>
      </c>
      <c r="C211" s="574">
        <v>0</v>
      </c>
      <c r="D211" s="226">
        <v>564.5</v>
      </c>
      <c r="E211" s="226">
        <v>0</v>
      </c>
      <c r="F211" s="226">
        <v>0</v>
      </c>
      <c r="G211" s="226">
        <v>0</v>
      </c>
      <c r="H211" s="575">
        <v>0</v>
      </c>
      <c r="I211" s="576">
        <v>564.5</v>
      </c>
      <c r="J211" s="577">
        <v>0</v>
      </c>
      <c r="K211" s="226">
        <v>0</v>
      </c>
      <c r="L211" s="226">
        <v>0</v>
      </c>
      <c r="M211" s="226">
        <v>0</v>
      </c>
      <c r="N211" s="226">
        <v>0</v>
      </c>
      <c r="O211" s="578">
        <v>0</v>
      </c>
      <c r="P211" s="574">
        <v>0</v>
      </c>
      <c r="Q211" s="579">
        <v>0</v>
      </c>
      <c r="R211" s="577">
        <v>0</v>
      </c>
      <c r="S211" s="226">
        <v>0</v>
      </c>
      <c r="T211" s="226">
        <v>0</v>
      </c>
      <c r="U211" s="578">
        <v>0</v>
      </c>
      <c r="V211" s="170">
        <v>0</v>
      </c>
    </row>
    <row r="212" spans="1:22">
      <c r="A212" s="580"/>
      <c r="B212" s="581" t="s">
        <v>694</v>
      </c>
      <c r="C212" s="582">
        <v>0</v>
      </c>
      <c r="D212" s="584">
        <v>-4.1182821855488845</v>
      </c>
      <c r="E212" s="584">
        <v>0</v>
      </c>
      <c r="F212" s="584">
        <v>0</v>
      </c>
      <c r="G212" s="584">
        <v>0</v>
      </c>
      <c r="H212" s="585">
        <v>0</v>
      </c>
      <c r="I212" s="586">
        <v>-4.1182821855488845</v>
      </c>
      <c r="J212" s="587">
        <v>0</v>
      </c>
      <c r="K212" s="584">
        <v>0</v>
      </c>
      <c r="L212" s="584">
        <v>0</v>
      </c>
      <c r="M212" s="584">
        <v>0</v>
      </c>
      <c r="N212" s="584">
        <v>0</v>
      </c>
      <c r="O212" s="588">
        <v>0</v>
      </c>
      <c r="P212" s="582">
        <v>0</v>
      </c>
      <c r="Q212" s="589">
        <v>0</v>
      </c>
      <c r="R212" s="587">
        <v>0</v>
      </c>
      <c r="S212" s="584">
        <v>0</v>
      </c>
      <c r="T212" s="584">
        <v>0</v>
      </c>
      <c r="U212" s="588">
        <v>0</v>
      </c>
      <c r="V212" s="170">
        <v>0</v>
      </c>
    </row>
    <row r="213" spans="1:22">
      <c r="A213" s="554"/>
      <c r="B213" s="556" t="s">
        <v>587</v>
      </c>
      <c r="C213" s="566">
        <v>19547.870261701148</v>
      </c>
      <c r="D213" s="94">
        <v>17966.24502882353</v>
      </c>
      <c r="E213" s="94">
        <v>15277.872465718954</v>
      </c>
      <c r="F213" s="94">
        <v>14872.646067391304</v>
      </c>
      <c r="G213" s="95">
        <v>0</v>
      </c>
      <c r="H213" s="567">
        <v>0</v>
      </c>
      <c r="I213" s="568">
        <v>16954.449885583068</v>
      </c>
      <c r="J213" s="569">
        <v>11080.176732962964</v>
      </c>
      <c r="K213" s="94">
        <v>10209.599899962825</v>
      </c>
      <c r="L213" s="94">
        <v>11254.749158064516</v>
      </c>
      <c r="M213" s="94">
        <v>11541.302192696628</v>
      </c>
      <c r="N213" s="570">
        <v>10745.491057579251</v>
      </c>
      <c r="O213" s="571">
        <v>10795.655181764707</v>
      </c>
      <c r="P213" s="566">
        <v>9917.9723980487815</v>
      </c>
      <c r="Q213" s="572">
        <v>11050.233081974789</v>
      </c>
      <c r="R213" s="569">
        <v>10941.286098632479</v>
      </c>
      <c r="S213" s="570">
        <v>0</v>
      </c>
      <c r="T213" s="570">
        <v>0</v>
      </c>
      <c r="U213" s="571">
        <v>0</v>
      </c>
      <c r="V213" s="170">
        <v>0</v>
      </c>
    </row>
    <row r="214" spans="1:22">
      <c r="A214" s="554"/>
      <c r="B214" s="573" t="s">
        <v>589</v>
      </c>
      <c r="C214" s="574">
        <v>17989.407727236099</v>
      </c>
      <c r="D214" s="226">
        <v>14988.790514826022</v>
      </c>
      <c r="E214" s="226">
        <v>13742.083280907667</v>
      </c>
      <c r="F214" s="226">
        <v>13304.834369075628</v>
      </c>
      <c r="G214" s="226">
        <v>0</v>
      </c>
      <c r="H214" s="575">
        <v>0</v>
      </c>
      <c r="I214" s="576">
        <v>14974.45566450874</v>
      </c>
      <c r="J214" s="577">
        <v>12516.328559411764</v>
      </c>
      <c r="K214" s="226">
        <v>9813.6086690128741</v>
      </c>
      <c r="L214" s="226">
        <v>9919.5553489108916</v>
      </c>
      <c r="M214" s="226">
        <v>10578.281728242424</v>
      </c>
      <c r="N214" s="226">
        <v>10266.28215878075</v>
      </c>
      <c r="O214" s="578">
        <v>10080.976390819673</v>
      </c>
      <c r="P214" s="574">
        <v>9827.7636585714281</v>
      </c>
      <c r="Q214" s="579">
        <v>10022.070067811863</v>
      </c>
      <c r="R214" s="577">
        <v>10014.354555168919</v>
      </c>
      <c r="S214" s="226">
        <v>0</v>
      </c>
      <c r="T214" s="226">
        <v>0</v>
      </c>
      <c r="U214" s="578">
        <v>0</v>
      </c>
      <c r="V214" s="170">
        <v>0</v>
      </c>
    </row>
    <row r="215" spans="1:22">
      <c r="A215" s="580"/>
      <c r="B215" s="581" t="s">
        <v>696</v>
      </c>
      <c r="C215" s="582">
        <v>-7.9725438812556542</v>
      </c>
      <c r="D215" s="584">
        <v>-16.572491966021456</v>
      </c>
      <c r="E215" s="584">
        <v>-10.052375998407804</v>
      </c>
      <c r="F215" s="584">
        <v>-10.541578756137735</v>
      </c>
      <c r="G215" s="584">
        <v>0</v>
      </c>
      <c r="H215" s="585">
        <v>0</v>
      </c>
      <c r="I215" s="586">
        <v>-11.67831592553164</v>
      </c>
      <c r="J215" s="587">
        <v>12.961452340162785</v>
      </c>
      <c r="K215" s="584">
        <v>-3.8786165455062775</v>
      </c>
      <c r="L215" s="584">
        <v>-11.863381319315328</v>
      </c>
      <c r="M215" s="584">
        <v>-8.3441231186512628</v>
      </c>
      <c r="N215" s="584">
        <v>-4.4596277287904345</v>
      </c>
      <c r="O215" s="588">
        <v>-6.6200594490292852</v>
      </c>
      <c r="P215" s="582">
        <v>-0.90954820054853869</v>
      </c>
      <c r="Q215" s="589">
        <v>-9.3044463997784135</v>
      </c>
      <c r="R215" s="587">
        <v>-8.4718700809717014</v>
      </c>
      <c r="S215" s="584">
        <v>0</v>
      </c>
      <c r="T215" s="584">
        <v>0</v>
      </c>
      <c r="U215" s="588">
        <v>0</v>
      </c>
      <c r="V215" s="170">
        <v>0</v>
      </c>
    </row>
    <row r="216" spans="1:22">
      <c r="A216" s="549" t="s">
        <v>213</v>
      </c>
      <c r="B216" s="556" t="s">
        <v>726</v>
      </c>
      <c r="C216" s="566">
        <v>8185.4690486956524</v>
      </c>
      <c r="D216" s="94">
        <v>6562.9254316666666</v>
      </c>
      <c r="E216" s="94">
        <v>5555.2884098073555</v>
      </c>
      <c r="F216" s="94">
        <v>6794.8744643587725</v>
      </c>
      <c r="G216" s="95">
        <v>0</v>
      </c>
      <c r="H216" s="567">
        <v>5828.6569343065694</v>
      </c>
      <c r="I216" s="568">
        <v>6919.7759016810351</v>
      </c>
      <c r="J216" s="569">
        <v>0</v>
      </c>
      <c r="K216" s="94">
        <v>5778.6814029010238</v>
      </c>
      <c r="L216" s="94">
        <v>6253.9173302690588</v>
      </c>
      <c r="M216" s="94">
        <v>5422.6883579831938</v>
      </c>
      <c r="N216" s="570">
        <v>5953.4625640861204</v>
      </c>
      <c r="O216" s="571">
        <v>0</v>
      </c>
      <c r="P216" s="566">
        <v>0</v>
      </c>
      <c r="Q216" s="572">
        <v>0</v>
      </c>
      <c r="R216" s="569">
        <v>0</v>
      </c>
      <c r="S216" s="570">
        <v>0</v>
      </c>
      <c r="T216" s="570">
        <v>0</v>
      </c>
      <c r="U216" s="571">
        <v>0</v>
      </c>
      <c r="V216" s="170">
        <v>0</v>
      </c>
    </row>
    <row r="217" spans="1:22">
      <c r="A217" s="554"/>
      <c r="B217" s="573" t="s">
        <v>728</v>
      </c>
      <c r="C217" s="574">
        <v>8115.2476541381457</v>
      </c>
      <c r="D217" s="226">
        <v>6634.7581459459461</v>
      </c>
      <c r="E217" s="226">
        <v>5990.9115687228496</v>
      </c>
      <c r="F217" s="226">
        <v>7319.4282644409932</v>
      </c>
      <c r="G217" s="226">
        <v>0</v>
      </c>
      <c r="H217" s="575">
        <v>0</v>
      </c>
      <c r="I217" s="576">
        <v>7191.4036820410874</v>
      </c>
      <c r="J217" s="577">
        <v>0</v>
      </c>
      <c r="K217" s="226">
        <v>5907.5613848962657</v>
      </c>
      <c r="L217" s="226">
        <v>6513.6617844097991</v>
      </c>
      <c r="M217" s="226">
        <v>5508.2864148760327</v>
      </c>
      <c r="N217" s="226">
        <v>6130.5676292266189</v>
      </c>
      <c r="O217" s="578">
        <v>0</v>
      </c>
      <c r="P217" s="574">
        <v>0</v>
      </c>
      <c r="Q217" s="579">
        <v>0</v>
      </c>
      <c r="R217" s="577">
        <v>0</v>
      </c>
      <c r="S217" s="226">
        <v>0</v>
      </c>
      <c r="T217" s="226">
        <v>0</v>
      </c>
      <c r="U217" s="578">
        <v>0</v>
      </c>
      <c r="V217" s="170">
        <v>0</v>
      </c>
    </row>
    <row r="218" spans="1:22">
      <c r="A218" s="580"/>
      <c r="B218" s="581" t="s">
        <v>495</v>
      </c>
      <c r="C218" s="582">
        <v>-0.85787868892738017</v>
      </c>
      <c r="D218" s="584">
        <v>1.094522786022841</v>
      </c>
      <c r="E218" s="584">
        <v>7.8415939332049991</v>
      </c>
      <c r="F218" s="584">
        <v>7.7198453456891425</v>
      </c>
      <c r="G218" s="584">
        <v>0</v>
      </c>
      <c r="H218" s="585">
        <v>-100</v>
      </c>
      <c r="I218" s="586">
        <v>3.9253840618460676</v>
      </c>
      <c r="J218" s="587">
        <v>0</v>
      </c>
      <c r="K218" s="584">
        <v>2.2302662668085724</v>
      </c>
      <c r="L218" s="584">
        <v>4.1533080855350146</v>
      </c>
      <c r="M218" s="584">
        <v>1.5785169871844629</v>
      </c>
      <c r="N218" s="584">
        <v>2.9748245367136996</v>
      </c>
      <c r="O218" s="588">
        <v>0</v>
      </c>
      <c r="P218" s="582">
        <v>0</v>
      </c>
      <c r="Q218" s="589">
        <v>0</v>
      </c>
      <c r="R218" s="587">
        <v>0</v>
      </c>
      <c r="S218" s="584">
        <v>0</v>
      </c>
      <c r="T218" s="584">
        <v>0</v>
      </c>
      <c r="U218" s="588">
        <v>0</v>
      </c>
      <c r="V218" s="170">
        <v>0</v>
      </c>
    </row>
    <row r="219" spans="1:22">
      <c r="A219" s="554"/>
      <c r="B219" s="556" t="s">
        <v>730</v>
      </c>
      <c r="C219" s="566">
        <v>9232.7626699629163</v>
      </c>
      <c r="D219" s="94">
        <v>8975</v>
      </c>
      <c r="E219" s="94">
        <v>8707.9842381786348</v>
      </c>
      <c r="F219" s="94">
        <v>7493.395348837209</v>
      </c>
      <c r="G219" s="95">
        <v>0</v>
      </c>
      <c r="H219" s="567">
        <v>10810.062015503876</v>
      </c>
      <c r="I219" s="568">
        <v>8650.3227902946273</v>
      </c>
      <c r="J219" s="569">
        <v>0</v>
      </c>
      <c r="K219" s="94">
        <v>8781.2201754385969</v>
      </c>
      <c r="L219" s="94">
        <v>9239.9002493765583</v>
      </c>
      <c r="M219" s="94">
        <v>11436.101010101011</v>
      </c>
      <c r="N219" s="570">
        <v>9090.2327290543853</v>
      </c>
      <c r="O219" s="571">
        <v>0</v>
      </c>
      <c r="P219" s="566">
        <v>0</v>
      </c>
      <c r="Q219" s="572">
        <v>0</v>
      </c>
      <c r="R219" s="569">
        <v>0</v>
      </c>
      <c r="S219" s="570">
        <v>0</v>
      </c>
      <c r="T219" s="570">
        <v>0</v>
      </c>
      <c r="U219" s="571">
        <v>0</v>
      </c>
      <c r="V219" s="170">
        <v>0</v>
      </c>
    </row>
    <row r="220" spans="1:22">
      <c r="A220" s="554"/>
      <c r="B220" s="573" t="s">
        <v>732</v>
      </c>
      <c r="C220" s="574">
        <v>9213</v>
      </c>
      <c r="D220" s="226">
        <v>9373</v>
      </c>
      <c r="E220" s="226">
        <v>9794.5204170286706</v>
      </c>
      <c r="F220" s="226">
        <v>7496.2950039651068</v>
      </c>
      <c r="G220" s="226">
        <v>0</v>
      </c>
      <c r="H220" s="575">
        <v>0</v>
      </c>
      <c r="I220" s="576">
        <v>8898.2030625832231</v>
      </c>
      <c r="J220" s="577">
        <v>0</v>
      </c>
      <c r="K220" s="226">
        <v>6250.5570962479605</v>
      </c>
      <c r="L220" s="226">
        <v>9495.5276752767531</v>
      </c>
      <c r="M220" s="226">
        <v>11160.566037735849</v>
      </c>
      <c r="N220" s="226">
        <v>7723.1081585081583</v>
      </c>
      <c r="O220" s="578">
        <v>0</v>
      </c>
      <c r="P220" s="574">
        <v>0</v>
      </c>
      <c r="Q220" s="579">
        <v>0</v>
      </c>
      <c r="R220" s="577">
        <v>0</v>
      </c>
      <c r="S220" s="226">
        <v>0</v>
      </c>
      <c r="T220" s="226">
        <v>0</v>
      </c>
      <c r="U220" s="578">
        <v>0</v>
      </c>
      <c r="V220" s="170">
        <v>0</v>
      </c>
    </row>
    <row r="221" spans="1:22">
      <c r="A221" s="580"/>
      <c r="B221" s="581" t="s">
        <v>497</v>
      </c>
      <c r="C221" s="582">
        <v>-0.21404936603873206</v>
      </c>
      <c r="D221" s="584">
        <v>4.4345403899721445</v>
      </c>
      <c r="E221" s="584">
        <v>12.477470665212138</v>
      </c>
      <c r="F221" s="584">
        <v>3.8696144977160639E-2</v>
      </c>
      <c r="G221" s="584">
        <v>0</v>
      </c>
      <c r="H221" s="585">
        <v>-100</v>
      </c>
      <c r="I221" s="586">
        <v>2.8655609541728211</v>
      </c>
      <c r="J221" s="587">
        <v>0</v>
      </c>
      <c r="K221" s="584">
        <v>-28.819036860833947</v>
      </c>
      <c r="L221" s="584">
        <v>2.7665604497996901</v>
      </c>
      <c r="M221" s="584">
        <v>-2.4093436401251922</v>
      </c>
      <c r="N221" s="584">
        <v>-15.039489211058324</v>
      </c>
      <c r="O221" s="588">
        <v>0</v>
      </c>
      <c r="P221" s="582">
        <v>0</v>
      </c>
      <c r="Q221" s="589">
        <v>0</v>
      </c>
      <c r="R221" s="587">
        <v>0</v>
      </c>
      <c r="S221" s="584">
        <v>0</v>
      </c>
      <c r="T221" s="584">
        <v>0</v>
      </c>
      <c r="U221" s="588">
        <v>0</v>
      </c>
      <c r="V221" s="170">
        <v>0</v>
      </c>
    </row>
    <row r="222" spans="1:22">
      <c r="A222" s="554"/>
      <c r="B222" s="556" t="s">
        <v>734</v>
      </c>
      <c r="C222" s="566">
        <v>0</v>
      </c>
      <c r="D222" s="94">
        <v>0</v>
      </c>
      <c r="E222" s="94">
        <v>0</v>
      </c>
      <c r="F222" s="94">
        <v>0</v>
      </c>
      <c r="G222" s="95">
        <v>0</v>
      </c>
      <c r="H222" s="567">
        <v>0</v>
      </c>
      <c r="I222" s="568">
        <v>0</v>
      </c>
      <c r="J222" s="569">
        <v>0</v>
      </c>
      <c r="K222" s="94">
        <v>433.30837004405288</v>
      </c>
      <c r="L222" s="94">
        <v>304.12154696132598</v>
      </c>
      <c r="M222" s="94">
        <v>297.63114754098359</v>
      </c>
      <c r="N222" s="570">
        <v>370.54675028506273</v>
      </c>
      <c r="O222" s="571">
        <v>0</v>
      </c>
      <c r="P222" s="566">
        <v>0</v>
      </c>
      <c r="Q222" s="572">
        <v>0</v>
      </c>
      <c r="R222" s="569">
        <v>0</v>
      </c>
      <c r="S222" s="570">
        <v>0</v>
      </c>
      <c r="T222" s="570">
        <v>0</v>
      </c>
      <c r="U222" s="571">
        <v>0</v>
      </c>
      <c r="V222" s="170">
        <v>0</v>
      </c>
    </row>
    <row r="223" spans="1:22">
      <c r="A223" s="554"/>
      <c r="B223" s="573" t="s">
        <v>736</v>
      </c>
      <c r="C223" s="574">
        <v>0</v>
      </c>
      <c r="D223" s="226">
        <v>0</v>
      </c>
      <c r="E223" s="226">
        <v>0</v>
      </c>
      <c r="F223" s="226">
        <v>0</v>
      </c>
      <c r="G223" s="226">
        <v>0</v>
      </c>
      <c r="H223" s="575">
        <v>0</v>
      </c>
      <c r="I223" s="576">
        <v>0</v>
      </c>
      <c r="J223" s="577">
        <v>0</v>
      </c>
      <c r="K223" s="226">
        <v>424.6746463547334</v>
      </c>
      <c r="L223" s="226">
        <v>304.85013623978199</v>
      </c>
      <c r="M223" s="226">
        <v>187.48387096774192</v>
      </c>
      <c r="N223" s="226">
        <v>358.62915025323576</v>
      </c>
      <c r="O223" s="578">
        <v>0</v>
      </c>
      <c r="P223" s="574">
        <v>0</v>
      </c>
      <c r="Q223" s="579">
        <v>0</v>
      </c>
      <c r="R223" s="577">
        <v>0</v>
      </c>
      <c r="S223" s="226">
        <v>0</v>
      </c>
      <c r="T223" s="226">
        <v>0</v>
      </c>
      <c r="U223" s="578">
        <v>0</v>
      </c>
      <c r="V223" s="170">
        <v>0</v>
      </c>
    </row>
    <row r="224" spans="1:22">
      <c r="A224" s="580"/>
      <c r="B224" s="581" t="s">
        <v>499</v>
      </c>
      <c r="C224" s="582">
        <v>0</v>
      </c>
      <c r="D224" s="584">
        <v>0</v>
      </c>
      <c r="E224" s="584">
        <v>0</v>
      </c>
      <c r="F224" s="584">
        <v>0</v>
      </c>
      <c r="G224" s="584">
        <v>0</v>
      </c>
      <c r="H224" s="585">
        <v>0</v>
      </c>
      <c r="I224" s="586">
        <v>0</v>
      </c>
      <c r="J224" s="587">
        <v>0</v>
      </c>
      <c r="K224" s="584">
        <v>-1.99251255830616</v>
      </c>
      <c r="L224" s="584">
        <v>0.23957173891025396</v>
      </c>
      <c r="M224" s="584">
        <v>-37.007980341867437</v>
      </c>
      <c r="N224" s="584">
        <v>-3.2162203615761622</v>
      </c>
      <c r="O224" s="588">
        <v>0</v>
      </c>
      <c r="P224" s="582">
        <v>0</v>
      </c>
      <c r="Q224" s="589">
        <v>0</v>
      </c>
      <c r="R224" s="587">
        <v>0</v>
      </c>
      <c r="S224" s="584">
        <v>0</v>
      </c>
      <c r="T224" s="584">
        <v>0</v>
      </c>
      <c r="U224" s="588">
        <v>0</v>
      </c>
      <c r="V224" s="170">
        <v>0</v>
      </c>
    </row>
    <row r="225" spans="1:22">
      <c r="A225" s="554"/>
      <c r="B225" s="556" t="s">
        <v>738</v>
      </c>
      <c r="C225" s="566">
        <v>6577.9854058096416</v>
      </c>
      <c r="D225" s="94">
        <v>5710.5431008333335</v>
      </c>
      <c r="E225" s="94">
        <v>5072.3053792160435</v>
      </c>
      <c r="F225" s="94">
        <v>4839.8615358823527</v>
      </c>
      <c r="G225" s="95">
        <v>0</v>
      </c>
      <c r="H225" s="567">
        <v>4731.7482517482522</v>
      </c>
      <c r="I225" s="568">
        <v>5578.4188515964242</v>
      </c>
      <c r="J225" s="569">
        <v>0</v>
      </c>
      <c r="K225" s="94">
        <v>5236.0138462526766</v>
      </c>
      <c r="L225" s="94">
        <v>4682.2376894679701</v>
      </c>
      <c r="M225" s="94">
        <v>4718.3916325203245</v>
      </c>
      <c r="N225" s="570">
        <v>5001.3736120245394</v>
      </c>
      <c r="O225" s="571">
        <v>0</v>
      </c>
      <c r="P225" s="566">
        <v>0</v>
      </c>
      <c r="Q225" s="572">
        <v>0</v>
      </c>
      <c r="R225" s="569">
        <v>0</v>
      </c>
      <c r="S225" s="570">
        <v>0</v>
      </c>
      <c r="T225" s="570">
        <v>0</v>
      </c>
      <c r="U225" s="571">
        <v>0</v>
      </c>
      <c r="V225" s="170">
        <v>0</v>
      </c>
    </row>
    <row r="226" spans="1:22">
      <c r="A226" s="554"/>
      <c r="B226" s="573" t="s">
        <v>740</v>
      </c>
      <c r="C226" s="574">
        <v>6531.4944974581531</v>
      </c>
      <c r="D226" s="226">
        <v>5743.1337022869029</v>
      </c>
      <c r="E226" s="226">
        <v>5020.3059218411554</v>
      </c>
      <c r="F226" s="226">
        <v>5082.6079974044696</v>
      </c>
      <c r="G226" s="226">
        <v>0</v>
      </c>
      <c r="H226" s="575">
        <v>0</v>
      </c>
      <c r="I226" s="576">
        <v>5646.0719522771842</v>
      </c>
      <c r="J226" s="577">
        <v>0</v>
      </c>
      <c r="K226" s="226">
        <v>5242.9220815642457</v>
      </c>
      <c r="L226" s="226">
        <v>4692.000866163793</v>
      </c>
      <c r="M226" s="226">
        <v>4639.658364516129</v>
      </c>
      <c r="N226" s="226">
        <v>5006.9882696457325</v>
      </c>
      <c r="O226" s="578">
        <v>0</v>
      </c>
      <c r="P226" s="574">
        <v>0</v>
      </c>
      <c r="Q226" s="579">
        <v>0</v>
      </c>
      <c r="R226" s="577">
        <v>0</v>
      </c>
      <c r="S226" s="226">
        <v>0</v>
      </c>
      <c r="T226" s="226">
        <v>0</v>
      </c>
      <c r="U226" s="578">
        <v>0</v>
      </c>
      <c r="V226" s="170">
        <v>0</v>
      </c>
    </row>
    <row r="227" spans="1:22">
      <c r="A227" s="580"/>
      <c r="B227" s="581" t="s">
        <v>569</v>
      </c>
      <c r="C227" s="582">
        <v>-0.70676514895317377</v>
      </c>
      <c r="D227" s="584">
        <v>0.5707093157008748</v>
      </c>
      <c r="E227" s="584">
        <v>-1.0251641706739076</v>
      </c>
      <c r="F227" s="584">
        <v>5.0155662454889223</v>
      </c>
      <c r="G227" s="584">
        <v>0</v>
      </c>
      <c r="H227" s="585">
        <v>-100</v>
      </c>
      <c r="I227" s="586">
        <v>1.2127648081032691</v>
      </c>
      <c r="J227" s="587">
        <v>0</v>
      </c>
      <c r="K227" s="584">
        <v>0.13193691832028323</v>
      </c>
      <c r="L227" s="584">
        <v>0.20851518746653619</v>
      </c>
      <c r="M227" s="584">
        <v>-1.6686463128992146</v>
      </c>
      <c r="N227" s="584">
        <v>0.11226231145168039</v>
      </c>
      <c r="O227" s="588">
        <v>0</v>
      </c>
      <c r="P227" s="582">
        <v>0</v>
      </c>
      <c r="Q227" s="589">
        <v>0</v>
      </c>
      <c r="R227" s="587">
        <v>0</v>
      </c>
      <c r="S227" s="584">
        <v>0</v>
      </c>
      <c r="T227" s="584">
        <v>0</v>
      </c>
      <c r="U227" s="588">
        <v>0</v>
      </c>
      <c r="V227" s="170">
        <v>0</v>
      </c>
    </row>
    <row r="228" spans="1:22">
      <c r="A228" s="554"/>
      <c r="B228" s="556" t="s">
        <v>742</v>
      </c>
      <c r="C228" s="566">
        <v>111.15945611866502</v>
      </c>
      <c r="D228" s="94">
        <v>85.970833333333331</v>
      </c>
      <c r="E228" s="94">
        <v>77.335376532399295</v>
      </c>
      <c r="F228" s="94">
        <v>319.36985294117648</v>
      </c>
      <c r="G228" s="95">
        <v>0</v>
      </c>
      <c r="H228" s="567">
        <v>67.8041958041958</v>
      </c>
      <c r="I228" s="568">
        <v>158.86105840185536</v>
      </c>
      <c r="J228" s="569">
        <v>0</v>
      </c>
      <c r="K228" s="94">
        <v>0</v>
      </c>
      <c r="L228" s="94">
        <v>65.734693877551024</v>
      </c>
      <c r="M228" s="94">
        <v>194.65789473684211</v>
      </c>
      <c r="N228" s="570">
        <v>89.119331742243432</v>
      </c>
      <c r="O228" s="571">
        <v>0</v>
      </c>
      <c r="P228" s="566">
        <v>0</v>
      </c>
      <c r="Q228" s="572">
        <v>0</v>
      </c>
      <c r="R228" s="569">
        <v>0</v>
      </c>
      <c r="S228" s="570">
        <v>0</v>
      </c>
      <c r="T228" s="570">
        <v>0</v>
      </c>
      <c r="U228" s="571">
        <v>0</v>
      </c>
      <c r="V228" s="170">
        <v>0</v>
      </c>
    </row>
    <row r="229" spans="1:22">
      <c r="A229" s="554"/>
      <c r="B229" s="573" t="s">
        <v>567</v>
      </c>
      <c r="C229" s="574">
        <v>110.26596404215746</v>
      </c>
      <c r="D229" s="226">
        <v>239.8939708939709</v>
      </c>
      <c r="E229" s="226">
        <v>93.728931364031283</v>
      </c>
      <c r="F229" s="226">
        <v>365.67123287671234</v>
      </c>
      <c r="G229" s="226">
        <v>0</v>
      </c>
      <c r="H229" s="575">
        <v>0</v>
      </c>
      <c r="I229" s="576">
        <v>196.09585492227978</v>
      </c>
      <c r="J229" s="577">
        <v>0</v>
      </c>
      <c r="K229" s="226">
        <v>0</v>
      </c>
      <c r="L229" s="226">
        <v>104.28528528528528</v>
      </c>
      <c r="M229" s="226">
        <v>228.08750000000001</v>
      </c>
      <c r="N229" s="226">
        <v>128.26634382566587</v>
      </c>
      <c r="O229" s="578">
        <v>0</v>
      </c>
      <c r="P229" s="574">
        <v>0</v>
      </c>
      <c r="Q229" s="579">
        <v>0</v>
      </c>
      <c r="R229" s="577">
        <v>0</v>
      </c>
      <c r="S229" s="226">
        <v>0</v>
      </c>
      <c r="T229" s="226">
        <v>0</v>
      </c>
      <c r="U229" s="578">
        <v>0</v>
      </c>
      <c r="V229" s="170">
        <v>0</v>
      </c>
    </row>
    <row r="230" spans="1:22">
      <c r="A230" s="580"/>
      <c r="B230" s="581" t="s">
        <v>37</v>
      </c>
      <c r="C230" s="582">
        <v>-0.80379313439041555</v>
      </c>
      <c r="D230" s="584">
        <v>179.04111382035097</v>
      </c>
      <c r="E230" s="584">
        <v>21.1980022167009</v>
      </c>
      <c r="F230" s="584">
        <v>14.497730298940878</v>
      </c>
      <c r="G230" s="584">
        <v>0</v>
      </c>
      <c r="H230" s="585">
        <v>-100</v>
      </c>
      <c r="I230" s="586">
        <v>23.438592752060849</v>
      </c>
      <c r="J230" s="587">
        <v>0</v>
      </c>
      <c r="K230" s="584">
        <v>0</v>
      </c>
      <c r="L230" s="584">
        <v>58.64573048677363</v>
      </c>
      <c r="M230" s="584">
        <v>17.173516290387994</v>
      </c>
      <c r="N230" s="584">
        <v>43.926509903200248</v>
      </c>
      <c r="O230" s="588">
        <v>0</v>
      </c>
      <c r="P230" s="582">
        <v>0</v>
      </c>
      <c r="Q230" s="589">
        <v>0</v>
      </c>
      <c r="R230" s="587">
        <v>0</v>
      </c>
      <c r="S230" s="584">
        <v>0</v>
      </c>
      <c r="T230" s="584">
        <v>0</v>
      </c>
      <c r="U230" s="588">
        <v>0</v>
      </c>
      <c r="V230" s="170">
        <v>0</v>
      </c>
    </row>
    <row r="231" spans="1:22">
      <c r="A231" s="554"/>
      <c r="B231" s="556" t="s">
        <v>571</v>
      </c>
      <c r="C231" s="566">
        <v>0</v>
      </c>
      <c r="D231" s="94">
        <v>0</v>
      </c>
      <c r="E231" s="94">
        <v>0</v>
      </c>
      <c r="F231" s="94">
        <v>0</v>
      </c>
      <c r="G231" s="95">
        <v>0</v>
      </c>
      <c r="H231" s="567">
        <v>0</v>
      </c>
      <c r="I231" s="568">
        <v>0</v>
      </c>
      <c r="J231" s="569">
        <v>0</v>
      </c>
      <c r="K231" s="94">
        <v>265.84324013104015</v>
      </c>
      <c r="L231" s="94">
        <v>184.73464683357878</v>
      </c>
      <c r="M231" s="94">
        <v>196.60175901639343</v>
      </c>
      <c r="N231" s="570">
        <v>234.42870227497528</v>
      </c>
      <c r="O231" s="571">
        <v>0</v>
      </c>
      <c r="P231" s="566">
        <v>0</v>
      </c>
      <c r="Q231" s="572">
        <v>0</v>
      </c>
      <c r="R231" s="569">
        <v>0</v>
      </c>
      <c r="S231" s="570">
        <v>0</v>
      </c>
      <c r="T231" s="570">
        <v>0</v>
      </c>
      <c r="U231" s="571">
        <v>0</v>
      </c>
      <c r="V231" s="170">
        <v>0</v>
      </c>
    </row>
    <row r="232" spans="1:22">
      <c r="A232" s="554"/>
      <c r="B232" s="573" t="s">
        <v>573</v>
      </c>
      <c r="C232" s="574">
        <v>0</v>
      </c>
      <c r="D232" s="226">
        <v>0</v>
      </c>
      <c r="E232" s="226">
        <v>0</v>
      </c>
      <c r="F232" s="226">
        <v>0</v>
      </c>
      <c r="G232" s="226">
        <v>0</v>
      </c>
      <c r="H232" s="575">
        <v>0</v>
      </c>
      <c r="I232" s="576">
        <v>0</v>
      </c>
      <c r="J232" s="577">
        <v>0</v>
      </c>
      <c r="K232" s="226">
        <v>229.76800638467677</v>
      </c>
      <c r="L232" s="226">
        <v>173.59061329479769</v>
      </c>
      <c r="M232" s="226">
        <v>148.97175322580645</v>
      </c>
      <c r="N232" s="226">
        <v>206.13654606089898</v>
      </c>
      <c r="O232" s="578">
        <v>0</v>
      </c>
      <c r="P232" s="574">
        <v>0</v>
      </c>
      <c r="Q232" s="579">
        <v>0</v>
      </c>
      <c r="R232" s="577">
        <v>0</v>
      </c>
      <c r="S232" s="226">
        <v>0</v>
      </c>
      <c r="T232" s="226">
        <v>0</v>
      </c>
      <c r="U232" s="578">
        <v>0</v>
      </c>
      <c r="V232" s="170">
        <v>0</v>
      </c>
    </row>
    <row r="233" spans="1:22">
      <c r="A233" s="580"/>
      <c r="B233" s="581" t="s">
        <v>39</v>
      </c>
      <c r="C233" s="582">
        <v>0</v>
      </c>
      <c r="D233" s="584">
        <v>0</v>
      </c>
      <c r="E233" s="584">
        <v>0</v>
      </c>
      <c r="F233" s="584">
        <v>0</v>
      </c>
      <c r="G233" s="584">
        <v>0</v>
      </c>
      <c r="H233" s="585">
        <v>0</v>
      </c>
      <c r="I233" s="586">
        <v>0</v>
      </c>
      <c r="J233" s="587">
        <v>0</v>
      </c>
      <c r="K233" s="584">
        <v>-13.570115128216569</v>
      </c>
      <c r="L233" s="584">
        <v>-6.032454512347309</v>
      </c>
      <c r="M233" s="584">
        <v>-24.226642746678273</v>
      </c>
      <c r="N233" s="584">
        <v>-12.068554720270882</v>
      </c>
      <c r="O233" s="588">
        <v>0</v>
      </c>
      <c r="P233" s="582">
        <v>0</v>
      </c>
      <c r="Q233" s="589">
        <v>0</v>
      </c>
      <c r="R233" s="587">
        <v>0</v>
      </c>
      <c r="S233" s="584">
        <v>0</v>
      </c>
      <c r="T233" s="584">
        <v>0</v>
      </c>
      <c r="U233" s="588">
        <v>0</v>
      </c>
      <c r="V233" s="170">
        <v>0</v>
      </c>
    </row>
    <row r="234" spans="1:22">
      <c r="A234" s="554"/>
      <c r="B234" s="556" t="s">
        <v>575</v>
      </c>
      <c r="C234" s="566">
        <v>321.34721186650182</v>
      </c>
      <c r="D234" s="94">
        <v>254.42923875</v>
      </c>
      <c r="E234" s="94">
        <v>349.12677600700528</v>
      </c>
      <c r="F234" s="94">
        <v>577.52719004854373</v>
      </c>
      <c r="G234" s="95">
        <v>0</v>
      </c>
      <c r="H234" s="567">
        <v>0</v>
      </c>
      <c r="I234" s="568">
        <v>373.1916845964567</v>
      </c>
      <c r="J234" s="569">
        <v>0</v>
      </c>
      <c r="K234" s="94">
        <v>277.03866501240691</v>
      </c>
      <c r="L234" s="94">
        <v>230.7179444082519</v>
      </c>
      <c r="M234" s="94">
        <v>297.99098699186993</v>
      </c>
      <c r="N234" s="570">
        <v>249.33704229440224</v>
      </c>
      <c r="O234" s="571">
        <v>0</v>
      </c>
      <c r="P234" s="566">
        <v>0</v>
      </c>
      <c r="Q234" s="572">
        <v>0</v>
      </c>
      <c r="R234" s="569">
        <v>0</v>
      </c>
      <c r="S234" s="570">
        <v>0</v>
      </c>
      <c r="T234" s="570">
        <v>0</v>
      </c>
      <c r="U234" s="571">
        <v>0</v>
      </c>
      <c r="V234" s="170">
        <v>0</v>
      </c>
    </row>
    <row r="235" spans="1:22">
      <c r="A235" s="554"/>
      <c r="B235" s="573" t="s">
        <v>577</v>
      </c>
      <c r="C235" s="574">
        <v>318.64262715437076</v>
      </c>
      <c r="D235" s="226">
        <v>253.51680083160085</v>
      </c>
      <c r="E235" s="226">
        <v>193.24694926151173</v>
      </c>
      <c r="F235" s="226">
        <v>609.15044958677686</v>
      </c>
      <c r="G235" s="226">
        <v>0</v>
      </c>
      <c r="H235" s="575">
        <v>0</v>
      </c>
      <c r="I235" s="576">
        <v>335.84794921798635</v>
      </c>
      <c r="J235" s="577">
        <v>0</v>
      </c>
      <c r="K235" s="226">
        <v>284.40755518072291</v>
      </c>
      <c r="L235" s="226">
        <v>220.11578491379311</v>
      </c>
      <c r="M235" s="226">
        <v>267.1384580645161</v>
      </c>
      <c r="N235" s="226">
        <v>242.27794996591683</v>
      </c>
      <c r="O235" s="578">
        <v>0</v>
      </c>
      <c r="P235" s="574">
        <v>0</v>
      </c>
      <c r="Q235" s="579">
        <v>0</v>
      </c>
      <c r="R235" s="577">
        <v>0</v>
      </c>
      <c r="S235" s="226">
        <v>0</v>
      </c>
      <c r="T235" s="226">
        <v>0</v>
      </c>
      <c r="U235" s="578">
        <v>0</v>
      </c>
      <c r="V235" s="170">
        <v>0</v>
      </c>
    </row>
    <row r="236" spans="1:22">
      <c r="A236" s="580"/>
      <c r="B236" s="581" t="s">
        <v>501</v>
      </c>
      <c r="C236" s="582">
        <v>-0.8416393895007992</v>
      </c>
      <c r="D236" s="584">
        <v>-0.35862148661919435</v>
      </c>
      <c r="E236" s="584">
        <v>-44.648488015816298</v>
      </c>
      <c r="F236" s="584">
        <v>5.4756312920219488</v>
      </c>
      <c r="G236" s="584">
        <v>0</v>
      </c>
      <c r="H236" s="585">
        <v>0</v>
      </c>
      <c r="I236" s="586">
        <v>-10.006582922352955</v>
      </c>
      <c r="J236" s="587">
        <v>0</v>
      </c>
      <c r="K236" s="584">
        <v>2.659877879495987</v>
      </c>
      <c r="L236" s="584">
        <v>-4.5952903757231942</v>
      </c>
      <c r="M236" s="584">
        <v>-10.353510768497028</v>
      </c>
      <c r="N236" s="584">
        <v>-2.8311446480344675</v>
      </c>
      <c r="O236" s="588">
        <v>0</v>
      </c>
      <c r="P236" s="582">
        <v>0</v>
      </c>
      <c r="Q236" s="589">
        <v>0</v>
      </c>
      <c r="R236" s="587">
        <v>0</v>
      </c>
      <c r="S236" s="584">
        <v>0</v>
      </c>
      <c r="T236" s="584">
        <v>0</v>
      </c>
      <c r="U236" s="588">
        <v>0</v>
      </c>
      <c r="V236" s="170">
        <v>0</v>
      </c>
    </row>
    <row r="237" spans="1:22">
      <c r="A237" s="554"/>
      <c r="B237" s="556" t="s">
        <v>579</v>
      </c>
      <c r="C237" s="566">
        <v>4750.5086419753088</v>
      </c>
      <c r="D237" s="94">
        <v>0</v>
      </c>
      <c r="E237" s="94">
        <v>3397.48</v>
      </c>
      <c r="F237" s="94">
        <v>4540.198198198198</v>
      </c>
      <c r="G237" s="95">
        <v>0</v>
      </c>
      <c r="H237" s="567">
        <v>10995</v>
      </c>
      <c r="I237" s="568">
        <v>4524.4765751211635</v>
      </c>
      <c r="J237" s="569">
        <v>0</v>
      </c>
      <c r="K237" s="94">
        <v>0</v>
      </c>
      <c r="L237" s="94">
        <v>942.2373540856031</v>
      </c>
      <c r="M237" s="94">
        <v>1224.4285714285713</v>
      </c>
      <c r="N237" s="570">
        <v>949.719696969697</v>
      </c>
      <c r="O237" s="571">
        <v>0</v>
      </c>
      <c r="P237" s="566">
        <v>0</v>
      </c>
      <c r="Q237" s="572">
        <v>0</v>
      </c>
      <c r="R237" s="569">
        <v>0</v>
      </c>
      <c r="S237" s="570">
        <v>0</v>
      </c>
      <c r="T237" s="570">
        <v>0</v>
      </c>
      <c r="U237" s="571">
        <v>0</v>
      </c>
      <c r="V237" s="170">
        <v>0</v>
      </c>
    </row>
    <row r="238" spans="1:22">
      <c r="A238" s="554"/>
      <c r="B238" s="573" t="s">
        <v>581</v>
      </c>
      <c r="C238" s="574">
        <v>4516.4372294372297</v>
      </c>
      <c r="D238" s="226">
        <v>0</v>
      </c>
      <c r="E238" s="226">
        <v>3910.3255813953488</v>
      </c>
      <c r="F238" s="226">
        <v>4092.2087912087914</v>
      </c>
      <c r="G238" s="226">
        <v>0</v>
      </c>
      <c r="H238" s="575">
        <v>0</v>
      </c>
      <c r="I238" s="576">
        <v>4374.4491392801256</v>
      </c>
      <c r="J238" s="577">
        <v>0</v>
      </c>
      <c r="K238" s="226">
        <v>0</v>
      </c>
      <c r="L238" s="226">
        <v>914.27376425855516</v>
      </c>
      <c r="M238" s="226">
        <v>969</v>
      </c>
      <c r="N238" s="226">
        <v>915.49442379182153</v>
      </c>
      <c r="O238" s="578">
        <v>0</v>
      </c>
      <c r="P238" s="574">
        <v>0</v>
      </c>
      <c r="Q238" s="579">
        <v>0</v>
      </c>
      <c r="R238" s="577">
        <v>0</v>
      </c>
      <c r="S238" s="226">
        <v>0</v>
      </c>
      <c r="T238" s="226">
        <v>0</v>
      </c>
      <c r="U238" s="578">
        <v>0</v>
      </c>
      <c r="V238" s="170">
        <v>0</v>
      </c>
    </row>
    <row r="239" spans="1:22">
      <c r="A239" s="580"/>
      <c r="B239" s="581" t="s">
        <v>503</v>
      </c>
      <c r="C239" s="582">
        <v>-4.9272915845228287</v>
      </c>
      <c r="D239" s="584">
        <v>0</v>
      </c>
      <c r="E239" s="584">
        <v>15.094881541476294</v>
      </c>
      <c r="F239" s="584">
        <v>-9.8671773220647871</v>
      </c>
      <c r="G239" s="584">
        <v>0</v>
      </c>
      <c r="H239" s="585">
        <v>-100</v>
      </c>
      <c r="I239" s="586">
        <v>-3.3159070082492414</v>
      </c>
      <c r="J239" s="587">
        <v>0</v>
      </c>
      <c r="K239" s="584">
        <v>0</v>
      </c>
      <c r="L239" s="584">
        <v>-2.9677861640483658</v>
      </c>
      <c r="M239" s="584">
        <v>-20.861043052152599</v>
      </c>
      <c r="N239" s="584">
        <v>-3.6037236341500773</v>
      </c>
      <c r="O239" s="588">
        <v>0</v>
      </c>
      <c r="P239" s="582">
        <v>0</v>
      </c>
      <c r="Q239" s="589">
        <v>0</v>
      </c>
      <c r="R239" s="587">
        <v>0</v>
      </c>
      <c r="S239" s="584">
        <v>0</v>
      </c>
      <c r="T239" s="584">
        <v>0</v>
      </c>
      <c r="U239" s="588">
        <v>0</v>
      </c>
      <c r="V239" s="170">
        <v>0</v>
      </c>
    </row>
    <row r="240" spans="1:22">
      <c r="A240" s="554"/>
      <c r="B240" s="556" t="s">
        <v>583</v>
      </c>
      <c r="C240" s="566">
        <v>0</v>
      </c>
      <c r="D240" s="94">
        <v>0</v>
      </c>
      <c r="E240" s="94">
        <v>0</v>
      </c>
      <c r="F240" s="94">
        <v>0</v>
      </c>
      <c r="G240" s="95">
        <v>0</v>
      </c>
      <c r="H240" s="567">
        <v>0</v>
      </c>
      <c r="I240" s="568">
        <v>0</v>
      </c>
      <c r="J240" s="569">
        <v>0</v>
      </c>
      <c r="K240" s="94">
        <v>0</v>
      </c>
      <c r="L240" s="94">
        <v>357.06</v>
      </c>
      <c r="M240" s="94">
        <v>2000</v>
      </c>
      <c r="N240" s="570">
        <v>499.59817351598173</v>
      </c>
      <c r="O240" s="571">
        <v>0</v>
      </c>
      <c r="P240" s="566">
        <v>0</v>
      </c>
      <c r="Q240" s="572">
        <v>0</v>
      </c>
      <c r="R240" s="569">
        <v>0</v>
      </c>
      <c r="S240" s="570">
        <v>0</v>
      </c>
      <c r="T240" s="570">
        <v>0</v>
      </c>
      <c r="U240" s="571">
        <v>0</v>
      </c>
      <c r="V240" s="170">
        <v>0</v>
      </c>
    </row>
    <row r="241" spans="1:22">
      <c r="A241" s="554"/>
      <c r="B241" s="573" t="s">
        <v>585</v>
      </c>
      <c r="C241" s="574">
        <v>0</v>
      </c>
      <c r="D241" s="226">
        <v>0</v>
      </c>
      <c r="E241" s="226">
        <v>0</v>
      </c>
      <c r="F241" s="226">
        <v>0</v>
      </c>
      <c r="G241" s="226">
        <v>0</v>
      </c>
      <c r="H241" s="575">
        <v>0</v>
      </c>
      <c r="I241" s="576">
        <v>0</v>
      </c>
      <c r="J241" s="577">
        <v>0</v>
      </c>
      <c r="K241" s="226">
        <v>0</v>
      </c>
      <c r="L241" s="226">
        <v>372.60952380952381</v>
      </c>
      <c r="M241" s="226">
        <v>2000</v>
      </c>
      <c r="N241" s="226">
        <v>474.32142857142856</v>
      </c>
      <c r="O241" s="578">
        <v>0</v>
      </c>
      <c r="P241" s="574">
        <v>0</v>
      </c>
      <c r="Q241" s="579">
        <v>0</v>
      </c>
      <c r="R241" s="577">
        <v>0</v>
      </c>
      <c r="S241" s="226">
        <v>0</v>
      </c>
      <c r="T241" s="226">
        <v>0</v>
      </c>
      <c r="U241" s="578">
        <v>0</v>
      </c>
      <c r="V241" s="170">
        <v>0</v>
      </c>
    </row>
    <row r="242" spans="1:22">
      <c r="A242" s="580"/>
      <c r="B242" s="581" t="s">
        <v>694</v>
      </c>
      <c r="C242" s="582">
        <v>0</v>
      </c>
      <c r="D242" s="584">
        <v>0</v>
      </c>
      <c r="E242" s="584">
        <v>0</v>
      </c>
      <c r="F242" s="584">
        <v>0</v>
      </c>
      <c r="G242" s="584">
        <v>0</v>
      </c>
      <c r="H242" s="585">
        <v>0</v>
      </c>
      <c r="I242" s="586">
        <v>0</v>
      </c>
      <c r="J242" s="587">
        <v>0</v>
      </c>
      <c r="K242" s="584">
        <v>0</v>
      </c>
      <c r="L242" s="584">
        <v>4.3548769981302318</v>
      </c>
      <c r="M242" s="584">
        <v>0</v>
      </c>
      <c r="N242" s="584">
        <v>-5.0594150027941582</v>
      </c>
      <c r="O242" s="588">
        <v>0</v>
      </c>
      <c r="P242" s="582">
        <v>0</v>
      </c>
      <c r="Q242" s="589">
        <v>0</v>
      </c>
      <c r="R242" s="587">
        <v>0</v>
      </c>
      <c r="S242" s="584">
        <v>0</v>
      </c>
      <c r="T242" s="584">
        <v>0</v>
      </c>
      <c r="U242" s="588">
        <v>0</v>
      </c>
      <c r="V242" s="170">
        <v>0</v>
      </c>
    </row>
    <row r="243" spans="1:22">
      <c r="A243" s="554"/>
      <c r="B243" s="556" t="s">
        <v>587</v>
      </c>
      <c r="C243" s="566">
        <v>25014.448475067988</v>
      </c>
      <c r="D243" s="94">
        <v>21309.537714291666</v>
      </c>
      <c r="E243" s="94">
        <v>19687.750067565674</v>
      </c>
      <c r="F243" s="94">
        <v>18983.262035</v>
      </c>
      <c r="G243" s="95">
        <v>0</v>
      </c>
      <c r="H243" s="567">
        <v>20366.04895104895</v>
      </c>
      <c r="I243" s="568">
        <v>21487.444166198609</v>
      </c>
      <c r="J243" s="569">
        <v>0</v>
      </c>
      <c r="K243" s="94">
        <v>17709.04475401856</v>
      </c>
      <c r="L243" s="94">
        <v>19447.325250508107</v>
      </c>
      <c r="M243" s="94">
        <v>20324.610853821137</v>
      </c>
      <c r="N243" s="570">
        <v>18496.968024548794</v>
      </c>
      <c r="O243" s="571">
        <v>0</v>
      </c>
      <c r="P243" s="566">
        <v>0</v>
      </c>
      <c r="Q243" s="572">
        <v>0</v>
      </c>
      <c r="R243" s="569">
        <v>0</v>
      </c>
      <c r="S243" s="570">
        <v>0</v>
      </c>
      <c r="T243" s="570">
        <v>0</v>
      </c>
      <c r="U243" s="571">
        <v>0</v>
      </c>
      <c r="V243" s="170">
        <v>0</v>
      </c>
    </row>
    <row r="244" spans="1:22">
      <c r="A244" s="554"/>
      <c r="B244" s="573" t="s">
        <v>589</v>
      </c>
      <c r="C244" s="574">
        <v>24989.965665802851</v>
      </c>
      <c r="D244" s="226">
        <v>21949.886544989604</v>
      </c>
      <c r="E244" s="226">
        <v>20996.049234804515</v>
      </c>
      <c r="F244" s="226">
        <v>19575.702020014422</v>
      </c>
      <c r="G244" s="226">
        <v>0</v>
      </c>
      <c r="H244" s="575">
        <v>0</v>
      </c>
      <c r="I244" s="576">
        <v>22060.591843285838</v>
      </c>
      <c r="J244" s="577">
        <v>0</v>
      </c>
      <c r="K244" s="226">
        <v>16008.478722891063</v>
      </c>
      <c r="L244" s="226">
        <v>20108.350613599137</v>
      </c>
      <c r="M244" s="226">
        <v>20402.045408064514</v>
      </c>
      <c r="N244" s="226">
        <v>17759.478474718195</v>
      </c>
      <c r="O244" s="578">
        <v>0</v>
      </c>
      <c r="P244" s="574">
        <v>0</v>
      </c>
      <c r="Q244" s="579">
        <v>0</v>
      </c>
      <c r="R244" s="577">
        <v>0</v>
      </c>
      <c r="S244" s="226">
        <v>0</v>
      </c>
      <c r="T244" s="226">
        <v>0</v>
      </c>
      <c r="U244" s="578">
        <v>0</v>
      </c>
      <c r="V244" s="170">
        <v>0</v>
      </c>
    </row>
    <row r="245" spans="1:22">
      <c r="A245" s="580"/>
      <c r="B245" s="581" t="s">
        <v>696</v>
      </c>
      <c r="C245" s="582">
        <v>-9.7874671470526392E-2</v>
      </c>
      <c r="D245" s="584">
        <v>3.0049869653834644</v>
      </c>
      <c r="E245" s="584">
        <v>6.6452446965698835</v>
      </c>
      <c r="F245" s="584">
        <v>3.1208544870851109</v>
      </c>
      <c r="G245" s="584">
        <v>0</v>
      </c>
      <c r="H245" s="585">
        <v>-100</v>
      </c>
      <c r="I245" s="586">
        <v>2.6673608673703209</v>
      </c>
      <c r="J245" s="587">
        <v>0</v>
      </c>
      <c r="K245" s="584">
        <v>-9.6028106244499849</v>
      </c>
      <c r="L245" s="584">
        <v>3.3990554206098818</v>
      </c>
      <c r="M245" s="584">
        <v>0.38098911118299966</v>
      </c>
      <c r="N245" s="584">
        <v>-3.9870834444424545</v>
      </c>
      <c r="O245" s="588">
        <v>0</v>
      </c>
      <c r="P245" s="582">
        <v>0</v>
      </c>
      <c r="Q245" s="589">
        <v>0</v>
      </c>
      <c r="R245" s="587">
        <v>0</v>
      </c>
      <c r="S245" s="584">
        <v>0</v>
      </c>
      <c r="T245" s="584">
        <v>0</v>
      </c>
      <c r="U245" s="588">
        <v>0</v>
      </c>
      <c r="V245" s="170">
        <v>0</v>
      </c>
    </row>
    <row r="246" spans="1:22">
      <c r="A246" s="549" t="s">
        <v>684</v>
      </c>
      <c r="B246" s="556" t="s">
        <v>726</v>
      </c>
      <c r="C246" s="566">
        <v>7711.6995047259916</v>
      </c>
      <c r="D246" s="94">
        <v>6742.9787794459344</v>
      </c>
      <c r="E246" s="94">
        <v>0</v>
      </c>
      <c r="F246" s="94">
        <v>6311.2441489448811</v>
      </c>
      <c r="G246" s="95">
        <v>5863.1596761194032</v>
      </c>
      <c r="H246" s="567">
        <v>0</v>
      </c>
      <c r="I246" s="568">
        <v>7006.1973813287295</v>
      </c>
      <c r="J246" s="569">
        <v>0</v>
      </c>
      <c r="K246" s="94">
        <v>5046.2511412457916</v>
      </c>
      <c r="L246" s="94">
        <v>5797.7984330888348</v>
      </c>
      <c r="M246" s="94">
        <v>5431.9936465753417</v>
      </c>
      <c r="N246" s="570">
        <v>5428.3155429910194</v>
      </c>
      <c r="O246" s="571">
        <v>0</v>
      </c>
      <c r="P246" s="566">
        <v>0</v>
      </c>
      <c r="Q246" s="572">
        <v>0</v>
      </c>
      <c r="R246" s="569">
        <v>0</v>
      </c>
      <c r="S246" s="570">
        <v>0</v>
      </c>
      <c r="T246" s="570">
        <v>0</v>
      </c>
      <c r="U246" s="571">
        <v>0</v>
      </c>
      <c r="V246" s="170">
        <v>0</v>
      </c>
    </row>
    <row r="247" spans="1:22">
      <c r="A247" s="554"/>
      <c r="B247" s="573" t="s">
        <v>728</v>
      </c>
      <c r="C247" s="574">
        <v>7655.6240869216062</v>
      </c>
      <c r="D247" s="226">
        <v>6820.0906797088255</v>
      </c>
      <c r="E247" s="226">
        <v>0</v>
      </c>
      <c r="F247" s="226">
        <v>6387.37481271458</v>
      </c>
      <c r="G247" s="226">
        <v>5923.2705230769234</v>
      </c>
      <c r="H247" s="575">
        <v>0</v>
      </c>
      <c r="I247" s="576">
        <v>7018.0083829514833</v>
      </c>
      <c r="J247" s="577">
        <v>0</v>
      </c>
      <c r="K247" s="226">
        <v>5823.928795001284</v>
      </c>
      <c r="L247" s="226">
        <v>6051.2399602348996</v>
      </c>
      <c r="M247" s="226">
        <v>5565.5176648275865</v>
      </c>
      <c r="N247" s="226">
        <v>5917.125336366902</v>
      </c>
      <c r="O247" s="578">
        <v>0</v>
      </c>
      <c r="P247" s="574">
        <v>0</v>
      </c>
      <c r="Q247" s="579">
        <v>0</v>
      </c>
      <c r="R247" s="577">
        <v>0</v>
      </c>
      <c r="S247" s="226">
        <v>0</v>
      </c>
      <c r="T247" s="226">
        <v>0</v>
      </c>
      <c r="U247" s="578">
        <v>0</v>
      </c>
      <c r="V247" s="170">
        <v>0</v>
      </c>
    </row>
    <row r="248" spans="1:22">
      <c r="A248" s="580"/>
      <c r="B248" s="581" t="s">
        <v>495</v>
      </c>
      <c r="C248" s="582">
        <v>-0.727147339831128</v>
      </c>
      <c r="D248" s="584">
        <v>1.14358806078324</v>
      </c>
      <c r="E248" s="584">
        <v>0</v>
      </c>
      <c r="F248" s="584">
        <v>1.2062703006415383</v>
      </c>
      <c r="G248" s="584">
        <v>1.0252295737800061</v>
      </c>
      <c r="H248" s="585">
        <v>0</v>
      </c>
      <c r="I248" s="586">
        <v>0.16857934454187229</v>
      </c>
      <c r="J248" s="587">
        <v>0</v>
      </c>
      <c r="K248" s="584">
        <v>15.410997827656741</v>
      </c>
      <c r="L248" s="584">
        <v>4.3713407782450506</v>
      </c>
      <c r="M248" s="584">
        <v>2.4581033583576892</v>
      </c>
      <c r="N248" s="584">
        <v>9.0048153889474687</v>
      </c>
      <c r="O248" s="588">
        <v>0</v>
      </c>
      <c r="P248" s="582">
        <v>0</v>
      </c>
      <c r="Q248" s="589">
        <v>0</v>
      </c>
      <c r="R248" s="587">
        <v>0</v>
      </c>
      <c r="S248" s="584">
        <v>0</v>
      </c>
      <c r="T248" s="584">
        <v>0</v>
      </c>
      <c r="U248" s="588">
        <v>0</v>
      </c>
      <c r="V248" s="170">
        <v>0</v>
      </c>
    </row>
    <row r="249" spans="1:22">
      <c r="A249" s="554"/>
      <c r="B249" s="556" t="s">
        <v>730</v>
      </c>
      <c r="C249" s="566">
        <v>3944.8602620087336</v>
      </c>
      <c r="D249" s="94">
        <v>2665.3169897377425</v>
      </c>
      <c r="E249" s="94">
        <v>0</v>
      </c>
      <c r="F249" s="94">
        <v>4659.902</v>
      </c>
      <c r="G249" s="95">
        <v>4332</v>
      </c>
      <c r="H249" s="567">
        <v>0</v>
      </c>
      <c r="I249" s="568">
        <v>3697.8024263431544</v>
      </c>
      <c r="J249" s="569">
        <v>0</v>
      </c>
      <c r="K249" s="94">
        <v>3816.9309764309764</v>
      </c>
      <c r="L249" s="94">
        <v>4199.9013854930727</v>
      </c>
      <c r="M249" s="94">
        <v>4214.1506849315065</v>
      </c>
      <c r="N249" s="570">
        <v>4023.060913705584</v>
      </c>
      <c r="O249" s="571">
        <v>0</v>
      </c>
      <c r="P249" s="566">
        <v>0</v>
      </c>
      <c r="Q249" s="572">
        <v>0</v>
      </c>
      <c r="R249" s="569">
        <v>0</v>
      </c>
      <c r="S249" s="570">
        <v>0</v>
      </c>
      <c r="T249" s="570">
        <v>0</v>
      </c>
      <c r="U249" s="571">
        <v>0</v>
      </c>
      <c r="V249" s="170">
        <v>0</v>
      </c>
    </row>
    <row r="250" spans="1:22">
      <c r="A250" s="554"/>
      <c r="B250" s="573" t="s">
        <v>732</v>
      </c>
      <c r="C250" s="574">
        <v>2128.5346062052504</v>
      </c>
      <c r="D250" s="226">
        <v>2732.3688029020554</v>
      </c>
      <c r="E250" s="226">
        <v>0</v>
      </c>
      <c r="F250" s="226">
        <v>4774.8598326359834</v>
      </c>
      <c r="G250" s="226">
        <v>1064.25</v>
      </c>
      <c r="H250" s="575">
        <v>0</v>
      </c>
      <c r="I250" s="576">
        <v>2746.2767790262174</v>
      </c>
      <c r="J250" s="577">
        <v>0</v>
      </c>
      <c r="K250" s="226">
        <v>4213.565008987418</v>
      </c>
      <c r="L250" s="226">
        <v>4120.7114093959735</v>
      </c>
      <c r="M250" s="226">
        <v>4134.9862068965522</v>
      </c>
      <c r="N250" s="226">
        <v>4164.8381431365506</v>
      </c>
      <c r="O250" s="578">
        <v>0</v>
      </c>
      <c r="P250" s="574">
        <v>0</v>
      </c>
      <c r="Q250" s="579">
        <v>0</v>
      </c>
      <c r="R250" s="577">
        <v>0</v>
      </c>
      <c r="S250" s="226">
        <v>0</v>
      </c>
      <c r="T250" s="226">
        <v>0</v>
      </c>
      <c r="U250" s="578">
        <v>0</v>
      </c>
      <c r="V250" s="170">
        <v>0</v>
      </c>
    </row>
    <row r="251" spans="1:22">
      <c r="A251" s="580"/>
      <c r="B251" s="581" t="s">
        <v>497</v>
      </c>
      <c r="C251" s="582">
        <v>-46.042838913604641</v>
      </c>
      <c r="D251" s="584">
        <v>2.5157162702403606</v>
      </c>
      <c r="E251" s="584">
        <v>0</v>
      </c>
      <c r="F251" s="584">
        <v>2.4669581599781139</v>
      </c>
      <c r="G251" s="584">
        <v>-75.43282548476455</v>
      </c>
      <c r="H251" s="585">
        <v>0</v>
      </c>
      <c r="I251" s="586">
        <v>-25.732192735292337</v>
      </c>
      <c r="J251" s="587">
        <v>0</v>
      </c>
      <c r="K251" s="584">
        <v>10.391438435895282</v>
      </c>
      <c r="L251" s="584">
        <v>-1.8855198926962937</v>
      </c>
      <c r="M251" s="584">
        <v>-1.8785393298351167</v>
      </c>
      <c r="N251" s="584">
        <v>3.524113416925065</v>
      </c>
      <c r="O251" s="588">
        <v>0</v>
      </c>
      <c r="P251" s="582">
        <v>0</v>
      </c>
      <c r="Q251" s="589">
        <v>0</v>
      </c>
      <c r="R251" s="587">
        <v>0</v>
      </c>
      <c r="S251" s="584">
        <v>0</v>
      </c>
      <c r="T251" s="584">
        <v>0</v>
      </c>
      <c r="U251" s="588">
        <v>0</v>
      </c>
      <c r="V251" s="170">
        <v>0</v>
      </c>
    </row>
    <row r="252" spans="1:22">
      <c r="A252" s="554"/>
      <c r="B252" s="556" t="s">
        <v>734</v>
      </c>
      <c r="C252" s="566">
        <v>0</v>
      </c>
      <c r="D252" s="94">
        <v>0</v>
      </c>
      <c r="E252" s="94">
        <v>0</v>
      </c>
      <c r="F252" s="94">
        <v>0</v>
      </c>
      <c r="G252" s="95">
        <v>0</v>
      </c>
      <c r="H252" s="567">
        <v>0</v>
      </c>
      <c r="I252" s="568">
        <v>0</v>
      </c>
      <c r="J252" s="569">
        <v>0</v>
      </c>
      <c r="K252" s="94">
        <v>0</v>
      </c>
      <c r="L252" s="94">
        <v>0</v>
      </c>
      <c r="M252" s="94">
        <v>0</v>
      </c>
      <c r="N252" s="570">
        <v>0</v>
      </c>
      <c r="O252" s="571">
        <v>0</v>
      </c>
      <c r="P252" s="566">
        <v>0</v>
      </c>
      <c r="Q252" s="572">
        <v>0</v>
      </c>
      <c r="R252" s="569">
        <v>0</v>
      </c>
      <c r="S252" s="570">
        <v>0</v>
      </c>
      <c r="T252" s="570">
        <v>0</v>
      </c>
      <c r="U252" s="571">
        <v>0</v>
      </c>
      <c r="V252" s="170">
        <v>0</v>
      </c>
    </row>
    <row r="253" spans="1:22">
      <c r="A253" s="554"/>
      <c r="B253" s="573" t="s">
        <v>736</v>
      </c>
      <c r="C253" s="574">
        <v>0</v>
      </c>
      <c r="D253" s="226">
        <v>0</v>
      </c>
      <c r="E253" s="226">
        <v>0</v>
      </c>
      <c r="F253" s="226">
        <v>0</v>
      </c>
      <c r="G253" s="226">
        <v>0</v>
      </c>
      <c r="H253" s="575">
        <v>0</v>
      </c>
      <c r="I253" s="576">
        <v>0</v>
      </c>
      <c r="J253" s="577">
        <v>0</v>
      </c>
      <c r="K253" s="226">
        <v>0</v>
      </c>
      <c r="L253" s="226">
        <v>0</v>
      </c>
      <c r="M253" s="226">
        <v>0</v>
      </c>
      <c r="N253" s="226">
        <v>0</v>
      </c>
      <c r="O253" s="578">
        <v>0</v>
      </c>
      <c r="P253" s="574">
        <v>0</v>
      </c>
      <c r="Q253" s="579">
        <v>0</v>
      </c>
      <c r="R253" s="577">
        <v>0</v>
      </c>
      <c r="S253" s="226">
        <v>0</v>
      </c>
      <c r="T253" s="226">
        <v>0</v>
      </c>
      <c r="U253" s="578">
        <v>0</v>
      </c>
      <c r="V253" s="170">
        <v>0</v>
      </c>
    </row>
    <row r="254" spans="1:22">
      <c r="A254" s="580"/>
      <c r="B254" s="581" t="s">
        <v>499</v>
      </c>
      <c r="C254" s="582">
        <v>0</v>
      </c>
      <c r="D254" s="584">
        <v>0</v>
      </c>
      <c r="E254" s="584">
        <v>0</v>
      </c>
      <c r="F254" s="584">
        <v>0</v>
      </c>
      <c r="G254" s="584">
        <v>0</v>
      </c>
      <c r="H254" s="585">
        <v>0</v>
      </c>
      <c r="I254" s="586">
        <v>0</v>
      </c>
      <c r="J254" s="587">
        <v>0</v>
      </c>
      <c r="K254" s="584">
        <v>0</v>
      </c>
      <c r="L254" s="584">
        <v>0</v>
      </c>
      <c r="M254" s="584">
        <v>0</v>
      </c>
      <c r="N254" s="584">
        <v>0</v>
      </c>
      <c r="O254" s="588">
        <v>0</v>
      </c>
      <c r="P254" s="582">
        <v>0</v>
      </c>
      <c r="Q254" s="589">
        <v>0</v>
      </c>
      <c r="R254" s="587">
        <v>0</v>
      </c>
      <c r="S254" s="584">
        <v>0</v>
      </c>
      <c r="T254" s="584">
        <v>0</v>
      </c>
      <c r="U254" s="588">
        <v>0</v>
      </c>
      <c r="V254" s="170">
        <v>0</v>
      </c>
    </row>
    <row r="255" spans="1:22">
      <c r="A255" s="554"/>
      <c r="B255" s="556" t="s">
        <v>738</v>
      </c>
      <c r="C255" s="566">
        <v>3999.7956139113535</v>
      </c>
      <c r="D255" s="94">
        <v>4863.9959504915105</v>
      </c>
      <c r="E255" s="94">
        <v>0</v>
      </c>
      <c r="F255" s="94">
        <v>3713.7211163503935</v>
      </c>
      <c r="G255" s="95">
        <v>3836.7018880597016</v>
      </c>
      <c r="H255" s="567">
        <v>0</v>
      </c>
      <c r="I255" s="568">
        <v>4234.4962514137324</v>
      </c>
      <c r="J255" s="569">
        <v>0</v>
      </c>
      <c r="K255" s="94">
        <v>3458.0255297979797</v>
      </c>
      <c r="L255" s="94">
        <v>3745.6273181744091</v>
      </c>
      <c r="M255" s="94">
        <v>3532.1990287671233</v>
      </c>
      <c r="N255" s="570">
        <v>3600.0468984771578</v>
      </c>
      <c r="O255" s="571">
        <v>0</v>
      </c>
      <c r="P255" s="566">
        <v>0</v>
      </c>
      <c r="Q255" s="572">
        <v>0</v>
      </c>
      <c r="R255" s="569">
        <v>0</v>
      </c>
      <c r="S255" s="570">
        <v>0</v>
      </c>
      <c r="T255" s="570">
        <v>0</v>
      </c>
      <c r="U255" s="571">
        <v>0</v>
      </c>
      <c r="V255" s="170">
        <v>0</v>
      </c>
    </row>
    <row r="256" spans="1:22">
      <c r="A256" s="554"/>
      <c r="B256" s="573" t="s">
        <v>740</v>
      </c>
      <c r="C256" s="574">
        <v>3567.3430454851227</v>
      </c>
      <c r="D256" s="226">
        <v>4932.3273834394904</v>
      </c>
      <c r="E256" s="226">
        <v>0</v>
      </c>
      <c r="F256" s="226">
        <v>3784.2234479507183</v>
      </c>
      <c r="G256" s="226">
        <v>3849.3679153846156</v>
      </c>
      <c r="H256" s="575">
        <v>0</v>
      </c>
      <c r="I256" s="576">
        <v>4070.8383785628448</v>
      </c>
      <c r="J256" s="577">
        <v>0</v>
      </c>
      <c r="K256" s="226">
        <v>3712.7550736968246</v>
      </c>
      <c r="L256" s="226">
        <v>3857.6662058724833</v>
      </c>
      <c r="M256" s="226">
        <v>3548.0233186206897</v>
      </c>
      <c r="N256" s="226">
        <v>3772.1683036762061</v>
      </c>
      <c r="O256" s="578">
        <v>0</v>
      </c>
      <c r="P256" s="574">
        <v>0</v>
      </c>
      <c r="Q256" s="579">
        <v>0</v>
      </c>
      <c r="R256" s="577">
        <v>0</v>
      </c>
      <c r="S256" s="226">
        <v>0</v>
      </c>
      <c r="T256" s="226">
        <v>0</v>
      </c>
      <c r="U256" s="578">
        <v>0</v>
      </c>
      <c r="V256" s="170">
        <v>0</v>
      </c>
    </row>
    <row r="257" spans="1:22">
      <c r="A257" s="580"/>
      <c r="B257" s="581" t="s">
        <v>569</v>
      </c>
      <c r="C257" s="582">
        <v>-10.811866659440142</v>
      </c>
      <c r="D257" s="584">
        <v>1.40484148513888</v>
      </c>
      <c r="E257" s="584">
        <v>0</v>
      </c>
      <c r="F257" s="584">
        <v>1.8984282715771079</v>
      </c>
      <c r="G257" s="584">
        <v>0.33012800302083101</v>
      </c>
      <c r="H257" s="585">
        <v>0</v>
      </c>
      <c r="I257" s="586">
        <v>-3.8648723043797379</v>
      </c>
      <c r="J257" s="587">
        <v>0</v>
      </c>
      <c r="K257" s="584">
        <v>7.3663291870990424</v>
      </c>
      <c r="L257" s="584">
        <v>2.9911915463250387</v>
      </c>
      <c r="M257" s="584">
        <v>0.44800108161203106</v>
      </c>
      <c r="N257" s="584">
        <v>4.7810878594902935</v>
      </c>
      <c r="O257" s="588">
        <v>0</v>
      </c>
      <c r="P257" s="582">
        <v>0</v>
      </c>
      <c r="Q257" s="589">
        <v>0</v>
      </c>
      <c r="R257" s="587">
        <v>0</v>
      </c>
      <c r="S257" s="584">
        <v>0</v>
      </c>
      <c r="T257" s="584">
        <v>0</v>
      </c>
      <c r="U257" s="588">
        <v>0</v>
      </c>
      <c r="V257" s="170">
        <v>0</v>
      </c>
    </row>
    <row r="258" spans="1:22">
      <c r="A258" s="554"/>
      <c r="B258" s="556" t="s">
        <v>742</v>
      </c>
      <c r="C258" s="566">
        <v>55.522789256198351</v>
      </c>
      <c r="D258" s="94">
        <v>57.65415549597855</v>
      </c>
      <c r="E258" s="94">
        <v>0</v>
      </c>
      <c r="F258" s="94">
        <v>296.9192913385827</v>
      </c>
      <c r="G258" s="95">
        <v>76.037313432835816</v>
      </c>
      <c r="H258" s="567">
        <v>0</v>
      </c>
      <c r="I258" s="568">
        <v>102.33970685232686</v>
      </c>
      <c r="J258" s="569">
        <v>0</v>
      </c>
      <c r="K258" s="94">
        <v>47.488215488215488</v>
      </c>
      <c r="L258" s="94">
        <v>50.229013854930727</v>
      </c>
      <c r="M258" s="94">
        <v>47.280821917808218</v>
      </c>
      <c r="N258" s="570">
        <v>48.789535337758686</v>
      </c>
      <c r="O258" s="571">
        <v>0</v>
      </c>
      <c r="P258" s="566">
        <v>0</v>
      </c>
      <c r="Q258" s="572">
        <v>0</v>
      </c>
      <c r="R258" s="569">
        <v>0</v>
      </c>
      <c r="S258" s="570">
        <v>0</v>
      </c>
      <c r="T258" s="570">
        <v>0</v>
      </c>
      <c r="U258" s="571">
        <v>0</v>
      </c>
      <c r="V258" s="170">
        <v>0</v>
      </c>
    </row>
    <row r="259" spans="1:22">
      <c r="A259" s="554"/>
      <c r="B259" s="573" t="s">
        <v>567</v>
      </c>
      <c r="C259" s="574">
        <v>77.358167597765359</v>
      </c>
      <c r="D259" s="226">
        <v>57.21747042766151</v>
      </c>
      <c r="E259" s="226">
        <v>0</v>
      </c>
      <c r="F259" s="226">
        <v>290.0841889117043</v>
      </c>
      <c r="G259" s="226">
        <v>76.307692307692307</v>
      </c>
      <c r="H259" s="575">
        <v>0</v>
      </c>
      <c r="I259" s="576">
        <v>108.50576790501724</v>
      </c>
      <c r="J259" s="577">
        <v>0</v>
      </c>
      <c r="K259" s="226">
        <v>47.155293456894135</v>
      </c>
      <c r="L259" s="226">
        <v>47.808897780318183</v>
      </c>
      <c r="M259" s="226">
        <v>96.551724137931032</v>
      </c>
      <c r="N259" s="226">
        <v>50.623508616880244</v>
      </c>
      <c r="O259" s="578">
        <v>0</v>
      </c>
      <c r="P259" s="574">
        <v>0</v>
      </c>
      <c r="Q259" s="579">
        <v>0</v>
      </c>
      <c r="R259" s="577">
        <v>0</v>
      </c>
      <c r="S259" s="226">
        <v>0</v>
      </c>
      <c r="T259" s="226">
        <v>0</v>
      </c>
      <c r="U259" s="578">
        <v>0</v>
      </c>
      <c r="V259" s="170">
        <v>0</v>
      </c>
    </row>
    <row r="260" spans="1:22">
      <c r="A260" s="580"/>
      <c r="B260" s="581" t="s">
        <v>37</v>
      </c>
      <c r="C260" s="582">
        <v>39.326875746123271</v>
      </c>
      <c r="D260" s="584">
        <v>-0.75742167162174312</v>
      </c>
      <c r="E260" s="584">
        <v>0</v>
      </c>
      <c r="F260" s="584">
        <v>-2.3020068504353919</v>
      </c>
      <c r="G260" s="584">
        <v>0.35558709618971157</v>
      </c>
      <c r="H260" s="585">
        <v>0</v>
      </c>
      <c r="I260" s="586">
        <v>6.0250915723139826</v>
      </c>
      <c r="J260" s="587">
        <v>0</v>
      </c>
      <c r="K260" s="584">
        <v>-0.70106241706212225</v>
      </c>
      <c r="L260" s="584">
        <v>-4.8181636247174167</v>
      </c>
      <c r="M260" s="584">
        <v>104.20906452466943</v>
      </c>
      <c r="N260" s="584">
        <v>3.7589480334776395</v>
      </c>
      <c r="O260" s="588">
        <v>0</v>
      </c>
      <c r="P260" s="582">
        <v>0</v>
      </c>
      <c r="Q260" s="589">
        <v>0</v>
      </c>
      <c r="R260" s="587">
        <v>0</v>
      </c>
      <c r="S260" s="584">
        <v>0</v>
      </c>
      <c r="T260" s="584">
        <v>0</v>
      </c>
      <c r="U260" s="588">
        <v>0</v>
      </c>
      <c r="V260" s="170">
        <v>0</v>
      </c>
    </row>
    <row r="261" spans="1:22">
      <c r="A261" s="554"/>
      <c r="B261" s="556" t="s">
        <v>571</v>
      </c>
      <c r="C261" s="566">
        <v>149.18642374362707</v>
      </c>
      <c r="D261" s="94">
        <v>80.805648876404504</v>
      </c>
      <c r="E261" s="94">
        <v>0</v>
      </c>
      <c r="F261" s="94">
        <v>327.42489277899347</v>
      </c>
      <c r="G261" s="95">
        <v>128.44829629629632</v>
      </c>
      <c r="H261" s="567">
        <v>0</v>
      </c>
      <c r="I261" s="568">
        <v>160.70648067924529</v>
      </c>
      <c r="J261" s="569">
        <v>0</v>
      </c>
      <c r="K261" s="94">
        <v>113.00646397306399</v>
      </c>
      <c r="L261" s="94">
        <v>120.77678581907089</v>
      </c>
      <c r="M261" s="94">
        <v>115.42431232876713</v>
      </c>
      <c r="N261" s="570">
        <v>116.86713978914486</v>
      </c>
      <c r="O261" s="571">
        <v>0</v>
      </c>
      <c r="P261" s="566">
        <v>0</v>
      </c>
      <c r="Q261" s="572">
        <v>0</v>
      </c>
      <c r="R261" s="569">
        <v>0</v>
      </c>
      <c r="S261" s="570">
        <v>0</v>
      </c>
      <c r="T261" s="570">
        <v>0</v>
      </c>
      <c r="U261" s="571">
        <v>0</v>
      </c>
      <c r="V261" s="170">
        <v>0</v>
      </c>
    </row>
    <row r="262" spans="1:22">
      <c r="A262" s="554"/>
      <c r="B262" s="573" t="s">
        <v>573</v>
      </c>
      <c r="C262" s="574">
        <v>124.69127082223963</v>
      </c>
      <c r="D262" s="226">
        <v>83.063948241912797</v>
      </c>
      <c r="E262" s="226">
        <v>0</v>
      </c>
      <c r="F262" s="226">
        <v>335.94676229885056</v>
      </c>
      <c r="G262" s="226">
        <v>128.14823076923079</v>
      </c>
      <c r="H262" s="575">
        <v>0</v>
      </c>
      <c r="I262" s="576">
        <v>149.48693218836564</v>
      </c>
      <c r="J262" s="577">
        <v>0</v>
      </c>
      <c r="K262" s="226">
        <v>121.33244646066935</v>
      </c>
      <c r="L262" s="226">
        <v>126.06684614093959</v>
      </c>
      <c r="M262" s="226">
        <v>115.94649517241379</v>
      </c>
      <c r="N262" s="226">
        <v>123.27330842613657</v>
      </c>
      <c r="O262" s="578">
        <v>0</v>
      </c>
      <c r="P262" s="574">
        <v>0</v>
      </c>
      <c r="Q262" s="579">
        <v>0</v>
      </c>
      <c r="R262" s="577">
        <v>0</v>
      </c>
      <c r="S262" s="226">
        <v>0</v>
      </c>
      <c r="T262" s="226">
        <v>0</v>
      </c>
      <c r="U262" s="578">
        <v>0</v>
      </c>
      <c r="V262" s="170">
        <v>0</v>
      </c>
    </row>
    <row r="263" spans="1:22">
      <c r="A263" s="580"/>
      <c r="B263" s="581" t="s">
        <v>39</v>
      </c>
      <c r="C263" s="582">
        <v>-16.419156855372925</v>
      </c>
      <c r="D263" s="584">
        <v>2.794729572634771</v>
      </c>
      <c r="E263" s="584">
        <v>0</v>
      </c>
      <c r="F263" s="584">
        <v>2.6026944523149669</v>
      </c>
      <c r="G263" s="584">
        <v>-0.23360802417601184</v>
      </c>
      <c r="H263" s="585">
        <v>0</v>
      </c>
      <c r="I263" s="586">
        <v>-6.981391443244152</v>
      </c>
      <c r="J263" s="587">
        <v>0</v>
      </c>
      <c r="K263" s="584">
        <v>7.3677046381965594</v>
      </c>
      <c r="L263" s="584">
        <v>4.3800307203020328</v>
      </c>
      <c r="M263" s="584">
        <v>0.45240281974503704</v>
      </c>
      <c r="N263" s="584">
        <v>5.4815824606898964</v>
      </c>
      <c r="O263" s="588">
        <v>0</v>
      </c>
      <c r="P263" s="582">
        <v>0</v>
      </c>
      <c r="Q263" s="589">
        <v>0</v>
      </c>
      <c r="R263" s="587">
        <v>0</v>
      </c>
      <c r="S263" s="584">
        <v>0</v>
      </c>
      <c r="T263" s="584">
        <v>0</v>
      </c>
      <c r="U263" s="588">
        <v>0</v>
      </c>
      <c r="V263" s="170">
        <v>0</v>
      </c>
    </row>
    <row r="264" spans="1:22">
      <c r="A264" s="554"/>
      <c r="B264" s="556" t="s">
        <v>575</v>
      </c>
      <c r="C264" s="566">
        <v>452.38972035393937</v>
      </c>
      <c r="D264" s="94">
        <v>356.9855485254692</v>
      </c>
      <c r="E264" s="94">
        <v>0</v>
      </c>
      <c r="F264" s="94">
        <v>476.25984288747344</v>
      </c>
      <c r="G264" s="95">
        <v>307.20213731343284</v>
      </c>
      <c r="H264" s="567">
        <v>0</v>
      </c>
      <c r="I264" s="568">
        <v>418.31456425133376</v>
      </c>
      <c r="J264" s="569">
        <v>0</v>
      </c>
      <c r="K264" s="94">
        <v>291.21250622895622</v>
      </c>
      <c r="L264" s="94">
        <v>266.40164091279541</v>
      </c>
      <c r="M264" s="94">
        <v>280.90530136986303</v>
      </c>
      <c r="N264" s="570">
        <v>278.73777618117924</v>
      </c>
      <c r="O264" s="571">
        <v>0</v>
      </c>
      <c r="P264" s="566">
        <v>0</v>
      </c>
      <c r="Q264" s="572">
        <v>0</v>
      </c>
      <c r="R264" s="569">
        <v>0</v>
      </c>
      <c r="S264" s="570">
        <v>0</v>
      </c>
      <c r="T264" s="570">
        <v>0</v>
      </c>
      <c r="U264" s="571">
        <v>0</v>
      </c>
      <c r="V264" s="170">
        <v>0</v>
      </c>
    </row>
    <row r="265" spans="1:22">
      <c r="A265" s="554"/>
      <c r="B265" s="573" t="s">
        <v>577</v>
      </c>
      <c r="C265" s="574">
        <v>413.88777187863138</v>
      </c>
      <c r="D265" s="226">
        <v>359.32328171064603</v>
      </c>
      <c r="E265" s="226">
        <v>0</v>
      </c>
      <c r="F265" s="226">
        <v>488.73603326488706</v>
      </c>
      <c r="G265" s="226">
        <v>307.57482615384617</v>
      </c>
      <c r="H265" s="575">
        <v>0</v>
      </c>
      <c r="I265" s="576">
        <v>402.45256381010722</v>
      </c>
      <c r="J265" s="577">
        <v>0</v>
      </c>
      <c r="K265" s="226">
        <v>384.93753162715058</v>
      </c>
      <c r="L265" s="226">
        <v>279.8886716442953</v>
      </c>
      <c r="M265" s="226">
        <v>223.04543862068965</v>
      </c>
      <c r="N265" s="226">
        <v>325.58631836506601</v>
      </c>
      <c r="O265" s="578">
        <v>0</v>
      </c>
      <c r="P265" s="574">
        <v>0</v>
      </c>
      <c r="Q265" s="579">
        <v>0</v>
      </c>
      <c r="R265" s="577">
        <v>0</v>
      </c>
      <c r="S265" s="226">
        <v>0</v>
      </c>
      <c r="T265" s="226">
        <v>0</v>
      </c>
      <c r="U265" s="578">
        <v>0</v>
      </c>
      <c r="V265" s="170">
        <v>0</v>
      </c>
    </row>
    <row r="266" spans="1:22">
      <c r="A266" s="580"/>
      <c r="B266" s="581" t="s">
        <v>501</v>
      </c>
      <c r="C266" s="582">
        <v>-8.5107920766159175</v>
      </c>
      <c r="D266" s="584">
        <v>0.65485373142774284</v>
      </c>
      <c r="E266" s="584">
        <v>0</v>
      </c>
      <c r="F266" s="584">
        <v>2.6196183792806949</v>
      </c>
      <c r="G266" s="584">
        <v>0.12131713785346622</v>
      </c>
      <c r="H266" s="585">
        <v>0</v>
      </c>
      <c r="I266" s="586">
        <v>-3.7918833807795078</v>
      </c>
      <c r="J266" s="587">
        <v>0</v>
      </c>
      <c r="K266" s="584">
        <v>32.18440945819345</v>
      </c>
      <c r="L266" s="584">
        <v>5.0626680396142021</v>
      </c>
      <c r="M266" s="584">
        <v>-20.597640011425174</v>
      </c>
      <c r="N266" s="584">
        <v>16.807388946604519</v>
      </c>
      <c r="O266" s="588">
        <v>0</v>
      </c>
      <c r="P266" s="582">
        <v>0</v>
      </c>
      <c r="Q266" s="589">
        <v>0</v>
      </c>
      <c r="R266" s="587">
        <v>0</v>
      </c>
      <c r="S266" s="584">
        <v>0</v>
      </c>
      <c r="T266" s="584">
        <v>0</v>
      </c>
      <c r="U266" s="588">
        <v>0</v>
      </c>
      <c r="V266" s="170">
        <v>0</v>
      </c>
    </row>
    <row r="267" spans="1:22">
      <c r="A267" s="554"/>
      <c r="B267" s="556" t="s">
        <v>579</v>
      </c>
      <c r="C267" s="566">
        <v>1174.2307692307693</v>
      </c>
      <c r="D267" s="94">
        <v>1703.94</v>
      </c>
      <c r="E267" s="94">
        <v>0</v>
      </c>
      <c r="F267" s="94">
        <v>2009.5306122448981</v>
      </c>
      <c r="G267" s="95">
        <v>798.44444444444446</v>
      </c>
      <c r="H267" s="567">
        <v>0</v>
      </c>
      <c r="I267" s="568">
        <v>1609.8299319727892</v>
      </c>
      <c r="J267" s="569">
        <v>0</v>
      </c>
      <c r="K267" s="94">
        <v>0</v>
      </c>
      <c r="L267" s="94">
        <v>0</v>
      </c>
      <c r="M267" s="94">
        <v>0</v>
      </c>
      <c r="N267" s="570">
        <v>0</v>
      </c>
      <c r="O267" s="571">
        <v>0</v>
      </c>
      <c r="P267" s="566">
        <v>0</v>
      </c>
      <c r="Q267" s="572">
        <v>0</v>
      </c>
      <c r="R267" s="569">
        <v>0</v>
      </c>
      <c r="S267" s="570">
        <v>0</v>
      </c>
      <c r="T267" s="570">
        <v>0</v>
      </c>
      <c r="U267" s="571">
        <v>0</v>
      </c>
      <c r="V267" s="170">
        <v>0</v>
      </c>
    </row>
    <row r="268" spans="1:22">
      <c r="A268" s="554"/>
      <c r="B268" s="573" t="s">
        <v>581</v>
      </c>
      <c r="C268" s="574">
        <v>1325.1142857142856</v>
      </c>
      <c r="D268" s="226">
        <v>2179.5517241379312</v>
      </c>
      <c r="E268" s="226">
        <v>0</v>
      </c>
      <c r="F268" s="226">
        <v>2016.6226415094341</v>
      </c>
      <c r="G268" s="226">
        <v>967.625</v>
      </c>
      <c r="H268" s="575">
        <v>0</v>
      </c>
      <c r="I268" s="576">
        <v>1866.3311688311687</v>
      </c>
      <c r="J268" s="577">
        <v>0</v>
      </c>
      <c r="K268" s="226">
        <v>0</v>
      </c>
      <c r="L268" s="226">
        <v>0</v>
      </c>
      <c r="M268" s="226">
        <v>0</v>
      </c>
      <c r="N268" s="226">
        <v>0</v>
      </c>
      <c r="O268" s="578">
        <v>0</v>
      </c>
      <c r="P268" s="574">
        <v>0</v>
      </c>
      <c r="Q268" s="579">
        <v>0</v>
      </c>
      <c r="R268" s="577">
        <v>0</v>
      </c>
      <c r="S268" s="226">
        <v>0</v>
      </c>
      <c r="T268" s="226">
        <v>0</v>
      </c>
      <c r="U268" s="578">
        <v>0</v>
      </c>
      <c r="V268" s="170">
        <v>0</v>
      </c>
    </row>
    <row r="269" spans="1:22">
      <c r="A269" s="580"/>
      <c r="B269" s="581" t="s">
        <v>503</v>
      </c>
      <c r="C269" s="582">
        <v>12.849562491226418</v>
      </c>
      <c r="D269" s="584">
        <v>27.912468991744493</v>
      </c>
      <c r="E269" s="584">
        <v>0</v>
      </c>
      <c r="F269" s="584">
        <v>0.35291969285371116</v>
      </c>
      <c r="G269" s="584">
        <v>21.188769830225436</v>
      </c>
      <c r="H269" s="585">
        <v>0</v>
      </c>
      <c r="I269" s="586">
        <v>15.933436927964587</v>
      </c>
      <c r="J269" s="587">
        <v>0</v>
      </c>
      <c r="K269" s="584">
        <v>0</v>
      </c>
      <c r="L269" s="584">
        <v>0</v>
      </c>
      <c r="M269" s="584">
        <v>0</v>
      </c>
      <c r="N269" s="584">
        <v>0</v>
      </c>
      <c r="O269" s="588">
        <v>0</v>
      </c>
      <c r="P269" s="582">
        <v>0</v>
      </c>
      <c r="Q269" s="589">
        <v>0</v>
      </c>
      <c r="R269" s="587">
        <v>0</v>
      </c>
      <c r="S269" s="584">
        <v>0</v>
      </c>
      <c r="T269" s="584">
        <v>0</v>
      </c>
      <c r="U269" s="588">
        <v>0</v>
      </c>
      <c r="V269" s="170">
        <v>0</v>
      </c>
    </row>
    <row r="270" spans="1:22">
      <c r="A270" s="554"/>
      <c r="B270" s="556" t="s">
        <v>583</v>
      </c>
      <c r="C270" s="566">
        <v>0</v>
      </c>
      <c r="D270" s="94">
        <v>0</v>
      </c>
      <c r="E270" s="94">
        <v>0</v>
      </c>
      <c r="F270" s="94">
        <v>0</v>
      </c>
      <c r="G270" s="95">
        <v>0</v>
      </c>
      <c r="H270" s="567">
        <v>0</v>
      </c>
      <c r="I270" s="568">
        <v>0</v>
      </c>
      <c r="J270" s="569">
        <v>0</v>
      </c>
      <c r="K270" s="94">
        <v>207.85308056872037</v>
      </c>
      <c r="L270" s="94">
        <v>204.88288288288288</v>
      </c>
      <c r="M270" s="94">
        <v>0</v>
      </c>
      <c r="N270" s="570">
        <v>206.82919254658384</v>
      </c>
      <c r="O270" s="571">
        <v>0</v>
      </c>
      <c r="P270" s="566">
        <v>0</v>
      </c>
      <c r="Q270" s="572">
        <v>0</v>
      </c>
      <c r="R270" s="569">
        <v>0</v>
      </c>
      <c r="S270" s="570">
        <v>0</v>
      </c>
      <c r="T270" s="570">
        <v>0</v>
      </c>
      <c r="U270" s="571">
        <v>0</v>
      </c>
      <c r="V270" s="170">
        <v>0</v>
      </c>
    </row>
    <row r="271" spans="1:22">
      <c r="A271" s="554"/>
      <c r="B271" s="573" t="s">
        <v>585</v>
      </c>
      <c r="C271" s="574">
        <v>0</v>
      </c>
      <c r="D271" s="226">
        <v>0</v>
      </c>
      <c r="E271" s="226">
        <v>0</v>
      </c>
      <c r="F271" s="226">
        <v>0</v>
      </c>
      <c r="G271" s="226">
        <v>0</v>
      </c>
      <c r="H271" s="575">
        <v>0</v>
      </c>
      <c r="I271" s="576">
        <v>0</v>
      </c>
      <c r="J271" s="577">
        <v>0</v>
      </c>
      <c r="K271" s="226">
        <v>330.56089743589746</v>
      </c>
      <c r="L271" s="226">
        <v>173.55725190839695</v>
      </c>
      <c r="M271" s="226">
        <v>0</v>
      </c>
      <c r="N271" s="226">
        <v>269.889872173058</v>
      </c>
      <c r="O271" s="578">
        <v>0</v>
      </c>
      <c r="P271" s="574">
        <v>0</v>
      </c>
      <c r="Q271" s="579">
        <v>0</v>
      </c>
      <c r="R271" s="577">
        <v>0</v>
      </c>
      <c r="S271" s="226">
        <v>0</v>
      </c>
      <c r="T271" s="226">
        <v>0</v>
      </c>
      <c r="U271" s="578">
        <v>0</v>
      </c>
      <c r="V271" s="170">
        <v>0</v>
      </c>
    </row>
    <row r="272" spans="1:22">
      <c r="A272" s="580"/>
      <c r="B272" s="581" t="s">
        <v>694</v>
      </c>
      <c r="C272" s="582">
        <v>0</v>
      </c>
      <c r="D272" s="584">
        <v>0</v>
      </c>
      <c r="E272" s="584">
        <v>0</v>
      </c>
      <c r="F272" s="584">
        <v>0</v>
      </c>
      <c r="G272" s="584">
        <v>0</v>
      </c>
      <c r="H272" s="585">
        <v>0</v>
      </c>
      <c r="I272" s="586">
        <v>0</v>
      </c>
      <c r="J272" s="587">
        <v>0</v>
      </c>
      <c r="K272" s="584">
        <v>59.035842303336672</v>
      </c>
      <c r="L272" s="584">
        <v>-15.289530552141143</v>
      </c>
      <c r="M272" s="584">
        <v>0</v>
      </c>
      <c r="N272" s="584">
        <v>30.48925485326308</v>
      </c>
      <c r="O272" s="588">
        <v>0</v>
      </c>
      <c r="P272" s="582">
        <v>0</v>
      </c>
      <c r="Q272" s="589">
        <v>0</v>
      </c>
      <c r="R272" s="587">
        <v>0</v>
      </c>
      <c r="S272" s="584">
        <v>0</v>
      </c>
      <c r="T272" s="584">
        <v>0</v>
      </c>
      <c r="U272" s="588">
        <v>0</v>
      </c>
      <c r="V272" s="170">
        <v>0</v>
      </c>
    </row>
    <row r="273" spans="1:22">
      <c r="A273" s="554"/>
      <c r="B273" s="556" t="s">
        <v>587</v>
      </c>
      <c r="C273" s="566">
        <v>13078.416721491394</v>
      </c>
      <c r="D273" s="94">
        <v>14148.345850420019</v>
      </c>
      <c r="E273" s="94">
        <v>0</v>
      </c>
      <c r="F273" s="94">
        <v>15637.451934651574</v>
      </c>
      <c r="G273" s="95">
        <v>14432.122447761194</v>
      </c>
      <c r="H273" s="567">
        <v>0</v>
      </c>
      <c r="I273" s="568">
        <v>13863.710521220697</v>
      </c>
      <c r="J273" s="569">
        <v>0</v>
      </c>
      <c r="K273" s="94">
        <v>12622.225404528619</v>
      </c>
      <c r="L273" s="94">
        <v>14082.214065786473</v>
      </c>
      <c r="M273" s="94">
        <v>13492.164842054795</v>
      </c>
      <c r="N273" s="570">
        <v>13371.314528012495</v>
      </c>
      <c r="O273" s="571">
        <v>0</v>
      </c>
      <c r="P273" s="566">
        <v>0</v>
      </c>
      <c r="Q273" s="572">
        <v>0</v>
      </c>
      <c r="R273" s="569">
        <v>0</v>
      </c>
      <c r="S273" s="570">
        <v>0</v>
      </c>
      <c r="T273" s="570">
        <v>0</v>
      </c>
      <c r="U273" s="571">
        <v>0</v>
      </c>
      <c r="V273" s="170">
        <v>0</v>
      </c>
    </row>
    <row r="274" spans="1:22">
      <c r="A274" s="554"/>
      <c r="B274" s="573" t="s">
        <v>589</v>
      </c>
      <c r="C274" s="574">
        <v>10917.949950572498</v>
      </c>
      <c r="D274" s="226">
        <v>14301.717250882621</v>
      </c>
      <c r="E274" s="226">
        <v>0</v>
      </c>
      <c r="F274" s="226">
        <v>15937.433307157291</v>
      </c>
      <c r="G274" s="226">
        <v>11047.722468307693</v>
      </c>
      <c r="H274" s="575">
        <v>0</v>
      </c>
      <c r="I274" s="576">
        <v>12810.788874003798</v>
      </c>
      <c r="J274" s="577">
        <v>0</v>
      </c>
      <c r="K274" s="226">
        <v>14237.583323598392</v>
      </c>
      <c r="L274" s="226">
        <v>14424.015003473154</v>
      </c>
      <c r="M274" s="226">
        <v>13530.815771724137</v>
      </c>
      <c r="N274" s="226">
        <v>14285.380101385063</v>
      </c>
      <c r="O274" s="578">
        <v>0</v>
      </c>
      <c r="P274" s="574">
        <v>0</v>
      </c>
      <c r="Q274" s="579">
        <v>0</v>
      </c>
      <c r="R274" s="577">
        <v>0</v>
      </c>
      <c r="S274" s="226">
        <v>0</v>
      </c>
      <c r="T274" s="226">
        <v>0</v>
      </c>
      <c r="U274" s="578">
        <v>0</v>
      </c>
      <c r="V274" s="170">
        <v>0</v>
      </c>
    </row>
    <row r="275" spans="1:22">
      <c r="A275" s="580"/>
      <c r="B275" s="581" t="s">
        <v>696</v>
      </c>
      <c r="C275" s="582">
        <v>-16.519329647667995</v>
      </c>
      <c r="D275" s="584">
        <v>1.0840235465268093</v>
      </c>
      <c r="E275" s="584">
        <v>0</v>
      </c>
      <c r="F275" s="584">
        <v>1.9183520036341617</v>
      </c>
      <c r="G275" s="584">
        <v>-23.450466081504953</v>
      </c>
      <c r="H275" s="585">
        <v>0</v>
      </c>
      <c r="I275" s="586">
        <v>-7.5948040432987165</v>
      </c>
      <c r="J275" s="587">
        <v>0</v>
      </c>
      <c r="K275" s="584">
        <v>12.797726766075753</v>
      </c>
      <c r="L275" s="584">
        <v>2.4271818059995671</v>
      </c>
      <c r="M275" s="584">
        <v>0.28646944446504197</v>
      </c>
      <c r="N275" s="584">
        <v>6.8360187882621979</v>
      </c>
      <c r="O275" s="588">
        <v>0</v>
      </c>
      <c r="P275" s="582">
        <v>0</v>
      </c>
      <c r="Q275" s="589">
        <v>0</v>
      </c>
      <c r="R275" s="587">
        <v>0</v>
      </c>
      <c r="S275" s="584">
        <v>0</v>
      </c>
      <c r="T275" s="584">
        <v>0</v>
      </c>
      <c r="U275" s="588">
        <v>0</v>
      </c>
      <c r="V275" s="170">
        <v>0</v>
      </c>
    </row>
    <row r="276" spans="1:22">
      <c r="A276" s="549" t="s">
        <v>683</v>
      </c>
      <c r="B276" s="556" t="s">
        <v>726</v>
      </c>
      <c r="C276" s="566">
        <v>10449.154954425168</v>
      </c>
      <c r="D276" s="94">
        <v>8205.0379092475596</v>
      </c>
      <c r="E276" s="94">
        <v>7500.924242424242</v>
      </c>
      <c r="F276" s="94">
        <v>6789.5331010452965</v>
      </c>
      <c r="G276" s="95">
        <v>6202.0825242718447</v>
      </c>
      <c r="H276" s="567">
        <v>6181.4772117962466</v>
      </c>
      <c r="I276" s="568">
        <v>8434.658433850278</v>
      </c>
      <c r="J276" s="569">
        <v>0</v>
      </c>
      <c r="K276" s="94">
        <v>4255.6652702136571</v>
      </c>
      <c r="L276" s="94">
        <v>4035.1391407173828</v>
      </c>
      <c r="M276" s="94">
        <v>3923.1930618401207</v>
      </c>
      <c r="N276" s="570">
        <v>4095.6120000000001</v>
      </c>
      <c r="O276" s="571">
        <v>0</v>
      </c>
      <c r="P276" s="566">
        <v>0</v>
      </c>
      <c r="Q276" s="572">
        <v>0</v>
      </c>
      <c r="R276" s="569">
        <v>0</v>
      </c>
      <c r="S276" s="570">
        <v>0</v>
      </c>
      <c r="T276" s="570">
        <v>0</v>
      </c>
      <c r="U276" s="571">
        <v>0</v>
      </c>
      <c r="V276" s="170">
        <v>0</v>
      </c>
    </row>
    <row r="277" spans="1:22">
      <c r="A277" s="554"/>
      <c r="B277" s="573" t="s">
        <v>728</v>
      </c>
      <c r="C277" s="574">
        <v>11277.824284880327</v>
      </c>
      <c r="D277" s="226">
        <v>8800.9015659955257</v>
      </c>
      <c r="E277" s="226">
        <v>8067.3201850499145</v>
      </c>
      <c r="F277" s="226">
        <v>7482.7942238267151</v>
      </c>
      <c r="G277" s="226">
        <v>6745.5223214285716</v>
      </c>
      <c r="H277" s="575">
        <v>6778.9354005167961</v>
      </c>
      <c r="I277" s="576">
        <v>9077.1788495824349</v>
      </c>
      <c r="J277" s="577">
        <v>0</v>
      </c>
      <c r="K277" s="226">
        <v>5110.6101236476043</v>
      </c>
      <c r="L277" s="226">
        <v>4908.8037904124858</v>
      </c>
      <c r="M277" s="226">
        <v>4651.9574309185964</v>
      </c>
      <c r="N277" s="226">
        <v>4935.7541553339379</v>
      </c>
      <c r="O277" s="578">
        <v>0</v>
      </c>
      <c r="P277" s="574">
        <v>0</v>
      </c>
      <c r="Q277" s="579">
        <v>0</v>
      </c>
      <c r="R277" s="577">
        <v>0</v>
      </c>
      <c r="S277" s="226">
        <v>0</v>
      </c>
      <c r="T277" s="226">
        <v>0</v>
      </c>
      <c r="U277" s="578">
        <v>0</v>
      </c>
      <c r="V277" s="170">
        <v>0</v>
      </c>
    </row>
    <row r="278" spans="1:22">
      <c r="A278" s="580"/>
      <c r="B278" s="581" t="s">
        <v>495</v>
      </c>
      <c r="C278" s="582">
        <v>7.9304913561859038</v>
      </c>
      <c r="D278" s="584">
        <v>7.2621682354007513</v>
      </c>
      <c r="E278" s="584">
        <v>7.5510153725085152</v>
      </c>
      <c r="F278" s="584">
        <v>10.21073338127899</v>
      </c>
      <c r="G278" s="584">
        <v>8.762214869440637</v>
      </c>
      <c r="H278" s="585">
        <v>9.6652979255574554</v>
      </c>
      <c r="I278" s="586">
        <v>7.6176222282288348</v>
      </c>
      <c r="J278" s="587">
        <v>0</v>
      </c>
      <c r="K278" s="584">
        <v>20.089570000204091</v>
      </c>
      <c r="L278" s="584">
        <v>21.651413228337386</v>
      </c>
      <c r="M278" s="584">
        <v>18.575796744926407</v>
      </c>
      <c r="N278" s="584">
        <v>20.513226236614646</v>
      </c>
      <c r="O278" s="588">
        <v>0</v>
      </c>
      <c r="P278" s="582">
        <v>0</v>
      </c>
      <c r="Q278" s="589">
        <v>0</v>
      </c>
      <c r="R278" s="587">
        <v>0</v>
      </c>
      <c r="S278" s="584">
        <v>0</v>
      </c>
      <c r="T278" s="584">
        <v>0</v>
      </c>
      <c r="U278" s="588">
        <v>0</v>
      </c>
      <c r="V278" s="170">
        <v>0</v>
      </c>
    </row>
    <row r="279" spans="1:22">
      <c r="A279" s="554"/>
      <c r="B279" s="556" t="s">
        <v>730</v>
      </c>
      <c r="C279" s="566">
        <v>4527</v>
      </c>
      <c r="D279" s="94">
        <v>4527</v>
      </c>
      <c r="E279" s="94">
        <v>4527</v>
      </c>
      <c r="F279" s="94">
        <v>4527</v>
      </c>
      <c r="G279" s="95">
        <v>4527</v>
      </c>
      <c r="H279" s="567">
        <v>4527</v>
      </c>
      <c r="I279" s="568">
        <v>4527</v>
      </c>
      <c r="J279" s="569">
        <v>0</v>
      </c>
      <c r="K279" s="94">
        <v>4293.724649629019</v>
      </c>
      <c r="L279" s="94">
        <v>4105.7520215633422</v>
      </c>
      <c r="M279" s="94">
        <v>3836.4939759036147</v>
      </c>
      <c r="N279" s="570">
        <v>4121.2530310187376</v>
      </c>
      <c r="O279" s="571">
        <v>0</v>
      </c>
      <c r="P279" s="566">
        <v>0</v>
      </c>
      <c r="Q279" s="572">
        <v>0</v>
      </c>
      <c r="R279" s="569">
        <v>0</v>
      </c>
      <c r="S279" s="570">
        <v>0</v>
      </c>
      <c r="T279" s="570">
        <v>0</v>
      </c>
      <c r="U279" s="571">
        <v>0</v>
      </c>
      <c r="V279" s="170">
        <v>0</v>
      </c>
    </row>
    <row r="280" spans="1:22">
      <c r="A280" s="554"/>
      <c r="B280" s="573" t="s">
        <v>732</v>
      </c>
      <c r="C280" s="574">
        <v>4930</v>
      </c>
      <c r="D280" s="226">
        <v>4930</v>
      </c>
      <c r="E280" s="226">
        <v>4930</v>
      </c>
      <c r="F280" s="226">
        <v>4930</v>
      </c>
      <c r="G280" s="226">
        <v>4930</v>
      </c>
      <c r="H280" s="575">
        <v>4930</v>
      </c>
      <c r="I280" s="576">
        <v>4930</v>
      </c>
      <c r="J280" s="577">
        <v>0</v>
      </c>
      <c r="K280" s="226">
        <v>4698.1853695901955</v>
      </c>
      <c r="L280" s="226">
        <v>4562.9857871720114</v>
      </c>
      <c r="M280" s="226">
        <v>4323.9687034277194</v>
      </c>
      <c r="N280" s="226">
        <v>4567.8006570106018</v>
      </c>
      <c r="O280" s="578">
        <v>0</v>
      </c>
      <c r="P280" s="574">
        <v>0</v>
      </c>
      <c r="Q280" s="579">
        <v>0</v>
      </c>
      <c r="R280" s="577">
        <v>0</v>
      </c>
      <c r="S280" s="226">
        <v>0</v>
      </c>
      <c r="T280" s="226">
        <v>0</v>
      </c>
      <c r="U280" s="578">
        <v>0</v>
      </c>
      <c r="V280" s="170">
        <v>0</v>
      </c>
    </row>
    <row r="281" spans="1:22">
      <c r="A281" s="580"/>
      <c r="B281" s="581" t="s">
        <v>497</v>
      </c>
      <c r="C281" s="582">
        <v>8.9021426993593984</v>
      </c>
      <c r="D281" s="584">
        <v>8.9021426993593984</v>
      </c>
      <c r="E281" s="584">
        <v>8.9021426993593984</v>
      </c>
      <c r="F281" s="584">
        <v>8.9021426993593984</v>
      </c>
      <c r="G281" s="584">
        <v>8.9021426993593984</v>
      </c>
      <c r="H281" s="585">
        <v>8.9021426993593984</v>
      </c>
      <c r="I281" s="586">
        <v>8.9021426993593984</v>
      </c>
      <c r="J281" s="587">
        <v>0</v>
      </c>
      <c r="K281" s="584">
        <v>9.419810373637306</v>
      </c>
      <c r="L281" s="584">
        <v>11.13641942346457</v>
      </c>
      <c r="M281" s="584">
        <v>12.706255518341825</v>
      </c>
      <c r="N281" s="584">
        <v>10.835239249590106</v>
      </c>
      <c r="O281" s="588">
        <v>0</v>
      </c>
      <c r="P281" s="582">
        <v>0</v>
      </c>
      <c r="Q281" s="589">
        <v>0</v>
      </c>
      <c r="R281" s="587">
        <v>0</v>
      </c>
      <c r="S281" s="584">
        <v>0</v>
      </c>
      <c r="T281" s="584">
        <v>0</v>
      </c>
      <c r="U281" s="588">
        <v>0</v>
      </c>
      <c r="V281" s="170">
        <v>0</v>
      </c>
    </row>
    <row r="282" spans="1:22">
      <c r="A282" s="554"/>
      <c r="B282" s="556" t="s">
        <v>734</v>
      </c>
      <c r="C282" s="566">
        <v>499.93237283152013</v>
      </c>
      <c r="D282" s="94">
        <v>394.26191843767947</v>
      </c>
      <c r="E282" s="94">
        <v>367.76055638350721</v>
      </c>
      <c r="F282" s="94">
        <v>351.86759581881535</v>
      </c>
      <c r="G282" s="95">
        <v>347.48220064724921</v>
      </c>
      <c r="H282" s="567">
        <v>353.05361930294907</v>
      </c>
      <c r="I282" s="568">
        <v>413.04834386367986</v>
      </c>
      <c r="J282" s="569">
        <v>0</v>
      </c>
      <c r="K282" s="94">
        <v>234.44370860927151</v>
      </c>
      <c r="L282" s="94">
        <v>239.89156626506025</v>
      </c>
      <c r="M282" s="94">
        <v>0</v>
      </c>
      <c r="N282" s="570">
        <v>235.28731343283582</v>
      </c>
      <c r="O282" s="571">
        <v>0</v>
      </c>
      <c r="P282" s="566">
        <v>0</v>
      </c>
      <c r="Q282" s="572">
        <v>0</v>
      </c>
      <c r="R282" s="569">
        <v>0</v>
      </c>
      <c r="S282" s="570">
        <v>0</v>
      </c>
      <c r="T282" s="570">
        <v>0</v>
      </c>
      <c r="U282" s="571">
        <v>0</v>
      </c>
      <c r="V282" s="170">
        <v>0</v>
      </c>
    </row>
    <row r="283" spans="1:22">
      <c r="A283" s="554"/>
      <c r="B283" s="573" t="s">
        <v>736</v>
      </c>
      <c r="C283" s="574">
        <v>501.75189725627553</v>
      </c>
      <c r="D283" s="226">
        <v>393.90044742729305</v>
      </c>
      <c r="E283" s="226">
        <v>365.81908935962991</v>
      </c>
      <c r="F283" s="226">
        <v>357.27436823104694</v>
      </c>
      <c r="G283" s="226">
        <v>342.69494047619048</v>
      </c>
      <c r="H283" s="575">
        <v>353.11627906976742</v>
      </c>
      <c r="I283" s="576">
        <v>412.08848644083702</v>
      </c>
      <c r="J283" s="577">
        <v>0</v>
      </c>
      <c r="K283" s="226">
        <v>229.92445328031809</v>
      </c>
      <c r="L283" s="226">
        <v>288.30120481927713</v>
      </c>
      <c r="M283" s="226">
        <v>0</v>
      </c>
      <c r="N283" s="226">
        <v>238.19283276450511</v>
      </c>
      <c r="O283" s="578">
        <v>0</v>
      </c>
      <c r="P283" s="574">
        <v>0</v>
      </c>
      <c r="Q283" s="579">
        <v>0</v>
      </c>
      <c r="R283" s="577">
        <v>0</v>
      </c>
      <c r="S283" s="226">
        <v>0</v>
      </c>
      <c r="T283" s="226">
        <v>0</v>
      </c>
      <c r="U283" s="578">
        <v>0</v>
      </c>
      <c r="V283" s="170">
        <v>0</v>
      </c>
    </row>
    <row r="284" spans="1:22">
      <c r="A284" s="580"/>
      <c r="B284" s="581" t="s">
        <v>499</v>
      </c>
      <c r="C284" s="582">
        <v>0.3639541113230908</v>
      </c>
      <c r="D284" s="584">
        <v>-9.168296340128558E-2</v>
      </c>
      <c r="E284" s="584">
        <v>-0.5279160557535969</v>
      </c>
      <c r="F284" s="584">
        <v>1.5365928765477057</v>
      </c>
      <c r="G284" s="584">
        <v>-1.3776993935636372</v>
      </c>
      <c r="H284" s="585">
        <v>1.7747946315365467E-2</v>
      </c>
      <c r="I284" s="586">
        <v>-0.23238379649807547</v>
      </c>
      <c r="J284" s="587">
        <v>0</v>
      </c>
      <c r="K284" s="584">
        <v>-1.9276505032964224</v>
      </c>
      <c r="L284" s="584">
        <v>20.179800110491694</v>
      </c>
      <c r="M284" s="584">
        <v>0</v>
      </c>
      <c r="N284" s="584">
        <v>1.2348814261499461</v>
      </c>
      <c r="O284" s="588">
        <v>0</v>
      </c>
      <c r="P284" s="582">
        <v>0</v>
      </c>
      <c r="Q284" s="589">
        <v>0</v>
      </c>
      <c r="R284" s="587">
        <v>0</v>
      </c>
      <c r="S284" s="584">
        <v>0</v>
      </c>
      <c r="T284" s="584">
        <v>0</v>
      </c>
      <c r="U284" s="588">
        <v>0</v>
      </c>
      <c r="V284" s="170">
        <v>0</v>
      </c>
    </row>
    <row r="285" spans="1:22">
      <c r="A285" s="554"/>
      <c r="B285" s="556" t="s">
        <v>738</v>
      </c>
      <c r="C285" s="566">
        <v>6550.9464863275507</v>
      </c>
      <c r="D285" s="94">
        <v>5554.6800689259044</v>
      </c>
      <c r="E285" s="94">
        <v>5319.7354694485839</v>
      </c>
      <c r="F285" s="94">
        <v>5146.5331010452965</v>
      </c>
      <c r="G285" s="95">
        <v>5069.4724919093851</v>
      </c>
      <c r="H285" s="567">
        <v>5167.5898123324396</v>
      </c>
      <c r="I285" s="568">
        <v>5734.7522496649435</v>
      </c>
      <c r="J285" s="569">
        <v>0</v>
      </c>
      <c r="K285" s="94">
        <v>3759.7992744860944</v>
      </c>
      <c r="L285" s="94">
        <v>3593.8645753634278</v>
      </c>
      <c r="M285" s="94">
        <v>3427.6276276276276</v>
      </c>
      <c r="N285" s="570">
        <v>3623.4672475494008</v>
      </c>
      <c r="O285" s="571">
        <v>0</v>
      </c>
      <c r="P285" s="566">
        <v>0</v>
      </c>
      <c r="Q285" s="572">
        <v>0</v>
      </c>
      <c r="R285" s="569">
        <v>0</v>
      </c>
      <c r="S285" s="570">
        <v>0</v>
      </c>
      <c r="T285" s="570">
        <v>0</v>
      </c>
      <c r="U285" s="571">
        <v>0</v>
      </c>
      <c r="V285" s="170">
        <v>0</v>
      </c>
    </row>
    <row r="286" spans="1:22">
      <c r="A286" s="554"/>
      <c r="B286" s="573" t="s">
        <v>740</v>
      </c>
      <c r="C286" s="574">
        <v>6651.4249854057207</v>
      </c>
      <c r="D286" s="226">
        <v>5575.684004474273</v>
      </c>
      <c r="E286" s="226">
        <v>5312.2081811541275</v>
      </c>
      <c r="F286" s="226">
        <v>5247.7184115523469</v>
      </c>
      <c r="G286" s="226">
        <v>5019.2351190476193</v>
      </c>
      <c r="H286" s="575">
        <v>5174.5400516795862</v>
      </c>
      <c r="I286" s="576">
        <v>5761.7936567514307</v>
      </c>
      <c r="J286" s="577">
        <v>0</v>
      </c>
      <c r="K286" s="226">
        <v>3702.3029400818755</v>
      </c>
      <c r="L286" s="226">
        <v>3626.60057782593</v>
      </c>
      <c r="M286" s="226">
        <v>3519.8379182156132</v>
      </c>
      <c r="N286" s="226">
        <v>3635.3958241435084</v>
      </c>
      <c r="O286" s="578">
        <v>0</v>
      </c>
      <c r="P286" s="574">
        <v>0</v>
      </c>
      <c r="Q286" s="579">
        <v>0</v>
      </c>
      <c r="R286" s="577">
        <v>0</v>
      </c>
      <c r="S286" s="226">
        <v>0</v>
      </c>
      <c r="T286" s="226">
        <v>0</v>
      </c>
      <c r="U286" s="578">
        <v>0</v>
      </c>
      <c r="V286" s="170">
        <v>0</v>
      </c>
    </row>
    <row r="287" spans="1:22">
      <c r="A287" s="580"/>
      <c r="B287" s="581" t="s">
        <v>569</v>
      </c>
      <c r="C287" s="582">
        <v>1.533801249756477</v>
      </c>
      <c r="D287" s="584">
        <v>0.37813042853483597</v>
      </c>
      <c r="E287" s="584">
        <v>-0.14149741726230328</v>
      </c>
      <c r="F287" s="584">
        <v>1.9660868495434136</v>
      </c>
      <c r="G287" s="584">
        <v>-0.990978310700809</v>
      </c>
      <c r="H287" s="585">
        <v>0.1344967305756333</v>
      </c>
      <c r="I287" s="586">
        <v>0.47153575096582606</v>
      </c>
      <c r="J287" s="587">
        <v>0</v>
      </c>
      <c r="K287" s="584">
        <v>-1.5292394674999714</v>
      </c>
      <c r="L287" s="584">
        <v>0.91088581041459649</v>
      </c>
      <c r="M287" s="584">
        <v>2.6902073563868232</v>
      </c>
      <c r="N287" s="584">
        <v>0.32920337839882802</v>
      </c>
      <c r="O287" s="588">
        <v>0</v>
      </c>
      <c r="P287" s="582">
        <v>0</v>
      </c>
      <c r="Q287" s="589">
        <v>0</v>
      </c>
      <c r="R287" s="587">
        <v>0</v>
      </c>
      <c r="S287" s="584">
        <v>0</v>
      </c>
      <c r="T287" s="584">
        <v>0</v>
      </c>
      <c r="U287" s="588">
        <v>0</v>
      </c>
      <c r="V287" s="170">
        <v>0</v>
      </c>
    </row>
    <row r="288" spans="1:22">
      <c r="A288" s="554"/>
      <c r="B288" s="556" t="s">
        <v>742</v>
      </c>
      <c r="C288" s="566">
        <v>86.818288738606299</v>
      </c>
      <c r="D288" s="94">
        <v>68.287191269385417</v>
      </c>
      <c r="E288" s="94">
        <v>63.6621957277695</v>
      </c>
      <c r="F288" s="94">
        <v>60.89198606271777</v>
      </c>
      <c r="G288" s="95">
        <v>60.165048543689323</v>
      </c>
      <c r="H288" s="567">
        <v>61.13672922252011</v>
      </c>
      <c r="I288" s="568">
        <v>71.59898525751484</v>
      </c>
      <c r="J288" s="569">
        <v>0</v>
      </c>
      <c r="K288" s="94">
        <v>747.88130563798222</v>
      </c>
      <c r="L288" s="94">
        <v>250.64935064935065</v>
      </c>
      <c r="M288" s="94">
        <v>0</v>
      </c>
      <c r="N288" s="570">
        <v>655.40096618357484</v>
      </c>
      <c r="O288" s="571">
        <v>0</v>
      </c>
      <c r="P288" s="566">
        <v>0</v>
      </c>
      <c r="Q288" s="572">
        <v>0</v>
      </c>
      <c r="R288" s="569">
        <v>0</v>
      </c>
      <c r="S288" s="570">
        <v>0</v>
      </c>
      <c r="T288" s="570">
        <v>0</v>
      </c>
      <c r="U288" s="571">
        <v>0</v>
      </c>
      <c r="V288" s="170">
        <v>0</v>
      </c>
    </row>
    <row r="289" spans="1:22">
      <c r="A289" s="554"/>
      <c r="B289" s="573" t="s">
        <v>567</v>
      </c>
      <c r="C289" s="574">
        <v>87.091943957968482</v>
      </c>
      <c r="D289" s="226">
        <v>68.223713646532445</v>
      </c>
      <c r="E289" s="226">
        <v>63.329681032383732</v>
      </c>
      <c r="F289" s="226">
        <v>61.848375451263536</v>
      </c>
      <c r="G289" s="226">
        <v>59.328869047619051</v>
      </c>
      <c r="H289" s="575">
        <v>61.152454780361758</v>
      </c>
      <c r="I289" s="576">
        <v>71.420005630102281</v>
      </c>
      <c r="J289" s="577">
        <v>0</v>
      </c>
      <c r="K289" s="226">
        <v>307.95271867612291</v>
      </c>
      <c r="L289" s="226">
        <v>167.24175824175825</v>
      </c>
      <c r="M289" s="226">
        <v>0</v>
      </c>
      <c r="N289" s="226">
        <v>283.04085603112838</v>
      </c>
      <c r="O289" s="578">
        <v>0</v>
      </c>
      <c r="P289" s="574">
        <v>0</v>
      </c>
      <c r="Q289" s="579">
        <v>0</v>
      </c>
      <c r="R289" s="577">
        <v>0</v>
      </c>
      <c r="S289" s="226">
        <v>0</v>
      </c>
      <c r="T289" s="226">
        <v>0</v>
      </c>
      <c r="U289" s="578">
        <v>0</v>
      </c>
      <c r="V289" s="170">
        <v>0</v>
      </c>
    </row>
    <row r="290" spans="1:22">
      <c r="A290" s="580"/>
      <c r="B290" s="581" t="s">
        <v>37</v>
      </c>
      <c r="C290" s="582">
        <v>0.31520457652201395</v>
      </c>
      <c r="D290" s="584">
        <v>-9.2956851311338101E-2</v>
      </c>
      <c r="E290" s="584">
        <v>-0.52231106952021944</v>
      </c>
      <c r="F290" s="584">
        <v>1.5706326076484023</v>
      </c>
      <c r="G290" s="584">
        <v>-1.3898093931779578</v>
      </c>
      <c r="H290" s="585">
        <v>2.5721948232480168E-2</v>
      </c>
      <c r="I290" s="586">
        <v>-0.24997508940781255</v>
      </c>
      <c r="J290" s="587">
        <v>0</v>
      </c>
      <c r="K290" s="584">
        <v>-58.823316433424822</v>
      </c>
      <c r="L290" s="584">
        <v>-33.276604224790752</v>
      </c>
      <c r="M290" s="584">
        <v>0</v>
      </c>
      <c r="N290" s="584">
        <v>-56.814092344220022</v>
      </c>
      <c r="O290" s="588">
        <v>0</v>
      </c>
      <c r="P290" s="582">
        <v>0</v>
      </c>
      <c r="Q290" s="589">
        <v>0</v>
      </c>
      <c r="R290" s="587">
        <v>0</v>
      </c>
      <c r="S290" s="584">
        <v>0</v>
      </c>
      <c r="T290" s="584">
        <v>0</v>
      </c>
      <c r="U290" s="588">
        <v>0</v>
      </c>
      <c r="V290" s="170">
        <v>0</v>
      </c>
    </row>
    <row r="291" spans="1:22">
      <c r="A291" s="554"/>
      <c r="B291" s="556" t="s">
        <v>571</v>
      </c>
      <c r="C291" s="566">
        <v>137.89349112426035</v>
      </c>
      <c r="D291" s="94">
        <v>109.70810810810811</v>
      </c>
      <c r="E291" s="94">
        <v>105.96473779385171</v>
      </c>
      <c r="F291" s="94">
        <v>103.49612403100775</v>
      </c>
      <c r="G291" s="95">
        <v>110.31297709923665</v>
      </c>
      <c r="H291" s="567">
        <v>108.89393939393939</v>
      </c>
      <c r="I291" s="568">
        <v>114.51906058543227</v>
      </c>
      <c r="J291" s="569">
        <v>0</v>
      </c>
      <c r="K291" s="94">
        <v>88.97374701670644</v>
      </c>
      <c r="L291" s="94">
        <v>98.550932568149207</v>
      </c>
      <c r="M291" s="94">
        <v>108.11724137931034</v>
      </c>
      <c r="N291" s="570">
        <v>94.599404761904765</v>
      </c>
      <c r="O291" s="571">
        <v>0</v>
      </c>
      <c r="P291" s="566">
        <v>0</v>
      </c>
      <c r="Q291" s="572">
        <v>0</v>
      </c>
      <c r="R291" s="569">
        <v>0</v>
      </c>
      <c r="S291" s="570">
        <v>0</v>
      </c>
      <c r="T291" s="570">
        <v>0</v>
      </c>
      <c r="U291" s="571">
        <v>0</v>
      </c>
      <c r="V291" s="170">
        <v>0</v>
      </c>
    </row>
    <row r="292" spans="1:22">
      <c r="A292" s="554"/>
      <c r="B292" s="573" t="s">
        <v>573</v>
      </c>
      <c r="C292" s="574">
        <v>138.045390070922</v>
      </c>
      <c r="D292" s="226">
        <v>108.72749391727494</v>
      </c>
      <c r="E292" s="226">
        <v>104.6563055062167</v>
      </c>
      <c r="F292" s="226">
        <v>108.16935483870968</v>
      </c>
      <c r="G292" s="226">
        <v>108.27699530516432</v>
      </c>
      <c r="H292" s="575">
        <v>109.18085106382979</v>
      </c>
      <c r="I292" s="576">
        <v>113.9167208848406</v>
      </c>
      <c r="J292" s="577">
        <v>0</v>
      </c>
      <c r="K292" s="226">
        <v>73.419391206313421</v>
      </c>
      <c r="L292" s="226">
        <v>92.62841530054645</v>
      </c>
      <c r="M292" s="226">
        <v>101.24827586206897</v>
      </c>
      <c r="N292" s="226">
        <v>83.678004535147394</v>
      </c>
      <c r="O292" s="578">
        <v>0</v>
      </c>
      <c r="P292" s="574">
        <v>0</v>
      </c>
      <c r="Q292" s="579">
        <v>0</v>
      </c>
      <c r="R292" s="577">
        <v>0</v>
      </c>
      <c r="S292" s="226">
        <v>0</v>
      </c>
      <c r="T292" s="226">
        <v>0</v>
      </c>
      <c r="U292" s="578">
        <v>0</v>
      </c>
      <c r="V292" s="170">
        <v>0</v>
      </c>
    </row>
    <row r="293" spans="1:22">
      <c r="A293" s="580"/>
      <c r="B293" s="581" t="s">
        <v>39</v>
      </c>
      <c r="C293" s="582">
        <v>0.11015671981556034</v>
      </c>
      <c r="D293" s="584">
        <v>-0.89383930480949736</v>
      </c>
      <c r="E293" s="584">
        <v>-1.2347808477387014</v>
      </c>
      <c r="F293" s="584">
        <v>4.515367943925912</v>
      </c>
      <c r="G293" s="584">
        <v>-1.8456412360630745</v>
      </c>
      <c r="H293" s="585">
        <v>0.26347808839246495</v>
      </c>
      <c r="I293" s="586">
        <v>-0.52597331615580245</v>
      </c>
      <c r="J293" s="587">
        <v>0</v>
      </c>
      <c r="K293" s="584">
        <v>-17.481961063719623</v>
      </c>
      <c r="L293" s="584">
        <v>-6.009600430221461</v>
      </c>
      <c r="M293" s="584">
        <v>-6.3532563628245189</v>
      </c>
      <c r="N293" s="584">
        <v>-11.54489317797</v>
      </c>
      <c r="O293" s="588">
        <v>0</v>
      </c>
      <c r="P293" s="582">
        <v>0</v>
      </c>
      <c r="Q293" s="589">
        <v>0</v>
      </c>
      <c r="R293" s="587">
        <v>0</v>
      </c>
      <c r="S293" s="584">
        <v>0</v>
      </c>
      <c r="T293" s="584">
        <v>0</v>
      </c>
      <c r="U293" s="588">
        <v>0</v>
      </c>
      <c r="V293" s="170">
        <v>0</v>
      </c>
    </row>
    <row r="294" spans="1:22">
      <c r="A294" s="554"/>
      <c r="B294" s="556" t="s">
        <v>575</v>
      </c>
      <c r="C294" s="566">
        <v>839.02558071155545</v>
      </c>
      <c r="D294" s="94">
        <v>659.84549109707064</v>
      </c>
      <c r="E294" s="94">
        <v>615.30303030303025</v>
      </c>
      <c r="F294" s="94">
        <v>588.73519163763069</v>
      </c>
      <c r="G294" s="95">
        <v>581.37055016181228</v>
      </c>
      <c r="H294" s="567">
        <v>590.65951742627351</v>
      </c>
      <c r="I294" s="568">
        <v>691.94878422362626</v>
      </c>
      <c r="J294" s="569">
        <v>0</v>
      </c>
      <c r="K294" s="94">
        <v>82.527593818984542</v>
      </c>
      <c r="L294" s="94">
        <v>300.56937799043061</v>
      </c>
      <c r="M294" s="94">
        <v>121.29032258064517</v>
      </c>
      <c r="N294" s="570">
        <v>148.79005524861878</v>
      </c>
      <c r="O294" s="571">
        <v>0</v>
      </c>
      <c r="P294" s="566">
        <v>0</v>
      </c>
      <c r="Q294" s="572">
        <v>0</v>
      </c>
      <c r="R294" s="569">
        <v>0</v>
      </c>
      <c r="S294" s="570">
        <v>0</v>
      </c>
      <c r="T294" s="570">
        <v>0</v>
      </c>
      <c r="U294" s="571">
        <v>0</v>
      </c>
      <c r="V294" s="170">
        <v>0</v>
      </c>
    </row>
    <row r="295" spans="1:22">
      <c r="A295" s="554"/>
      <c r="B295" s="573" t="s">
        <v>577</v>
      </c>
      <c r="C295" s="574">
        <v>841.69497956800933</v>
      </c>
      <c r="D295" s="226">
        <v>659.21364653243847</v>
      </c>
      <c r="E295" s="226">
        <v>612.05916727538352</v>
      </c>
      <c r="F295" s="226">
        <v>597.77256317689535</v>
      </c>
      <c r="G295" s="226">
        <v>573.37351190476193</v>
      </c>
      <c r="H295" s="575">
        <v>590.74677002583974</v>
      </c>
      <c r="I295" s="576">
        <v>690.20897062963309</v>
      </c>
      <c r="J295" s="577">
        <v>0</v>
      </c>
      <c r="K295" s="226">
        <v>74.206759443339962</v>
      </c>
      <c r="L295" s="226">
        <v>260.38604651162791</v>
      </c>
      <c r="M295" s="226">
        <v>119.3225806451613</v>
      </c>
      <c r="N295" s="226">
        <v>129.11153846153846</v>
      </c>
      <c r="O295" s="578">
        <v>0</v>
      </c>
      <c r="P295" s="574">
        <v>0</v>
      </c>
      <c r="Q295" s="579">
        <v>0</v>
      </c>
      <c r="R295" s="577">
        <v>0</v>
      </c>
      <c r="S295" s="226">
        <v>0</v>
      </c>
      <c r="T295" s="226">
        <v>0</v>
      </c>
      <c r="U295" s="578">
        <v>0</v>
      </c>
      <c r="V295" s="170">
        <v>0</v>
      </c>
    </row>
    <row r="296" spans="1:22">
      <c r="A296" s="580"/>
      <c r="B296" s="581" t="s">
        <v>501</v>
      </c>
      <c r="C296" s="582">
        <v>0.31815464484289435</v>
      </c>
      <c r="D296" s="584">
        <v>-9.5756441948499915E-2</v>
      </c>
      <c r="E296" s="584">
        <v>-0.52719763561852939</v>
      </c>
      <c r="F296" s="584">
        <v>1.5350486377629691</v>
      </c>
      <c r="G296" s="584">
        <v>-1.3755492525076376</v>
      </c>
      <c r="H296" s="585">
        <v>1.4772063598741239E-2</v>
      </c>
      <c r="I296" s="586">
        <v>-0.25143675856664238</v>
      </c>
      <c r="J296" s="587">
        <v>0</v>
      </c>
      <c r="K296" s="584">
        <v>-10.08248755427844</v>
      </c>
      <c r="L296" s="584">
        <v>-13.369070311641007</v>
      </c>
      <c r="M296" s="584">
        <v>-1.6223404255319156</v>
      </c>
      <c r="N296" s="584">
        <v>-13.225693581603132</v>
      </c>
      <c r="O296" s="588">
        <v>0</v>
      </c>
      <c r="P296" s="582">
        <v>0</v>
      </c>
      <c r="Q296" s="589">
        <v>0</v>
      </c>
      <c r="R296" s="587">
        <v>0</v>
      </c>
      <c r="S296" s="584">
        <v>0</v>
      </c>
      <c r="T296" s="584">
        <v>0</v>
      </c>
      <c r="U296" s="588">
        <v>0</v>
      </c>
      <c r="V296" s="170">
        <v>0</v>
      </c>
    </row>
    <row r="297" spans="1:22">
      <c r="A297" s="554"/>
      <c r="B297" s="556" t="s">
        <v>579</v>
      </c>
      <c r="C297" s="566">
        <v>0</v>
      </c>
      <c r="D297" s="94">
        <v>0</v>
      </c>
      <c r="E297" s="94">
        <v>0</v>
      </c>
      <c r="F297" s="94">
        <v>0</v>
      </c>
      <c r="G297" s="95">
        <v>0</v>
      </c>
      <c r="H297" s="567">
        <v>0</v>
      </c>
      <c r="I297" s="568">
        <v>0</v>
      </c>
      <c r="J297" s="569">
        <v>0</v>
      </c>
      <c r="K297" s="94">
        <v>0</v>
      </c>
      <c r="L297" s="94">
        <v>0</v>
      </c>
      <c r="M297" s="94">
        <v>0</v>
      </c>
      <c r="N297" s="570">
        <v>0</v>
      </c>
      <c r="O297" s="571">
        <v>0</v>
      </c>
      <c r="P297" s="566">
        <v>0</v>
      </c>
      <c r="Q297" s="572">
        <v>0</v>
      </c>
      <c r="R297" s="569">
        <v>0</v>
      </c>
      <c r="S297" s="570">
        <v>0</v>
      </c>
      <c r="T297" s="570">
        <v>0</v>
      </c>
      <c r="U297" s="571">
        <v>0</v>
      </c>
      <c r="V297" s="170">
        <v>0</v>
      </c>
    </row>
    <row r="298" spans="1:22">
      <c r="A298" s="554"/>
      <c r="B298" s="573" t="s">
        <v>581</v>
      </c>
      <c r="C298" s="574">
        <v>0</v>
      </c>
      <c r="D298" s="226">
        <v>0</v>
      </c>
      <c r="E298" s="226">
        <v>0</v>
      </c>
      <c r="F298" s="226">
        <v>0</v>
      </c>
      <c r="G298" s="226">
        <v>0</v>
      </c>
      <c r="H298" s="575">
        <v>0</v>
      </c>
      <c r="I298" s="576">
        <v>0</v>
      </c>
      <c r="J298" s="577">
        <v>0</v>
      </c>
      <c r="K298" s="226">
        <v>0</v>
      </c>
      <c r="L298" s="226">
        <v>0</v>
      </c>
      <c r="M298" s="226">
        <v>0</v>
      </c>
      <c r="N298" s="226">
        <v>0</v>
      </c>
      <c r="O298" s="578">
        <v>0</v>
      </c>
      <c r="P298" s="574">
        <v>0</v>
      </c>
      <c r="Q298" s="579">
        <v>0</v>
      </c>
      <c r="R298" s="577">
        <v>0</v>
      </c>
      <c r="S298" s="226">
        <v>0</v>
      </c>
      <c r="T298" s="226">
        <v>0</v>
      </c>
      <c r="U298" s="578">
        <v>0</v>
      </c>
      <c r="V298" s="170">
        <v>0</v>
      </c>
    </row>
    <row r="299" spans="1:22">
      <c r="A299" s="580"/>
      <c r="B299" s="581" t="s">
        <v>503</v>
      </c>
      <c r="C299" s="582">
        <v>0</v>
      </c>
      <c r="D299" s="584">
        <v>0</v>
      </c>
      <c r="E299" s="584">
        <v>0</v>
      </c>
      <c r="F299" s="584">
        <v>0</v>
      </c>
      <c r="G299" s="584">
        <v>0</v>
      </c>
      <c r="H299" s="585">
        <v>0</v>
      </c>
      <c r="I299" s="586">
        <v>0</v>
      </c>
      <c r="J299" s="587">
        <v>0</v>
      </c>
      <c r="K299" s="584">
        <v>0</v>
      </c>
      <c r="L299" s="584">
        <v>0</v>
      </c>
      <c r="M299" s="584">
        <v>0</v>
      </c>
      <c r="N299" s="584">
        <v>0</v>
      </c>
      <c r="O299" s="588">
        <v>0</v>
      </c>
      <c r="P299" s="582">
        <v>0</v>
      </c>
      <c r="Q299" s="589">
        <v>0</v>
      </c>
      <c r="R299" s="587">
        <v>0</v>
      </c>
      <c r="S299" s="584">
        <v>0</v>
      </c>
      <c r="T299" s="584">
        <v>0</v>
      </c>
      <c r="U299" s="588">
        <v>0</v>
      </c>
      <c r="V299" s="170">
        <v>0</v>
      </c>
    </row>
    <row r="300" spans="1:22">
      <c r="A300" s="554"/>
      <c r="B300" s="556" t="s">
        <v>583</v>
      </c>
      <c r="C300" s="566">
        <v>0</v>
      </c>
      <c r="D300" s="94">
        <v>0</v>
      </c>
      <c r="E300" s="94">
        <v>0</v>
      </c>
      <c r="F300" s="94">
        <v>0</v>
      </c>
      <c r="G300" s="95">
        <v>0</v>
      </c>
      <c r="H300" s="567">
        <v>0</v>
      </c>
      <c r="I300" s="568">
        <v>0</v>
      </c>
      <c r="J300" s="569">
        <v>0</v>
      </c>
      <c r="K300" s="94">
        <v>225</v>
      </c>
      <c r="L300" s="94">
        <v>0</v>
      </c>
      <c r="M300" s="94">
        <v>0</v>
      </c>
      <c r="N300" s="570">
        <v>225</v>
      </c>
      <c r="O300" s="571">
        <v>0</v>
      </c>
      <c r="P300" s="566">
        <v>0</v>
      </c>
      <c r="Q300" s="572">
        <v>0</v>
      </c>
      <c r="R300" s="569">
        <v>0</v>
      </c>
      <c r="S300" s="570">
        <v>0</v>
      </c>
      <c r="T300" s="570">
        <v>0</v>
      </c>
      <c r="U300" s="571">
        <v>0</v>
      </c>
      <c r="V300" s="170">
        <v>0</v>
      </c>
    </row>
    <row r="301" spans="1:22">
      <c r="A301" s="554"/>
      <c r="B301" s="573" t="s">
        <v>585</v>
      </c>
      <c r="C301" s="574">
        <v>0</v>
      </c>
      <c r="D301" s="226">
        <v>0</v>
      </c>
      <c r="E301" s="226">
        <v>0</v>
      </c>
      <c r="F301" s="226">
        <v>0</v>
      </c>
      <c r="G301" s="226">
        <v>0</v>
      </c>
      <c r="H301" s="575">
        <v>0</v>
      </c>
      <c r="I301" s="576">
        <v>0</v>
      </c>
      <c r="J301" s="577">
        <v>0</v>
      </c>
      <c r="K301" s="226">
        <v>225</v>
      </c>
      <c r="L301" s="226">
        <v>0</v>
      </c>
      <c r="M301" s="226">
        <v>0</v>
      </c>
      <c r="N301" s="226">
        <v>225</v>
      </c>
      <c r="O301" s="578">
        <v>0</v>
      </c>
      <c r="P301" s="574">
        <v>0</v>
      </c>
      <c r="Q301" s="579">
        <v>0</v>
      </c>
      <c r="R301" s="577">
        <v>0</v>
      </c>
      <c r="S301" s="226">
        <v>0</v>
      </c>
      <c r="T301" s="226">
        <v>0</v>
      </c>
      <c r="U301" s="578">
        <v>0</v>
      </c>
      <c r="V301" s="170">
        <v>0</v>
      </c>
    </row>
    <row r="302" spans="1:22">
      <c r="A302" s="580"/>
      <c r="B302" s="581" t="s">
        <v>694</v>
      </c>
      <c r="C302" s="582">
        <v>0</v>
      </c>
      <c r="D302" s="584">
        <v>0</v>
      </c>
      <c r="E302" s="584">
        <v>0</v>
      </c>
      <c r="F302" s="584">
        <v>0</v>
      </c>
      <c r="G302" s="584">
        <v>0</v>
      </c>
      <c r="H302" s="585">
        <v>0</v>
      </c>
      <c r="I302" s="586">
        <v>0</v>
      </c>
      <c r="J302" s="587">
        <v>0</v>
      </c>
      <c r="K302" s="584">
        <v>0</v>
      </c>
      <c r="L302" s="584">
        <v>0</v>
      </c>
      <c r="M302" s="584">
        <v>0</v>
      </c>
      <c r="N302" s="584">
        <v>0</v>
      </c>
      <c r="O302" s="588">
        <v>0</v>
      </c>
      <c r="P302" s="582">
        <v>0</v>
      </c>
      <c r="Q302" s="589">
        <v>0</v>
      </c>
      <c r="R302" s="587">
        <v>0</v>
      </c>
      <c r="S302" s="584">
        <v>0</v>
      </c>
      <c r="T302" s="584">
        <v>0</v>
      </c>
      <c r="U302" s="588">
        <v>0</v>
      </c>
      <c r="V302" s="170">
        <v>0</v>
      </c>
    </row>
    <row r="303" spans="1:22">
      <c r="A303" s="554"/>
      <c r="B303" s="556" t="s">
        <v>587</v>
      </c>
      <c r="C303" s="566">
        <v>22980.286092325787</v>
      </c>
      <c r="D303" s="94">
        <v>19432.427914991385</v>
      </c>
      <c r="E303" s="94">
        <v>18423.495529061103</v>
      </c>
      <c r="F303" s="94">
        <v>17511.080139372822</v>
      </c>
      <c r="G303" s="95">
        <v>16857.723300970873</v>
      </c>
      <c r="H303" s="567">
        <v>16957.989276139411</v>
      </c>
      <c r="I303" s="568">
        <v>19905.215967834578</v>
      </c>
      <c r="J303" s="569">
        <v>0</v>
      </c>
      <c r="K303" s="94">
        <v>12257.877871825876</v>
      </c>
      <c r="L303" s="94">
        <v>11654.501912777352</v>
      </c>
      <c r="M303" s="94">
        <v>11175.536786786786</v>
      </c>
      <c r="N303" s="570">
        <v>11788.155904776722</v>
      </c>
      <c r="O303" s="571">
        <v>0</v>
      </c>
      <c r="P303" s="566">
        <v>0</v>
      </c>
      <c r="Q303" s="572">
        <v>0</v>
      </c>
      <c r="R303" s="569">
        <v>0</v>
      </c>
      <c r="S303" s="570">
        <v>0</v>
      </c>
      <c r="T303" s="570">
        <v>0</v>
      </c>
      <c r="U303" s="571">
        <v>0</v>
      </c>
      <c r="V303" s="170">
        <v>0</v>
      </c>
    </row>
    <row r="304" spans="1:22">
      <c r="A304" s="554"/>
      <c r="B304" s="573" t="s">
        <v>589</v>
      </c>
      <c r="C304" s="574">
        <v>24318.194979568008</v>
      </c>
      <c r="D304" s="226">
        <v>20452.916107382549</v>
      </c>
      <c r="E304" s="226">
        <v>19379.429510591672</v>
      </c>
      <c r="F304" s="226">
        <v>18725.830324909748</v>
      </c>
      <c r="G304" s="226">
        <v>17738.794642857141</v>
      </c>
      <c r="H304" s="575">
        <v>17968.049095607235</v>
      </c>
      <c r="I304" s="576">
        <v>20975.549122642395</v>
      </c>
      <c r="J304" s="577">
        <v>0</v>
      </c>
      <c r="K304" s="226">
        <v>13382.196873836992</v>
      </c>
      <c r="L304" s="226">
        <v>12983.255687973999</v>
      </c>
      <c r="M304" s="226">
        <v>12463.250185597624</v>
      </c>
      <c r="N304" s="226">
        <v>13037.86505953256</v>
      </c>
      <c r="O304" s="578">
        <v>0</v>
      </c>
      <c r="P304" s="574">
        <v>0</v>
      </c>
      <c r="Q304" s="579">
        <v>0</v>
      </c>
      <c r="R304" s="577">
        <v>0</v>
      </c>
      <c r="S304" s="226">
        <v>0</v>
      </c>
      <c r="T304" s="226">
        <v>0</v>
      </c>
      <c r="U304" s="578">
        <v>0</v>
      </c>
      <c r="V304" s="170">
        <v>0</v>
      </c>
    </row>
    <row r="305" spans="1:22">
      <c r="A305" s="580"/>
      <c r="B305" s="581" t="s">
        <v>696</v>
      </c>
      <c r="C305" s="582">
        <v>5.8219853393775338</v>
      </c>
      <c r="D305" s="584">
        <v>5.2514703610653584</v>
      </c>
      <c r="E305" s="584">
        <v>5.1886678074889989</v>
      </c>
      <c r="F305" s="584">
        <v>6.9370374406865913</v>
      </c>
      <c r="G305" s="584">
        <v>5.2265144358818958</v>
      </c>
      <c r="H305" s="585">
        <v>5.956247542207258</v>
      </c>
      <c r="I305" s="586">
        <v>5.377149168024097</v>
      </c>
      <c r="J305" s="587">
        <v>0</v>
      </c>
      <c r="K305" s="584">
        <v>9.1722157274490996</v>
      </c>
      <c r="L305" s="584">
        <v>11.401206033008362</v>
      </c>
      <c r="M305" s="584">
        <v>11.52260892141973</v>
      </c>
      <c r="N305" s="584">
        <v>10.601396561521877</v>
      </c>
      <c r="O305" s="588">
        <v>0</v>
      </c>
      <c r="P305" s="582">
        <v>0</v>
      </c>
      <c r="Q305" s="589">
        <v>0</v>
      </c>
      <c r="R305" s="587">
        <v>0</v>
      </c>
      <c r="S305" s="584">
        <v>0</v>
      </c>
      <c r="T305" s="584">
        <v>0</v>
      </c>
      <c r="U305" s="588">
        <v>0</v>
      </c>
      <c r="V305" s="170">
        <v>0</v>
      </c>
    </row>
    <row r="306" spans="1:22">
      <c r="A306" s="549" t="s">
        <v>42</v>
      </c>
      <c r="B306" s="556" t="s">
        <v>726</v>
      </c>
      <c r="C306" s="566">
        <v>15641.156909746587</v>
      </c>
      <c r="D306" s="94">
        <v>0</v>
      </c>
      <c r="E306" s="94">
        <v>5722.622031812256</v>
      </c>
      <c r="F306" s="94">
        <v>0</v>
      </c>
      <c r="G306" s="95">
        <v>9205.1609973969626</v>
      </c>
      <c r="H306" s="567">
        <v>10029.193134951456</v>
      </c>
      <c r="I306" s="568">
        <v>11917.425209678237</v>
      </c>
      <c r="J306" s="569">
        <v>1130.2245290322583</v>
      </c>
      <c r="K306" s="94">
        <v>12515.841741704035</v>
      </c>
      <c r="L306" s="94">
        <v>8381.7006333333338</v>
      </c>
      <c r="M306" s="94">
        <v>7203.2660037037031</v>
      </c>
      <c r="N306" s="570">
        <v>8781.6971136217944</v>
      </c>
      <c r="O306" s="571">
        <v>4141.7236814569533</v>
      </c>
      <c r="P306" s="566">
        <v>3442.8457019305019</v>
      </c>
      <c r="Q306" s="572">
        <v>0</v>
      </c>
      <c r="R306" s="569">
        <v>3638.4538111214088</v>
      </c>
      <c r="S306" s="570">
        <v>0</v>
      </c>
      <c r="T306" s="570">
        <v>0</v>
      </c>
      <c r="U306" s="571">
        <v>0</v>
      </c>
      <c r="V306" s="170">
        <v>0</v>
      </c>
    </row>
    <row r="307" spans="1:22">
      <c r="A307" s="554"/>
      <c r="B307" s="573" t="s">
        <v>728</v>
      </c>
      <c r="C307" s="574">
        <v>16899.591498828126</v>
      </c>
      <c r="D307" s="226">
        <v>0</v>
      </c>
      <c r="E307" s="226">
        <v>5751.8760624839952</v>
      </c>
      <c r="F307" s="226">
        <v>0</v>
      </c>
      <c r="G307" s="226">
        <v>9416.6512880000009</v>
      </c>
      <c r="H307" s="575">
        <v>9332.8808152380952</v>
      </c>
      <c r="I307" s="576">
        <v>12556.227549697276</v>
      </c>
      <c r="J307" s="577">
        <v>9648.8920491803292</v>
      </c>
      <c r="K307" s="226">
        <v>12608.207827027027</v>
      </c>
      <c r="L307" s="226">
        <v>10079.158863945579</v>
      </c>
      <c r="M307" s="226">
        <v>7888.0828499999998</v>
      </c>
      <c r="N307" s="226">
        <v>10278.641555663431</v>
      </c>
      <c r="O307" s="578">
        <v>4158.5465333333332</v>
      </c>
      <c r="P307" s="574">
        <v>3498.2735649253732</v>
      </c>
      <c r="Q307" s="579">
        <v>0</v>
      </c>
      <c r="R307" s="577">
        <v>3680.2947616216215</v>
      </c>
      <c r="S307" s="226">
        <v>0</v>
      </c>
      <c r="T307" s="226">
        <v>0</v>
      </c>
      <c r="U307" s="578">
        <v>0</v>
      </c>
      <c r="V307" s="170">
        <v>0</v>
      </c>
    </row>
    <row r="308" spans="1:22">
      <c r="A308" s="580"/>
      <c r="B308" s="581" t="s">
        <v>495</v>
      </c>
      <c r="C308" s="582">
        <v>8.0456618160857456</v>
      </c>
      <c r="D308" s="584">
        <v>0</v>
      </c>
      <c r="E308" s="584">
        <v>0.51119977012486628</v>
      </c>
      <c r="F308" s="584">
        <v>0</v>
      </c>
      <c r="G308" s="584">
        <v>2.2975186491886848</v>
      </c>
      <c r="H308" s="585">
        <v>-6.9428548273413142</v>
      </c>
      <c r="I308" s="586">
        <v>5.3602378767207455</v>
      </c>
      <c r="J308" s="587">
        <v>753.71462053138066</v>
      </c>
      <c r="K308" s="584">
        <v>0.73799339452510915</v>
      </c>
      <c r="L308" s="584">
        <v>20.251954882062872</v>
      </c>
      <c r="M308" s="584">
        <v>9.5070325869429837</v>
      </c>
      <c r="N308" s="584">
        <v>17.04618620607673</v>
      </c>
      <c r="O308" s="588">
        <v>0.40617996685046959</v>
      </c>
      <c r="P308" s="582">
        <v>1.6099432792991932</v>
      </c>
      <c r="Q308" s="589">
        <v>0</v>
      </c>
      <c r="R308" s="587">
        <v>1.1499651410255769</v>
      </c>
      <c r="S308" s="584">
        <v>0</v>
      </c>
      <c r="T308" s="584">
        <v>0</v>
      </c>
      <c r="U308" s="588">
        <v>0</v>
      </c>
      <c r="V308" s="170">
        <v>0</v>
      </c>
    </row>
    <row r="309" spans="1:22">
      <c r="A309" s="554"/>
      <c r="B309" s="556" t="s">
        <v>730</v>
      </c>
      <c r="C309" s="566">
        <v>5007.5882066276799</v>
      </c>
      <c r="D309" s="94">
        <v>0</v>
      </c>
      <c r="E309" s="94">
        <v>4815.0717079530641</v>
      </c>
      <c r="F309" s="94">
        <v>0</v>
      </c>
      <c r="G309" s="95">
        <v>5098.9132321041216</v>
      </c>
      <c r="H309" s="567">
        <v>5011.2330097087379</v>
      </c>
      <c r="I309" s="568">
        <v>4991.7007854066378</v>
      </c>
      <c r="J309" s="569">
        <v>435.70967741935482</v>
      </c>
      <c r="K309" s="94">
        <v>5830.2466367713005</v>
      </c>
      <c r="L309" s="94">
        <v>4118.7066666666669</v>
      </c>
      <c r="M309" s="94">
        <v>5068.0132275132273</v>
      </c>
      <c r="N309" s="570">
        <v>4651.9543269230771</v>
      </c>
      <c r="O309" s="571">
        <v>5530.3449612403101</v>
      </c>
      <c r="P309" s="566">
        <v>5002.4111600587376</v>
      </c>
      <c r="Q309" s="572">
        <v>0</v>
      </c>
      <c r="R309" s="569">
        <v>5147.4664536741211</v>
      </c>
      <c r="S309" s="570">
        <v>0</v>
      </c>
      <c r="T309" s="570">
        <v>0</v>
      </c>
      <c r="U309" s="571">
        <v>0</v>
      </c>
      <c r="V309" s="170">
        <v>0</v>
      </c>
    </row>
    <row r="310" spans="1:22">
      <c r="A310" s="554"/>
      <c r="B310" s="573" t="s">
        <v>732</v>
      </c>
      <c r="C310" s="574">
        <v>5111.89404296875</v>
      </c>
      <c r="D310" s="226">
        <v>0</v>
      </c>
      <c r="E310" s="226">
        <v>5210.4186939820738</v>
      </c>
      <c r="F310" s="226">
        <v>0</v>
      </c>
      <c r="G310" s="226">
        <v>5531.6497297297301</v>
      </c>
      <c r="H310" s="575">
        <v>5393.5904761904758</v>
      </c>
      <c r="I310" s="576">
        <v>5244.1791120080725</v>
      </c>
      <c r="J310" s="577">
        <v>4363</v>
      </c>
      <c r="K310" s="226">
        <v>5899.2477477477478</v>
      </c>
      <c r="L310" s="226">
        <v>5521.2244897959181</v>
      </c>
      <c r="M310" s="226">
        <v>5687.7021276595742</v>
      </c>
      <c r="N310" s="226">
        <v>5593.3398058252424</v>
      </c>
      <c r="O310" s="578">
        <v>6458.36</v>
      </c>
      <c r="P310" s="574">
        <v>5693.0223152022318</v>
      </c>
      <c r="Q310" s="579">
        <v>0</v>
      </c>
      <c r="R310" s="577">
        <v>5806.6413301662706</v>
      </c>
      <c r="S310" s="226">
        <v>0</v>
      </c>
      <c r="T310" s="226">
        <v>0</v>
      </c>
      <c r="U310" s="578">
        <v>0</v>
      </c>
      <c r="V310" s="170">
        <v>0</v>
      </c>
    </row>
    <row r="311" spans="1:22">
      <c r="A311" s="580"/>
      <c r="B311" s="581" t="s">
        <v>497</v>
      </c>
      <c r="C311" s="582">
        <v>2.0829555474034076</v>
      </c>
      <c r="D311" s="584">
        <v>0</v>
      </c>
      <c r="E311" s="584">
        <v>8.2106147116358468</v>
      </c>
      <c r="F311" s="584">
        <v>0</v>
      </c>
      <c r="G311" s="584">
        <v>8.4868378402869027</v>
      </c>
      <c r="H311" s="585">
        <v>7.630007739431802</v>
      </c>
      <c r="I311" s="586">
        <v>5.0579619543615548</v>
      </c>
      <c r="J311" s="587">
        <v>901.35485303916494</v>
      </c>
      <c r="K311" s="584">
        <v>1.1835024360934934</v>
      </c>
      <c r="L311" s="584">
        <v>34.052384319574053</v>
      </c>
      <c r="M311" s="584">
        <v>12.227452303837334</v>
      </c>
      <c r="N311" s="584">
        <v>20.236343969542407</v>
      </c>
      <c r="O311" s="588">
        <v>16.780418676659917</v>
      </c>
      <c r="P311" s="582">
        <v>13.805565617188995</v>
      </c>
      <c r="Q311" s="589">
        <v>0</v>
      </c>
      <c r="R311" s="587">
        <v>12.805811993619665</v>
      </c>
      <c r="S311" s="584">
        <v>0</v>
      </c>
      <c r="T311" s="584">
        <v>0</v>
      </c>
      <c r="U311" s="588">
        <v>0</v>
      </c>
      <c r="V311" s="170">
        <v>0</v>
      </c>
    </row>
    <row r="312" spans="1:22">
      <c r="A312" s="554"/>
      <c r="B312" s="556" t="s">
        <v>734</v>
      </c>
      <c r="C312" s="566">
        <v>0</v>
      </c>
      <c r="D312" s="94">
        <v>0</v>
      </c>
      <c r="E312" s="94">
        <v>0</v>
      </c>
      <c r="F312" s="94">
        <v>0</v>
      </c>
      <c r="G312" s="95">
        <v>0</v>
      </c>
      <c r="H312" s="567">
        <v>0</v>
      </c>
      <c r="I312" s="568">
        <v>0</v>
      </c>
      <c r="J312" s="569">
        <v>0</v>
      </c>
      <c r="K312" s="94">
        <v>0</v>
      </c>
      <c r="L312" s="94">
        <v>0</v>
      </c>
      <c r="M312" s="94">
        <v>0</v>
      </c>
      <c r="N312" s="570">
        <v>0</v>
      </c>
      <c r="O312" s="571">
        <v>0</v>
      </c>
      <c r="P312" s="566">
        <v>0</v>
      </c>
      <c r="Q312" s="572">
        <v>0</v>
      </c>
      <c r="R312" s="569">
        <v>0</v>
      </c>
      <c r="S312" s="570">
        <v>0</v>
      </c>
      <c r="T312" s="570">
        <v>0</v>
      </c>
      <c r="U312" s="571">
        <v>0</v>
      </c>
      <c r="V312" s="170">
        <v>0</v>
      </c>
    </row>
    <row r="313" spans="1:22">
      <c r="A313" s="554"/>
      <c r="B313" s="573" t="s">
        <v>736</v>
      </c>
      <c r="C313" s="574">
        <v>0</v>
      </c>
      <c r="D313" s="226">
        <v>0</v>
      </c>
      <c r="E313" s="226">
        <v>0</v>
      </c>
      <c r="F313" s="226">
        <v>0</v>
      </c>
      <c r="G313" s="226">
        <v>0</v>
      </c>
      <c r="H313" s="575">
        <v>0</v>
      </c>
      <c r="I313" s="576">
        <v>0</v>
      </c>
      <c r="J313" s="577">
        <v>0</v>
      </c>
      <c r="K313" s="226">
        <v>0</v>
      </c>
      <c r="L313" s="226">
        <v>0</v>
      </c>
      <c r="M313" s="226">
        <v>0</v>
      </c>
      <c r="N313" s="226">
        <v>0</v>
      </c>
      <c r="O313" s="578">
        <v>0</v>
      </c>
      <c r="P313" s="574">
        <v>0</v>
      </c>
      <c r="Q313" s="579">
        <v>0</v>
      </c>
      <c r="R313" s="577">
        <v>0</v>
      </c>
      <c r="S313" s="226">
        <v>0</v>
      </c>
      <c r="T313" s="226">
        <v>0</v>
      </c>
      <c r="U313" s="578">
        <v>0</v>
      </c>
      <c r="V313" s="170">
        <v>0</v>
      </c>
    </row>
    <row r="314" spans="1:22">
      <c r="A314" s="580"/>
      <c r="B314" s="581" t="s">
        <v>499</v>
      </c>
      <c r="C314" s="582">
        <v>0</v>
      </c>
      <c r="D314" s="584">
        <v>0</v>
      </c>
      <c r="E314" s="584">
        <v>0</v>
      </c>
      <c r="F314" s="584">
        <v>0</v>
      </c>
      <c r="G314" s="584">
        <v>0</v>
      </c>
      <c r="H314" s="585">
        <v>0</v>
      </c>
      <c r="I314" s="586">
        <v>0</v>
      </c>
      <c r="J314" s="587">
        <v>0</v>
      </c>
      <c r="K314" s="584">
        <v>0</v>
      </c>
      <c r="L314" s="584">
        <v>0</v>
      </c>
      <c r="M314" s="584">
        <v>0</v>
      </c>
      <c r="N314" s="584">
        <v>0</v>
      </c>
      <c r="O314" s="588">
        <v>0</v>
      </c>
      <c r="P314" s="582">
        <v>0</v>
      </c>
      <c r="Q314" s="589">
        <v>0</v>
      </c>
      <c r="R314" s="587">
        <v>0</v>
      </c>
      <c r="S314" s="584">
        <v>0</v>
      </c>
      <c r="T314" s="584">
        <v>0</v>
      </c>
      <c r="U314" s="588">
        <v>0</v>
      </c>
      <c r="V314" s="170">
        <v>0</v>
      </c>
    </row>
    <row r="315" spans="1:22">
      <c r="A315" s="554"/>
      <c r="B315" s="556" t="s">
        <v>738</v>
      </c>
      <c r="C315" s="566">
        <v>5493.5355058479527</v>
      </c>
      <c r="D315" s="94">
        <v>0</v>
      </c>
      <c r="E315" s="94">
        <v>4529.2962127770534</v>
      </c>
      <c r="F315" s="94">
        <v>0</v>
      </c>
      <c r="G315" s="95">
        <v>3881.0252327548806</v>
      </c>
      <c r="H315" s="567">
        <v>3644.379117475728</v>
      </c>
      <c r="I315" s="568">
        <v>4832.9750230554855</v>
      </c>
      <c r="J315" s="569">
        <v>442.27669032258063</v>
      </c>
      <c r="K315" s="94">
        <v>3749.8889094170408</v>
      </c>
      <c r="L315" s="94">
        <v>2611.3809753333335</v>
      </c>
      <c r="M315" s="94">
        <v>3139.9896820105819</v>
      </c>
      <c r="N315" s="570">
        <v>2962.8390669871796</v>
      </c>
      <c r="O315" s="571">
        <v>0</v>
      </c>
      <c r="P315" s="566">
        <v>0</v>
      </c>
      <c r="Q315" s="572">
        <v>0</v>
      </c>
      <c r="R315" s="569">
        <v>0</v>
      </c>
      <c r="S315" s="570">
        <v>0</v>
      </c>
      <c r="T315" s="570">
        <v>0</v>
      </c>
      <c r="U315" s="571">
        <v>0</v>
      </c>
      <c r="V315" s="170">
        <v>0</v>
      </c>
    </row>
    <row r="316" spans="1:22">
      <c r="A316" s="554"/>
      <c r="B316" s="573" t="s">
        <v>740</v>
      </c>
      <c r="C316" s="574">
        <v>5471.3416432617187</v>
      </c>
      <c r="D316" s="226">
        <v>0</v>
      </c>
      <c r="E316" s="226">
        <v>4376.2608673495515</v>
      </c>
      <c r="F316" s="226">
        <v>0</v>
      </c>
      <c r="G316" s="226">
        <v>3973.7347085405404</v>
      </c>
      <c r="H316" s="575">
        <v>3679.7282914285715</v>
      </c>
      <c r="I316" s="576">
        <v>4811.2045836024217</v>
      </c>
      <c r="J316" s="577">
        <v>3931.8322606557376</v>
      </c>
      <c r="K316" s="226">
        <v>3787.89580990991</v>
      </c>
      <c r="L316" s="226">
        <v>3606.8855231292514</v>
      </c>
      <c r="M316" s="226">
        <v>3175.7024755319148</v>
      </c>
      <c r="N316" s="226">
        <v>3572.8137135922329</v>
      </c>
      <c r="O316" s="578">
        <v>0</v>
      </c>
      <c r="P316" s="574">
        <v>0</v>
      </c>
      <c r="Q316" s="579">
        <v>0</v>
      </c>
      <c r="R316" s="577">
        <v>0</v>
      </c>
      <c r="S316" s="226">
        <v>0</v>
      </c>
      <c r="T316" s="226">
        <v>0</v>
      </c>
      <c r="U316" s="578">
        <v>0</v>
      </c>
      <c r="V316" s="170">
        <v>0</v>
      </c>
    </row>
    <row r="317" spans="1:22">
      <c r="A317" s="580"/>
      <c r="B317" s="581" t="s">
        <v>569</v>
      </c>
      <c r="C317" s="582">
        <v>-0.40399962032844394</v>
      </c>
      <c r="D317" s="584">
        <v>0</v>
      </c>
      <c r="E317" s="584">
        <v>-3.3787886293634806</v>
      </c>
      <c r="F317" s="584">
        <v>0</v>
      </c>
      <c r="G317" s="584">
        <v>2.3887882769536022</v>
      </c>
      <c r="H317" s="585">
        <v>0.96996423295631473</v>
      </c>
      <c r="I317" s="586">
        <v>-0.45045627898362584</v>
      </c>
      <c r="J317" s="587">
        <v>788.99830054077711</v>
      </c>
      <c r="K317" s="584">
        <v>1.013547371961419</v>
      </c>
      <c r="L317" s="584">
        <v>38.121766115296346</v>
      </c>
      <c r="M317" s="584">
        <v>1.1373538494707898</v>
      </c>
      <c r="N317" s="584">
        <v>20.587505187222938</v>
      </c>
      <c r="O317" s="588">
        <v>0</v>
      </c>
      <c r="P317" s="582">
        <v>0</v>
      </c>
      <c r="Q317" s="589">
        <v>0</v>
      </c>
      <c r="R317" s="587">
        <v>0</v>
      </c>
      <c r="S317" s="584">
        <v>0</v>
      </c>
      <c r="T317" s="584">
        <v>0</v>
      </c>
      <c r="U317" s="588">
        <v>0</v>
      </c>
      <c r="V317" s="170">
        <v>0</v>
      </c>
    </row>
    <row r="318" spans="1:22">
      <c r="A318" s="554"/>
      <c r="B318" s="556" t="s">
        <v>742</v>
      </c>
      <c r="C318" s="566">
        <v>19.994152046783626</v>
      </c>
      <c r="D318" s="94">
        <v>0</v>
      </c>
      <c r="E318" s="94">
        <v>59.614080834419816</v>
      </c>
      <c r="F318" s="94">
        <v>0</v>
      </c>
      <c r="G318" s="95">
        <v>235.79609544468548</v>
      </c>
      <c r="H318" s="567">
        <v>143.90291262135923</v>
      </c>
      <c r="I318" s="568">
        <v>84.570559918925767</v>
      </c>
      <c r="J318" s="569">
        <v>43</v>
      </c>
      <c r="K318" s="94">
        <v>25.829596412556054</v>
      </c>
      <c r="L318" s="94">
        <v>113.83333333333333</v>
      </c>
      <c r="M318" s="94">
        <v>178.85714285714286</v>
      </c>
      <c r="N318" s="570">
        <v>95.040064102564102</v>
      </c>
      <c r="O318" s="571">
        <v>0</v>
      </c>
      <c r="P318" s="566">
        <v>0</v>
      </c>
      <c r="Q318" s="572">
        <v>0</v>
      </c>
      <c r="R318" s="569">
        <v>0</v>
      </c>
      <c r="S318" s="570">
        <v>0</v>
      </c>
      <c r="T318" s="570">
        <v>0</v>
      </c>
      <c r="U318" s="571">
        <v>0</v>
      </c>
      <c r="V318" s="170">
        <v>0</v>
      </c>
    </row>
    <row r="319" spans="1:22">
      <c r="A319" s="554"/>
      <c r="B319" s="573" t="s">
        <v>567</v>
      </c>
      <c r="C319" s="574">
        <v>20.98046875</v>
      </c>
      <c r="D319" s="226">
        <v>0</v>
      </c>
      <c r="E319" s="226">
        <v>63.530089628681175</v>
      </c>
      <c r="F319" s="226">
        <v>0</v>
      </c>
      <c r="G319" s="226">
        <v>239.81405405405405</v>
      </c>
      <c r="H319" s="575">
        <v>158.23809523809524</v>
      </c>
      <c r="I319" s="576">
        <v>87.700050454086778</v>
      </c>
      <c r="J319" s="577">
        <v>45</v>
      </c>
      <c r="K319" s="226">
        <v>25.31981981981982</v>
      </c>
      <c r="L319" s="226">
        <v>131.94897959183675</v>
      </c>
      <c r="M319" s="226">
        <v>183.14893617021278</v>
      </c>
      <c r="N319" s="226">
        <v>100.6383495145631</v>
      </c>
      <c r="O319" s="578">
        <v>0</v>
      </c>
      <c r="P319" s="574">
        <v>0</v>
      </c>
      <c r="Q319" s="579">
        <v>0</v>
      </c>
      <c r="R319" s="577">
        <v>0</v>
      </c>
      <c r="S319" s="226">
        <v>0</v>
      </c>
      <c r="T319" s="226">
        <v>0</v>
      </c>
      <c r="U319" s="578">
        <v>0</v>
      </c>
      <c r="V319" s="170">
        <v>0</v>
      </c>
    </row>
    <row r="320" spans="1:22">
      <c r="A320" s="580"/>
      <c r="B320" s="581" t="s">
        <v>37</v>
      </c>
      <c r="C320" s="582">
        <v>4.9330259213220247</v>
      </c>
      <c r="D320" s="584">
        <v>0</v>
      </c>
      <c r="E320" s="584">
        <v>6.5689326069426608</v>
      </c>
      <c r="F320" s="584">
        <v>0</v>
      </c>
      <c r="G320" s="584">
        <v>1.7039970919752294</v>
      </c>
      <c r="H320" s="585">
        <v>9.961704287706171</v>
      </c>
      <c r="I320" s="586">
        <v>3.7004491139246589</v>
      </c>
      <c r="J320" s="587">
        <v>4.6511627906976747</v>
      </c>
      <c r="K320" s="584">
        <v>-1.9736142392392388</v>
      </c>
      <c r="L320" s="584">
        <v>15.914184121672109</v>
      </c>
      <c r="M320" s="584">
        <v>2.3995649513969184</v>
      </c>
      <c r="N320" s="584">
        <v>5.8904478494011911</v>
      </c>
      <c r="O320" s="588">
        <v>0</v>
      </c>
      <c r="P320" s="582">
        <v>0</v>
      </c>
      <c r="Q320" s="589">
        <v>0</v>
      </c>
      <c r="R320" s="587">
        <v>0</v>
      </c>
      <c r="S320" s="584">
        <v>0</v>
      </c>
      <c r="T320" s="584">
        <v>0</v>
      </c>
      <c r="U320" s="588">
        <v>0</v>
      </c>
      <c r="V320" s="170">
        <v>0</v>
      </c>
    </row>
    <row r="321" spans="1:22">
      <c r="A321" s="554"/>
      <c r="B321" s="556" t="s">
        <v>571</v>
      </c>
      <c r="C321" s="566">
        <v>296.45387329434698</v>
      </c>
      <c r="D321" s="94">
        <v>0</v>
      </c>
      <c r="E321" s="94">
        <v>372.07316558018255</v>
      </c>
      <c r="F321" s="94">
        <v>0</v>
      </c>
      <c r="G321" s="95">
        <v>398.11332689804772</v>
      </c>
      <c r="H321" s="567">
        <v>284.53403592233013</v>
      </c>
      <c r="I321" s="568">
        <v>334.27361662021787</v>
      </c>
      <c r="J321" s="569">
        <v>356.81171774193547</v>
      </c>
      <c r="K321" s="94">
        <v>341.48314035874444</v>
      </c>
      <c r="L321" s="94">
        <v>199.04937466666667</v>
      </c>
      <c r="M321" s="94">
        <v>234.18211904761904</v>
      </c>
      <c r="N321" s="570">
        <v>276.26745753205131</v>
      </c>
      <c r="O321" s="571">
        <v>0</v>
      </c>
      <c r="P321" s="566">
        <v>0</v>
      </c>
      <c r="Q321" s="572">
        <v>0</v>
      </c>
      <c r="R321" s="569">
        <v>0</v>
      </c>
      <c r="S321" s="570">
        <v>0</v>
      </c>
      <c r="T321" s="570">
        <v>0</v>
      </c>
      <c r="U321" s="571">
        <v>0</v>
      </c>
      <c r="V321" s="170">
        <v>0</v>
      </c>
    </row>
    <row r="322" spans="1:22">
      <c r="A322" s="554"/>
      <c r="B322" s="573" t="s">
        <v>573</v>
      </c>
      <c r="C322" s="574">
        <v>292.08925498046875</v>
      </c>
      <c r="D322" s="226">
        <v>0</v>
      </c>
      <c r="E322" s="226">
        <v>370.44262816901409</v>
      </c>
      <c r="F322" s="226">
        <v>0</v>
      </c>
      <c r="G322" s="226">
        <v>388.72883156756757</v>
      </c>
      <c r="H322" s="575">
        <v>304.3086314285714</v>
      </c>
      <c r="I322" s="576">
        <v>330.72489117053482</v>
      </c>
      <c r="J322" s="577">
        <v>346.79194098360659</v>
      </c>
      <c r="K322" s="226">
        <v>283.11491621621622</v>
      </c>
      <c r="L322" s="226">
        <v>231.69275510204082</v>
      </c>
      <c r="M322" s="226">
        <v>239.85699680851064</v>
      </c>
      <c r="N322" s="226">
        <v>264.00933689320391</v>
      </c>
      <c r="O322" s="578">
        <v>0</v>
      </c>
      <c r="P322" s="574">
        <v>0</v>
      </c>
      <c r="Q322" s="579">
        <v>0</v>
      </c>
      <c r="R322" s="577">
        <v>0</v>
      </c>
      <c r="S322" s="226">
        <v>0</v>
      </c>
      <c r="T322" s="226">
        <v>0</v>
      </c>
      <c r="U322" s="578">
        <v>0</v>
      </c>
      <c r="V322" s="170">
        <v>0</v>
      </c>
    </row>
    <row r="323" spans="1:22">
      <c r="A323" s="580"/>
      <c r="B323" s="581" t="s">
        <v>39</v>
      </c>
      <c r="C323" s="582">
        <v>-1.4722756917885251</v>
      </c>
      <c r="D323" s="584">
        <v>0</v>
      </c>
      <c r="E323" s="584">
        <v>-0.43823031650936867</v>
      </c>
      <c r="F323" s="584">
        <v>0</v>
      </c>
      <c r="G323" s="584">
        <v>-2.3572421962361014</v>
      </c>
      <c r="H323" s="585">
        <v>6.9498172484500884</v>
      </c>
      <c r="I323" s="586">
        <v>-1.0616229559375909</v>
      </c>
      <c r="J323" s="587">
        <v>-2.8081411736527357</v>
      </c>
      <c r="K323" s="584">
        <v>-17.092563949485058</v>
      </c>
      <c r="L323" s="584">
        <v>16.399639782862728</v>
      </c>
      <c r="M323" s="584">
        <v>2.4232754336541227</v>
      </c>
      <c r="N323" s="584">
        <v>-4.4370483401669807</v>
      </c>
      <c r="O323" s="588">
        <v>0</v>
      </c>
      <c r="P323" s="582">
        <v>0</v>
      </c>
      <c r="Q323" s="589">
        <v>0</v>
      </c>
      <c r="R323" s="587">
        <v>0</v>
      </c>
      <c r="S323" s="584">
        <v>0</v>
      </c>
      <c r="T323" s="584">
        <v>0</v>
      </c>
      <c r="U323" s="588">
        <v>0</v>
      </c>
      <c r="V323" s="170">
        <v>0</v>
      </c>
    </row>
    <row r="324" spans="1:22">
      <c r="A324" s="554"/>
      <c r="B324" s="556" t="s">
        <v>575</v>
      </c>
      <c r="C324" s="566">
        <v>464.0566579922027</v>
      </c>
      <c r="D324" s="94">
        <v>0</v>
      </c>
      <c r="E324" s="94">
        <v>329.40683181225558</v>
      </c>
      <c r="F324" s="94">
        <v>0</v>
      </c>
      <c r="G324" s="95">
        <v>571.60234295010844</v>
      </c>
      <c r="H324" s="567">
        <v>252.55118058252427</v>
      </c>
      <c r="I324" s="568">
        <v>451.9742096782366</v>
      </c>
      <c r="J324" s="569">
        <v>257.46837096774192</v>
      </c>
      <c r="K324" s="94">
        <v>193.21426547085201</v>
      </c>
      <c r="L324" s="94">
        <v>247.708384</v>
      </c>
      <c r="M324" s="94">
        <v>487.12491640211641</v>
      </c>
      <c r="N324" s="570">
        <v>301.71904967948717</v>
      </c>
      <c r="O324" s="571">
        <v>0</v>
      </c>
      <c r="P324" s="566">
        <v>0</v>
      </c>
      <c r="Q324" s="572">
        <v>0</v>
      </c>
      <c r="R324" s="569">
        <v>0</v>
      </c>
      <c r="S324" s="570">
        <v>0</v>
      </c>
      <c r="T324" s="570">
        <v>0</v>
      </c>
      <c r="U324" s="571">
        <v>0</v>
      </c>
      <c r="V324" s="170">
        <v>0</v>
      </c>
    </row>
    <row r="325" spans="1:22">
      <c r="A325" s="554"/>
      <c r="B325" s="573" t="s">
        <v>577</v>
      </c>
      <c r="C325" s="574">
        <v>596.53746699218755</v>
      </c>
      <c r="D325" s="226">
        <v>0</v>
      </c>
      <c r="E325" s="226">
        <v>334.21090909090907</v>
      </c>
      <c r="F325" s="226">
        <v>0</v>
      </c>
      <c r="G325" s="226">
        <v>587.63772497297305</v>
      </c>
      <c r="H325" s="575">
        <v>293.55075523809523</v>
      </c>
      <c r="I325" s="576">
        <v>526.72502689202827</v>
      </c>
      <c r="J325" s="577">
        <v>323.73825081967209</v>
      </c>
      <c r="K325" s="226">
        <v>212.25494144144145</v>
      </c>
      <c r="L325" s="226">
        <v>288.0550129251701</v>
      </c>
      <c r="M325" s="226">
        <v>499.07711648936169</v>
      </c>
      <c r="N325" s="226">
        <v>328.54241925566345</v>
      </c>
      <c r="O325" s="578">
        <v>0</v>
      </c>
      <c r="P325" s="574">
        <v>0</v>
      </c>
      <c r="Q325" s="579">
        <v>0</v>
      </c>
      <c r="R325" s="577">
        <v>0</v>
      </c>
      <c r="S325" s="226">
        <v>0</v>
      </c>
      <c r="T325" s="226">
        <v>0</v>
      </c>
      <c r="U325" s="578">
        <v>0</v>
      </c>
      <c r="V325" s="170">
        <v>0</v>
      </c>
    </row>
    <row r="326" spans="1:22">
      <c r="A326" s="580"/>
      <c r="B326" s="581" t="s">
        <v>501</v>
      </c>
      <c r="C326" s="582">
        <v>28.548412509192111</v>
      </c>
      <c r="D326" s="584">
        <v>0</v>
      </c>
      <c r="E326" s="584">
        <v>1.4584024418144321</v>
      </c>
      <c r="F326" s="584">
        <v>0</v>
      </c>
      <c r="G326" s="584">
        <v>2.8053387500310221</v>
      </c>
      <c r="H326" s="585">
        <v>16.234164719009833</v>
      </c>
      <c r="I326" s="586">
        <v>16.538735089997118</v>
      </c>
      <c r="J326" s="587">
        <v>25.739037227307847</v>
      </c>
      <c r="K326" s="584">
        <v>9.8546946956470336</v>
      </c>
      <c r="L326" s="584">
        <v>16.287954518798244</v>
      </c>
      <c r="M326" s="584">
        <v>2.4536211728859421</v>
      </c>
      <c r="N326" s="584">
        <v>8.8901809828283795</v>
      </c>
      <c r="O326" s="588">
        <v>0</v>
      </c>
      <c r="P326" s="582">
        <v>0</v>
      </c>
      <c r="Q326" s="589">
        <v>0</v>
      </c>
      <c r="R326" s="587">
        <v>0</v>
      </c>
      <c r="S326" s="584">
        <v>0</v>
      </c>
      <c r="T326" s="584">
        <v>0</v>
      </c>
      <c r="U326" s="588">
        <v>0</v>
      </c>
      <c r="V326" s="170">
        <v>0</v>
      </c>
    </row>
    <row r="327" spans="1:22">
      <c r="A327" s="554"/>
      <c r="B327" s="556" t="s">
        <v>579</v>
      </c>
      <c r="C327" s="566">
        <v>0</v>
      </c>
      <c r="D327" s="94">
        <v>0</v>
      </c>
      <c r="E327" s="94">
        <v>0</v>
      </c>
      <c r="F327" s="94">
        <v>0</v>
      </c>
      <c r="G327" s="95">
        <v>0</v>
      </c>
      <c r="H327" s="567">
        <v>0</v>
      </c>
      <c r="I327" s="568">
        <v>0</v>
      </c>
      <c r="J327" s="569">
        <v>0</v>
      </c>
      <c r="K327" s="94">
        <v>0</v>
      </c>
      <c r="L327" s="94">
        <v>0</v>
      </c>
      <c r="M327" s="94">
        <v>0</v>
      </c>
      <c r="N327" s="570">
        <v>0</v>
      </c>
      <c r="O327" s="571">
        <v>0</v>
      </c>
      <c r="P327" s="566">
        <v>0</v>
      </c>
      <c r="Q327" s="572">
        <v>0</v>
      </c>
      <c r="R327" s="569">
        <v>0</v>
      </c>
      <c r="S327" s="570">
        <v>0</v>
      </c>
      <c r="T327" s="570">
        <v>0</v>
      </c>
      <c r="U327" s="571">
        <v>0</v>
      </c>
      <c r="V327" s="170">
        <v>0</v>
      </c>
    </row>
    <row r="328" spans="1:22">
      <c r="A328" s="554"/>
      <c r="B328" s="573" t="s">
        <v>581</v>
      </c>
      <c r="C328" s="574">
        <v>0</v>
      </c>
      <c r="D328" s="226">
        <v>0</v>
      </c>
      <c r="E328" s="226">
        <v>0</v>
      </c>
      <c r="F328" s="226">
        <v>0</v>
      </c>
      <c r="G328" s="226">
        <v>0</v>
      </c>
      <c r="H328" s="575">
        <v>0</v>
      </c>
      <c r="I328" s="576">
        <v>0</v>
      </c>
      <c r="J328" s="577">
        <v>0</v>
      </c>
      <c r="K328" s="226">
        <v>0</v>
      </c>
      <c r="L328" s="226">
        <v>0</v>
      </c>
      <c r="M328" s="226">
        <v>0</v>
      </c>
      <c r="N328" s="226">
        <v>0</v>
      </c>
      <c r="O328" s="578">
        <v>0</v>
      </c>
      <c r="P328" s="574">
        <v>0</v>
      </c>
      <c r="Q328" s="579">
        <v>0</v>
      </c>
      <c r="R328" s="577">
        <v>0</v>
      </c>
      <c r="S328" s="226">
        <v>0</v>
      </c>
      <c r="T328" s="226">
        <v>0</v>
      </c>
      <c r="U328" s="578">
        <v>0</v>
      </c>
      <c r="V328" s="170">
        <v>0</v>
      </c>
    </row>
    <row r="329" spans="1:22">
      <c r="A329" s="580"/>
      <c r="B329" s="581" t="s">
        <v>503</v>
      </c>
      <c r="C329" s="582">
        <v>0</v>
      </c>
      <c r="D329" s="584">
        <v>0</v>
      </c>
      <c r="E329" s="584">
        <v>0</v>
      </c>
      <c r="F329" s="584">
        <v>0</v>
      </c>
      <c r="G329" s="584">
        <v>0</v>
      </c>
      <c r="H329" s="585">
        <v>0</v>
      </c>
      <c r="I329" s="586">
        <v>0</v>
      </c>
      <c r="J329" s="587">
        <v>0</v>
      </c>
      <c r="K329" s="584">
        <v>0</v>
      </c>
      <c r="L329" s="584">
        <v>0</v>
      </c>
      <c r="M329" s="584">
        <v>0</v>
      </c>
      <c r="N329" s="584">
        <v>0</v>
      </c>
      <c r="O329" s="588">
        <v>0</v>
      </c>
      <c r="P329" s="582">
        <v>0</v>
      </c>
      <c r="Q329" s="589">
        <v>0</v>
      </c>
      <c r="R329" s="587">
        <v>0</v>
      </c>
      <c r="S329" s="584">
        <v>0</v>
      </c>
      <c r="T329" s="584">
        <v>0</v>
      </c>
      <c r="U329" s="588">
        <v>0</v>
      </c>
      <c r="V329" s="170">
        <v>0</v>
      </c>
    </row>
    <row r="330" spans="1:22">
      <c r="A330" s="554"/>
      <c r="B330" s="556" t="s">
        <v>583</v>
      </c>
      <c r="C330" s="566">
        <v>1.0955165692007798</v>
      </c>
      <c r="D330" s="94">
        <v>0</v>
      </c>
      <c r="E330" s="94">
        <v>86.075619295958276</v>
      </c>
      <c r="F330" s="94">
        <v>0</v>
      </c>
      <c r="G330" s="95">
        <v>347.27765726681127</v>
      </c>
      <c r="H330" s="567">
        <v>217.64077669902912</v>
      </c>
      <c r="I330" s="568">
        <v>109.77755257157335</v>
      </c>
      <c r="J330" s="569">
        <v>0</v>
      </c>
      <c r="K330" s="94">
        <v>380.46188340807174</v>
      </c>
      <c r="L330" s="94">
        <v>292.23666666666668</v>
      </c>
      <c r="M330" s="94">
        <v>222.87037037037038</v>
      </c>
      <c r="N330" s="570">
        <v>273.71955128205127</v>
      </c>
      <c r="O330" s="571">
        <v>2150.9735099337749</v>
      </c>
      <c r="P330" s="566">
        <v>2872.091697645601</v>
      </c>
      <c r="Q330" s="572">
        <v>0</v>
      </c>
      <c r="R330" s="569">
        <v>2675.7186654643824</v>
      </c>
      <c r="S330" s="570">
        <v>0</v>
      </c>
      <c r="T330" s="570">
        <v>0</v>
      </c>
      <c r="U330" s="571">
        <v>0</v>
      </c>
      <c r="V330" s="170">
        <v>0</v>
      </c>
    </row>
    <row r="331" spans="1:22">
      <c r="A331" s="554"/>
      <c r="B331" s="573" t="s">
        <v>585</v>
      </c>
      <c r="C331" s="574">
        <v>1.091796875</v>
      </c>
      <c r="D331" s="226">
        <v>0</v>
      </c>
      <c r="E331" s="226">
        <v>214.51984635083227</v>
      </c>
      <c r="F331" s="226">
        <v>0</v>
      </c>
      <c r="G331" s="226">
        <v>379.0518918918919</v>
      </c>
      <c r="H331" s="575">
        <v>213.27142857142857</v>
      </c>
      <c r="I331" s="576">
        <v>142.57971745711401</v>
      </c>
      <c r="J331" s="577">
        <v>0</v>
      </c>
      <c r="K331" s="226">
        <v>359.69369369369372</v>
      </c>
      <c r="L331" s="226">
        <v>278.41836734693879</v>
      </c>
      <c r="M331" s="226">
        <v>177.15425531914894</v>
      </c>
      <c r="N331" s="226">
        <v>249.32766990291262</v>
      </c>
      <c r="O331" s="578">
        <v>2171.6048109965636</v>
      </c>
      <c r="P331" s="574">
        <v>2955.6611039794607</v>
      </c>
      <c r="Q331" s="579">
        <v>0</v>
      </c>
      <c r="R331" s="577">
        <v>2742.4271028037383</v>
      </c>
      <c r="S331" s="226">
        <v>0</v>
      </c>
      <c r="T331" s="226">
        <v>0</v>
      </c>
      <c r="U331" s="578">
        <v>0</v>
      </c>
      <c r="V331" s="170">
        <v>0</v>
      </c>
    </row>
    <row r="332" spans="1:22">
      <c r="A332" s="580"/>
      <c r="B332" s="581" t="s">
        <v>694</v>
      </c>
      <c r="C332" s="582">
        <v>-0.3395379225978693</v>
      </c>
      <c r="D332" s="584">
        <v>0</v>
      </c>
      <c r="E332" s="584">
        <v>149.22254188289662</v>
      </c>
      <c r="F332" s="584">
        <v>0</v>
      </c>
      <c r="G332" s="584">
        <v>9.1495188245492791</v>
      </c>
      <c r="H332" s="585">
        <v>-2.0075962757855925</v>
      </c>
      <c r="I332" s="586">
        <v>29.880575871059005</v>
      </c>
      <c r="J332" s="587">
        <v>0</v>
      </c>
      <c r="K332" s="584">
        <v>-5.4586781541273881</v>
      </c>
      <c r="L332" s="584">
        <v>-4.7284618584461962</v>
      </c>
      <c r="M332" s="584">
        <v>-20.512423870095201</v>
      </c>
      <c r="N332" s="584">
        <v>-8.9112674870653699</v>
      </c>
      <c r="O332" s="588">
        <v>0.95916109461635746</v>
      </c>
      <c r="P332" s="582">
        <v>2.9097053691692967</v>
      </c>
      <c r="Q332" s="589">
        <v>0</v>
      </c>
      <c r="R332" s="587">
        <v>2.493103561311008</v>
      </c>
      <c r="S332" s="584">
        <v>0</v>
      </c>
      <c r="T332" s="584">
        <v>0</v>
      </c>
      <c r="U332" s="588">
        <v>0</v>
      </c>
      <c r="V332" s="170">
        <v>0</v>
      </c>
    </row>
    <row r="333" spans="1:22">
      <c r="A333" s="554"/>
      <c r="B333" s="556" t="s">
        <v>587</v>
      </c>
      <c r="C333" s="566">
        <v>26795.181945682263</v>
      </c>
      <c r="D333" s="94">
        <v>0</v>
      </c>
      <c r="E333" s="94">
        <v>15867.540579765318</v>
      </c>
      <c r="F333" s="94">
        <v>0</v>
      </c>
      <c r="G333" s="95">
        <v>19626.053022537963</v>
      </c>
      <c r="H333" s="567">
        <v>19435.483612621359</v>
      </c>
      <c r="I333" s="568">
        <v>22612.882566050164</v>
      </c>
      <c r="J333" s="569">
        <v>2585.4105116129035</v>
      </c>
      <c r="K333" s="94">
        <v>22927.785434304933</v>
      </c>
      <c r="L333" s="94">
        <v>15887.725597866667</v>
      </c>
      <c r="M333" s="94">
        <v>16422.840930052909</v>
      </c>
      <c r="N333" s="570">
        <v>17244.018235625001</v>
      </c>
      <c r="O333" s="571">
        <v>10532.935371456955</v>
      </c>
      <c r="P333" s="566">
        <v>9768.8336655460116</v>
      </c>
      <c r="Q333" s="572">
        <v>0</v>
      </c>
      <c r="R333" s="569">
        <v>9975.4215931960607</v>
      </c>
      <c r="S333" s="570">
        <v>0</v>
      </c>
      <c r="T333" s="570">
        <v>0</v>
      </c>
      <c r="U333" s="571">
        <v>0</v>
      </c>
      <c r="V333" s="170">
        <v>0</v>
      </c>
    </row>
    <row r="334" spans="1:22">
      <c r="A334" s="554"/>
      <c r="B334" s="573" t="s">
        <v>589</v>
      </c>
      <c r="C334" s="574">
        <v>28251.87117576172</v>
      </c>
      <c r="D334" s="226">
        <v>0</v>
      </c>
      <c r="E334" s="226">
        <v>16266.749438770807</v>
      </c>
      <c r="F334" s="226">
        <v>0</v>
      </c>
      <c r="G334" s="226">
        <v>20390.19163158919</v>
      </c>
      <c r="H334" s="575">
        <v>19239.476508761905</v>
      </c>
      <c r="I334" s="576">
        <v>23578.552170963674</v>
      </c>
      <c r="J334" s="577">
        <v>18600.102721639345</v>
      </c>
      <c r="K334" s="226">
        <v>23064.281348018019</v>
      </c>
      <c r="L334" s="226">
        <v>19975.381379047616</v>
      </c>
      <c r="M334" s="226">
        <v>17717.364464627659</v>
      </c>
      <c r="N334" s="226">
        <v>20262.333830663432</v>
      </c>
      <c r="O334" s="578">
        <v>8198.1739113355052</v>
      </c>
      <c r="P334" s="574">
        <v>10727.06482724351</v>
      </c>
      <c r="Q334" s="579">
        <v>0</v>
      </c>
      <c r="R334" s="577">
        <v>10031.393222240144</v>
      </c>
      <c r="S334" s="226">
        <v>0</v>
      </c>
      <c r="T334" s="226">
        <v>0</v>
      </c>
      <c r="U334" s="578">
        <v>0</v>
      </c>
      <c r="V334" s="170">
        <v>0</v>
      </c>
    </row>
    <row r="335" spans="1:22">
      <c r="A335" s="580"/>
      <c r="B335" s="581" t="s">
        <v>696</v>
      </c>
      <c r="C335" s="582">
        <v>5.4363849181258717</v>
      </c>
      <c r="D335" s="584">
        <v>0</v>
      </c>
      <c r="E335" s="584">
        <v>2.5158836493827481</v>
      </c>
      <c r="F335" s="584">
        <v>0</v>
      </c>
      <c r="G335" s="584">
        <v>3.8934910049092109</v>
      </c>
      <c r="H335" s="585">
        <v>-1.0085012946740757</v>
      </c>
      <c r="I335" s="586">
        <v>4.2704401002078223</v>
      </c>
      <c r="J335" s="587">
        <v>619.4255085640425</v>
      </c>
      <c r="K335" s="584">
        <v>0.59532968896707694</v>
      </c>
      <c r="L335" s="584">
        <v>25.728388597860864</v>
      </c>
      <c r="M335" s="584">
        <v>7.8824579747700145</v>
      </c>
      <c r="N335" s="584">
        <v>17.503551398494764</v>
      </c>
      <c r="O335" s="588">
        <v>-22.166294368883964</v>
      </c>
      <c r="P335" s="582">
        <v>9.8090641575474073</v>
      </c>
      <c r="Q335" s="589">
        <v>0</v>
      </c>
      <c r="R335" s="587">
        <v>0.56109537347533733</v>
      </c>
      <c r="S335" s="584">
        <v>0</v>
      </c>
      <c r="T335" s="584">
        <v>0</v>
      </c>
      <c r="U335" s="588">
        <v>0</v>
      </c>
      <c r="V335" s="170">
        <v>0</v>
      </c>
    </row>
    <row r="336" spans="1:22">
      <c r="A336" s="549" t="s">
        <v>264</v>
      </c>
      <c r="B336" s="556" t="s">
        <v>726</v>
      </c>
      <c r="C336" s="566">
        <v>10103.03891724138</v>
      </c>
      <c r="D336" s="94">
        <v>0</v>
      </c>
      <c r="E336" s="94">
        <v>8151.9491803320561</v>
      </c>
      <c r="F336" s="94">
        <v>8737.4892744186036</v>
      </c>
      <c r="G336" s="95">
        <v>6894.4318078378383</v>
      </c>
      <c r="H336" s="567">
        <v>6909.7107970276011</v>
      </c>
      <c r="I336" s="568">
        <v>8812.1911808237983</v>
      </c>
      <c r="J336" s="569">
        <v>7093.7241649122807</v>
      </c>
      <c r="K336" s="94">
        <v>6047.8449704142013</v>
      </c>
      <c r="L336" s="94">
        <v>5513.1035598705503</v>
      </c>
      <c r="M336" s="94">
        <v>5816.9903169354839</v>
      </c>
      <c r="N336" s="570">
        <v>5810.3186692344725</v>
      </c>
      <c r="O336" s="571">
        <v>0</v>
      </c>
      <c r="P336" s="566">
        <v>0</v>
      </c>
      <c r="Q336" s="572">
        <v>0</v>
      </c>
      <c r="R336" s="569">
        <v>0</v>
      </c>
      <c r="S336" s="570">
        <v>0</v>
      </c>
      <c r="T336" s="570">
        <v>0</v>
      </c>
      <c r="U336" s="571">
        <v>0</v>
      </c>
      <c r="V336" s="170">
        <v>0</v>
      </c>
    </row>
    <row r="337" spans="1:22">
      <c r="A337" s="554"/>
      <c r="B337" s="573" t="s">
        <v>728</v>
      </c>
      <c r="C337" s="574">
        <v>10536.803986582619</v>
      </c>
      <c r="D337" s="226">
        <v>0</v>
      </c>
      <c r="E337" s="226">
        <v>8470.9472603015074</v>
      </c>
      <c r="F337" s="226">
        <v>8979.020192941176</v>
      </c>
      <c r="G337" s="226">
        <v>7136.7316657342653</v>
      </c>
      <c r="H337" s="575">
        <v>7092.5081780082992</v>
      </c>
      <c r="I337" s="576">
        <v>9168.0887748631394</v>
      </c>
      <c r="J337" s="577">
        <v>7410.0192847457629</v>
      </c>
      <c r="K337" s="226">
        <v>6255.2424942263278</v>
      </c>
      <c r="L337" s="226">
        <v>5695.3932702418506</v>
      </c>
      <c r="M337" s="226">
        <v>6071.4587157480319</v>
      </c>
      <c r="N337" s="226">
        <v>6015.3524185915494</v>
      </c>
      <c r="O337" s="578">
        <v>0</v>
      </c>
      <c r="P337" s="574">
        <v>0</v>
      </c>
      <c r="Q337" s="579">
        <v>0</v>
      </c>
      <c r="R337" s="577">
        <v>0</v>
      </c>
      <c r="S337" s="226">
        <v>0</v>
      </c>
      <c r="T337" s="226">
        <v>0</v>
      </c>
      <c r="U337" s="578">
        <v>0</v>
      </c>
      <c r="V337" s="170">
        <v>0</v>
      </c>
    </row>
    <row r="338" spans="1:22">
      <c r="A338" s="580"/>
      <c r="B338" s="581" t="s">
        <v>495</v>
      </c>
      <c r="C338" s="582">
        <v>4.2934118426585126</v>
      </c>
      <c r="D338" s="584">
        <v>0</v>
      </c>
      <c r="E338" s="584">
        <v>3.9131509889571885</v>
      </c>
      <c r="F338" s="584">
        <v>2.7643057511923983</v>
      </c>
      <c r="G338" s="584">
        <v>3.5144282320839237</v>
      </c>
      <c r="H338" s="585">
        <v>2.6455142096443942</v>
      </c>
      <c r="I338" s="586">
        <v>4.0386957878740715</v>
      </c>
      <c r="J338" s="587">
        <v>4.4588020689890113</v>
      </c>
      <c r="K338" s="584">
        <v>3.4292797653826508</v>
      </c>
      <c r="L338" s="584">
        <v>3.3064807941968088</v>
      </c>
      <c r="M338" s="584">
        <v>4.3745714699179254</v>
      </c>
      <c r="N338" s="584">
        <v>3.5287866471545999</v>
      </c>
      <c r="O338" s="588">
        <v>0</v>
      </c>
      <c r="P338" s="582">
        <v>0</v>
      </c>
      <c r="Q338" s="589">
        <v>0</v>
      </c>
      <c r="R338" s="587">
        <v>0</v>
      </c>
      <c r="S338" s="584">
        <v>0</v>
      </c>
      <c r="T338" s="584">
        <v>0</v>
      </c>
      <c r="U338" s="588">
        <v>0</v>
      </c>
      <c r="V338" s="170">
        <v>0</v>
      </c>
    </row>
    <row r="339" spans="1:22">
      <c r="A339" s="554"/>
      <c r="B339" s="556" t="s">
        <v>730</v>
      </c>
      <c r="C339" s="566">
        <v>5404.6656079854811</v>
      </c>
      <c r="D339" s="94">
        <v>0</v>
      </c>
      <c r="E339" s="94">
        <v>6348.9578544061305</v>
      </c>
      <c r="F339" s="94">
        <v>5382.3604651162786</v>
      </c>
      <c r="G339" s="95">
        <v>4295.208672086721</v>
      </c>
      <c r="H339" s="567">
        <v>5253.0870488322716</v>
      </c>
      <c r="I339" s="568">
        <v>5369.2653388278386</v>
      </c>
      <c r="J339" s="569">
        <v>5424.9824561403511</v>
      </c>
      <c r="K339" s="94">
        <v>4555.3495630461921</v>
      </c>
      <c r="L339" s="94">
        <v>3907.5823068309069</v>
      </c>
      <c r="M339" s="94">
        <v>4539.625</v>
      </c>
      <c r="N339" s="570">
        <v>4288.822911455728</v>
      </c>
      <c r="O339" s="571">
        <v>0</v>
      </c>
      <c r="P339" s="566">
        <v>0</v>
      </c>
      <c r="Q339" s="572">
        <v>0</v>
      </c>
      <c r="R339" s="569">
        <v>0</v>
      </c>
      <c r="S339" s="570">
        <v>0</v>
      </c>
      <c r="T339" s="570">
        <v>0</v>
      </c>
      <c r="U339" s="571">
        <v>0</v>
      </c>
      <c r="V339" s="170">
        <v>0</v>
      </c>
    </row>
    <row r="340" spans="1:22">
      <c r="A340" s="554"/>
      <c r="B340" s="573" t="s">
        <v>732</v>
      </c>
      <c r="C340" s="574">
        <v>5404.9936965330935</v>
      </c>
      <c r="D340" s="226">
        <v>0</v>
      </c>
      <c r="E340" s="226">
        <v>7059.8756281407032</v>
      </c>
      <c r="F340" s="226">
        <v>5697</v>
      </c>
      <c r="G340" s="226">
        <v>4635.9047619047615</v>
      </c>
      <c r="H340" s="575">
        <v>5228.927385892116</v>
      </c>
      <c r="I340" s="576">
        <v>5572.2156057494867</v>
      </c>
      <c r="J340" s="577">
        <v>5424.9830508474579</v>
      </c>
      <c r="K340" s="226">
        <v>4647.3634259259261</v>
      </c>
      <c r="L340" s="226">
        <v>4121.9498910675384</v>
      </c>
      <c r="M340" s="226">
        <v>4532.1031746031749</v>
      </c>
      <c r="N340" s="226">
        <v>4424.9574773053037</v>
      </c>
      <c r="O340" s="578">
        <v>0</v>
      </c>
      <c r="P340" s="574">
        <v>0</v>
      </c>
      <c r="Q340" s="579">
        <v>0</v>
      </c>
      <c r="R340" s="577">
        <v>0</v>
      </c>
      <c r="S340" s="226">
        <v>0</v>
      </c>
      <c r="T340" s="226">
        <v>0</v>
      </c>
      <c r="U340" s="578">
        <v>0</v>
      </c>
      <c r="V340" s="170">
        <v>0</v>
      </c>
    </row>
    <row r="341" spans="1:22">
      <c r="A341" s="580"/>
      <c r="B341" s="581" t="s">
        <v>497</v>
      </c>
      <c r="C341" s="582">
        <v>6.0704689505242998E-3</v>
      </c>
      <c r="D341" s="584">
        <v>0</v>
      </c>
      <c r="E341" s="584">
        <v>11.197393179121528</v>
      </c>
      <c r="F341" s="584">
        <v>5.8457536785753721</v>
      </c>
      <c r="G341" s="584">
        <v>7.9320032116745027</v>
      </c>
      <c r="H341" s="585">
        <v>-0.45991362251509144</v>
      </c>
      <c r="I341" s="586">
        <v>3.7798516950543197</v>
      </c>
      <c r="J341" s="587">
        <v>1.0962378432828998E-5</v>
      </c>
      <c r="K341" s="584">
        <v>2.0199078381638782</v>
      </c>
      <c r="L341" s="584">
        <v>5.4859390642109345</v>
      </c>
      <c r="M341" s="584">
        <v>-0.1656926595660452</v>
      </c>
      <c r="N341" s="584">
        <v>3.1741708310210544</v>
      </c>
      <c r="O341" s="588">
        <v>0</v>
      </c>
      <c r="P341" s="582">
        <v>0</v>
      </c>
      <c r="Q341" s="589">
        <v>0</v>
      </c>
      <c r="R341" s="587">
        <v>0</v>
      </c>
      <c r="S341" s="584">
        <v>0</v>
      </c>
      <c r="T341" s="584">
        <v>0</v>
      </c>
      <c r="U341" s="588">
        <v>0</v>
      </c>
      <c r="V341" s="170">
        <v>0</v>
      </c>
    </row>
    <row r="342" spans="1:22">
      <c r="A342" s="554"/>
      <c r="B342" s="556" t="s">
        <v>734</v>
      </c>
      <c r="C342" s="566">
        <v>38.75950570342205</v>
      </c>
      <c r="D342" s="94">
        <v>0</v>
      </c>
      <c r="E342" s="94">
        <v>38.837803320561939</v>
      </c>
      <c r="F342" s="94">
        <v>38.761627906976742</v>
      </c>
      <c r="G342" s="95">
        <v>33.100746268656714</v>
      </c>
      <c r="H342" s="567">
        <v>39</v>
      </c>
      <c r="I342" s="568">
        <v>38.163043478260867</v>
      </c>
      <c r="J342" s="569">
        <v>0</v>
      </c>
      <c r="K342" s="94">
        <v>29.06969696969697</v>
      </c>
      <c r="L342" s="94">
        <v>40.097363083164304</v>
      </c>
      <c r="M342" s="94">
        <v>0</v>
      </c>
      <c r="N342" s="570">
        <v>35.675577156743621</v>
      </c>
      <c r="O342" s="571">
        <v>0</v>
      </c>
      <c r="P342" s="566">
        <v>0</v>
      </c>
      <c r="Q342" s="572">
        <v>0</v>
      </c>
      <c r="R342" s="569">
        <v>0</v>
      </c>
      <c r="S342" s="570">
        <v>0</v>
      </c>
      <c r="T342" s="570">
        <v>0</v>
      </c>
      <c r="U342" s="571">
        <v>0</v>
      </c>
      <c r="V342" s="170">
        <v>0</v>
      </c>
    </row>
    <row r="343" spans="1:22">
      <c r="A343" s="554"/>
      <c r="B343" s="573" t="s">
        <v>736</v>
      </c>
      <c r="C343" s="574">
        <v>38.760306807286675</v>
      </c>
      <c r="D343" s="226">
        <v>0</v>
      </c>
      <c r="E343" s="226">
        <v>38.683417085427138</v>
      </c>
      <c r="F343" s="226">
        <v>38.700000000000003</v>
      </c>
      <c r="G343" s="226">
        <v>35.876712328767127</v>
      </c>
      <c r="H343" s="575">
        <v>39</v>
      </c>
      <c r="I343" s="576">
        <v>38.322800000000001</v>
      </c>
      <c r="J343" s="577">
        <v>0</v>
      </c>
      <c r="K343" s="226">
        <v>29.069164265129682</v>
      </c>
      <c r="L343" s="226">
        <v>38.006462035541198</v>
      </c>
      <c r="M343" s="226">
        <v>0</v>
      </c>
      <c r="N343" s="226">
        <v>34.796066252587991</v>
      </c>
      <c r="O343" s="578">
        <v>0</v>
      </c>
      <c r="P343" s="574">
        <v>0</v>
      </c>
      <c r="Q343" s="579">
        <v>0</v>
      </c>
      <c r="R343" s="577">
        <v>0</v>
      </c>
      <c r="S343" s="226">
        <v>0</v>
      </c>
      <c r="T343" s="226">
        <v>0</v>
      </c>
      <c r="U343" s="578">
        <v>0</v>
      </c>
      <c r="V343" s="170">
        <v>0</v>
      </c>
    </row>
    <row r="344" spans="1:22">
      <c r="A344" s="580"/>
      <c r="B344" s="581" t="s">
        <v>499</v>
      </c>
      <c r="C344" s="582">
        <v>2.0668577941998353E-3</v>
      </c>
      <c r="D344" s="584">
        <v>0</v>
      </c>
      <c r="E344" s="584">
        <v>-0.39751536373084267</v>
      </c>
      <c r="F344" s="584">
        <v>-0.15899205039746597</v>
      </c>
      <c r="G344" s="584">
        <v>8.386415332088724</v>
      </c>
      <c r="H344" s="585">
        <v>0</v>
      </c>
      <c r="I344" s="586">
        <v>0.41861577898035546</v>
      </c>
      <c r="J344" s="587">
        <v>0</v>
      </c>
      <c r="K344" s="584">
        <v>-1.8325081539141198E-3</v>
      </c>
      <c r="L344" s="584">
        <v>-5.2145599781373493</v>
      </c>
      <c r="M344" s="584">
        <v>0</v>
      </c>
      <c r="N344" s="584">
        <v>-2.4653025241649931</v>
      </c>
      <c r="O344" s="588">
        <v>0</v>
      </c>
      <c r="P344" s="582">
        <v>0</v>
      </c>
      <c r="Q344" s="589">
        <v>0</v>
      </c>
      <c r="R344" s="587">
        <v>0</v>
      </c>
      <c r="S344" s="584">
        <v>0</v>
      </c>
      <c r="T344" s="584">
        <v>0</v>
      </c>
      <c r="U344" s="588">
        <v>0</v>
      </c>
      <c r="V344" s="170">
        <v>0</v>
      </c>
    </row>
    <row r="345" spans="1:22">
      <c r="A345" s="554"/>
      <c r="B345" s="556" t="s">
        <v>738</v>
      </c>
      <c r="C345" s="566">
        <v>5157.0610086206898</v>
      </c>
      <c r="D345" s="94">
        <v>0</v>
      </c>
      <c r="E345" s="94">
        <v>4888.9561604086848</v>
      </c>
      <c r="F345" s="94">
        <v>5246.6110069767446</v>
      </c>
      <c r="G345" s="95">
        <v>4107.8310051351355</v>
      </c>
      <c r="H345" s="567">
        <v>3548.9230072186838</v>
      </c>
      <c r="I345" s="568">
        <v>4761.5491784897022</v>
      </c>
      <c r="J345" s="569">
        <v>3448.480414035088</v>
      </c>
      <c r="K345" s="94">
        <v>3407.185798816568</v>
      </c>
      <c r="L345" s="94">
        <v>3565.401294498382</v>
      </c>
      <c r="M345" s="94">
        <v>3092.8643991999998</v>
      </c>
      <c r="N345" s="570">
        <v>3441.0670915824917</v>
      </c>
      <c r="O345" s="571">
        <v>0</v>
      </c>
      <c r="P345" s="566">
        <v>0</v>
      </c>
      <c r="Q345" s="572">
        <v>0</v>
      </c>
      <c r="R345" s="569">
        <v>0</v>
      </c>
      <c r="S345" s="570">
        <v>0</v>
      </c>
      <c r="T345" s="570">
        <v>0</v>
      </c>
      <c r="U345" s="571">
        <v>0</v>
      </c>
      <c r="V345" s="170">
        <v>0</v>
      </c>
    </row>
    <row r="346" spans="1:22">
      <c r="A346" s="554"/>
      <c r="B346" s="573" t="s">
        <v>740</v>
      </c>
      <c r="C346" s="574">
        <v>5178.9598981539848</v>
      </c>
      <c r="D346" s="226">
        <v>0</v>
      </c>
      <c r="E346" s="226">
        <v>4886.0506283919594</v>
      </c>
      <c r="F346" s="226">
        <v>5227.5123129411768</v>
      </c>
      <c r="G346" s="226">
        <v>4099.257740979021</v>
      </c>
      <c r="H346" s="575">
        <v>3533.1145356846473</v>
      </c>
      <c r="I346" s="576">
        <v>4770.6144658302919</v>
      </c>
      <c r="J346" s="577">
        <v>3492.7737389830509</v>
      </c>
      <c r="K346" s="226">
        <v>3600.6478060046188</v>
      </c>
      <c r="L346" s="226">
        <v>3404.4321766561516</v>
      </c>
      <c r="M346" s="226">
        <v>3173.4532314960629</v>
      </c>
      <c r="N346" s="226">
        <v>3459.11116028169</v>
      </c>
      <c r="O346" s="578">
        <v>0</v>
      </c>
      <c r="P346" s="574">
        <v>0</v>
      </c>
      <c r="Q346" s="579">
        <v>0</v>
      </c>
      <c r="R346" s="577">
        <v>0</v>
      </c>
      <c r="S346" s="226">
        <v>0</v>
      </c>
      <c r="T346" s="226">
        <v>0</v>
      </c>
      <c r="U346" s="578">
        <v>0</v>
      </c>
      <c r="V346" s="170">
        <v>0</v>
      </c>
    </row>
    <row r="347" spans="1:22">
      <c r="A347" s="580"/>
      <c r="B347" s="581" t="s">
        <v>569</v>
      </c>
      <c r="C347" s="582">
        <v>0.42463894642099825</v>
      </c>
      <c r="D347" s="584">
        <v>0</v>
      </c>
      <c r="E347" s="584">
        <v>-5.9430518936837637E-2</v>
      </c>
      <c r="F347" s="584">
        <v>-0.36401963115182617</v>
      </c>
      <c r="G347" s="584">
        <v>-0.20870537627758093</v>
      </c>
      <c r="H347" s="585">
        <v>-0.44544419537649205</v>
      </c>
      <c r="I347" s="586">
        <v>0.19038525069828496</v>
      </c>
      <c r="J347" s="587">
        <v>1.2844302309994857</v>
      </c>
      <c r="K347" s="584">
        <v>5.6780586270125566</v>
      </c>
      <c r="L347" s="584">
        <v>-4.5147545688788222</v>
      </c>
      <c r="M347" s="584">
        <v>2.6056374251942076</v>
      </c>
      <c r="N347" s="584">
        <v>0.52437421936170758</v>
      </c>
      <c r="O347" s="588">
        <v>0</v>
      </c>
      <c r="P347" s="582">
        <v>0</v>
      </c>
      <c r="Q347" s="589">
        <v>0</v>
      </c>
      <c r="R347" s="587">
        <v>0</v>
      </c>
      <c r="S347" s="584">
        <v>0</v>
      </c>
      <c r="T347" s="584">
        <v>0</v>
      </c>
      <c r="U347" s="588">
        <v>0</v>
      </c>
      <c r="V347" s="170">
        <v>0</v>
      </c>
    </row>
    <row r="348" spans="1:22">
      <c r="A348" s="554"/>
      <c r="B348" s="556" t="s">
        <v>742</v>
      </c>
      <c r="C348" s="566">
        <v>102.94736842105263</v>
      </c>
      <c r="D348" s="94">
        <v>0</v>
      </c>
      <c r="E348" s="94">
        <v>97.577266922094509</v>
      </c>
      <c r="F348" s="94">
        <v>89.25</v>
      </c>
      <c r="G348" s="95">
        <v>239.00675675675674</v>
      </c>
      <c r="H348" s="567">
        <v>100.70912951167728</v>
      </c>
      <c r="I348" s="568">
        <v>124.24462242562929</v>
      </c>
      <c r="J348" s="569">
        <v>87.10526315789474</v>
      </c>
      <c r="K348" s="94">
        <v>112.60355029585799</v>
      </c>
      <c r="L348" s="94">
        <v>145.41963322545845</v>
      </c>
      <c r="M348" s="94">
        <v>193.5045045045045</v>
      </c>
      <c r="N348" s="570">
        <v>135.48366650414431</v>
      </c>
      <c r="O348" s="571">
        <v>0</v>
      </c>
      <c r="P348" s="566">
        <v>0</v>
      </c>
      <c r="Q348" s="572">
        <v>0</v>
      </c>
      <c r="R348" s="569">
        <v>0</v>
      </c>
      <c r="S348" s="570">
        <v>0</v>
      </c>
      <c r="T348" s="570">
        <v>0</v>
      </c>
      <c r="U348" s="571">
        <v>0</v>
      </c>
      <c r="V348" s="170">
        <v>0</v>
      </c>
    </row>
    <row r="349" spans="1:22">
      <c r="A349" s="554"/>
      <c r="B349" s="573" t="s">
        <v>567</v>
      </c>
      <c r="C349" s="574">
        <v>137.58982440342189</v>
      </c>
      <c r="D349" s="226">
        <v>0</v>
      </c>
      <c r="E349" s="226">
        <v>97.438442211055275</v>
      </c>
      <c r="F349" s="226">
        <v>88.923529411764704</v>
      </c>
      <c r="G349" s="226">
        <v>221.30349650349649</v>
      </c>
      <c r="H349" s="575">
        <v>85.995850622406635</v>
      </c>
      <c r="I349" s="576">
        <v>136.3930200729927</v>
      </c>
      <c r="J349" s="577">
        <v>88.016949152542367</v>
      </c>
      <c r="K349" s="226">
        <v>112.96073903002309</v>
      </c>
      <c r="L349" s="226">
        <v>145.00525762355414</v>
      </c>
      <c r="M349" s="226">
        <v>233.00446428571428</v>
      </c>
      <c r="N349" s="226">
        <v>139.57619047619048</v>
      </c>
      <c r="O349" s="578">
        <v>0</v>
      </c>
      <c r="P349" s="574">
        <v>0</v>
      </c>
      <c r="Q349" s="579">
        <v>0</v>
      </c>
      <c r="R349" s="577">
        <v>0</v>
      </c>
      <c r="S349" s="226">
        <v>0</v>
      </c>
      <c r="T349" s="226">
        <v>0</v>
      </c>
      <c r="U349" s="578">
        <v>0</v>
      </c>
      <c r="V349" s="170">
        <v>0</v>
      </c>
    </row>
    <row r="350" spans="1:22">
      <c r="A350" s="580"/>
      <c r="B350" s="581" t="s">
        <v>37</v>
      </c>
      <c r="C350" s="582">
        <v>33.650647426636802</v>
      </c>
      <c r="D350" s="584">
        <v>0</v>
      </c>
      <c r="E350" s="584">
        <v>-0.14227157146148764</v>
      </c>
      <c r="F350" s="584">
        <v>-0.36579337617400071</v>
      </c>
      <c r="G350" s="584">
        <v>-7.4070124600189917</v>
      </c>
      <c r="H350" s="585">
        <v>-14.609677355581379</v>
      </c>
      <c r="I350" s="586">
        <v>9.7778055984960108</v>
      </c>
      <c r="J350" s="587">
        <v>1.0466485739157043</v>
      </c>
      <c r="K350" s="584">
        <v>0.31720912282660518</v>
      </c>
      <c r="L350" s="584">
        <v>-0.28495162084604042</v>
      </c>
      <c r="M350" s="584">
        <v>20.412940712855747</v>
      </c>
      <c r="N350" s="584">
        <v>3.0206770141705457</v>
      </c>
      <c r="O350" s="588">
        <v>0</v>
      </c>
      <c r="P350" s="582">
        <v>0</v>
      </c>
      <c r="Q350" s="589">
        <v>0</v>
      </c>
      <c r="R350" s="587">
        <v>0</v>
      </c>
      <c r="S350" s="584">
        <v>0</v>
      </c>
      <c r="T350" s="584">
        <v>0</v>
      </c>
      <c r="U350" s="588">
        <v>0</v>
      </c>
      <c r="V350" s="170">
        <v>0</v>
      </c>
    </row>
    <row r="351" spans="1:22">
      <c r="A351" s="554"/>
      <c r="B351" s="556" t="s">
        <v>571</v>
      </c>
      <c r="C351" s="566">
        <v>64.282148457350274</v>
      </c>
      <c r="D351" s="94">
        <v>0</v>
      </c>
      <c r="E351" s="94">
        <v>63.968770114942529</v>
      </c>
      <c r="F351" s="94">
        <v>102.8758034883721</v>
      </c>
      <c r="G351" s="95">
        <v>913.46230685579189</v>
      </c>
      <c r="H351" s="567">
        <v>81.352222929936303</v>
      </c>
      <c r="I351" s="568">
        <v>156.46965043177894</v>
      </c>
      <c r="J351" s="569">
        <v>83.526673684210536</v>
      </c>
      <c r="K351" s="94">
        <v>47.029585798816569</v>
      </c>
      <c r="L351" s="94">
        <v>22.29806598407281</v>
      </c>
      <c r="M351" s="94">
        <v>69.612880909090904</v>
      </c>
      <c r="N351" s="570">
        <v>39.688083058470767</v>
      </c>
      <c r="O351" s="571">
        <v>0</v>
      </c>
      <c r="P351" s="566">
        <v>0</v>
      </c>
      <c r="Q351" s="572">
        <v>0</v>
      </c>
      <c r="R351" s="569">
        <v>0</v>
      </c>
      <c r="S351" s="570">
        <v>0</v>
      </c>
      <c r="T351" s="570">
        <v>0</v>
      </c>
      <c r="U351" s="571">
        <v>0</v>
      </c>
      <c r="V351" s="170">
        <v>0</v>
      </c>
    </row>
    <row r="352" spans="1:22">
      <c r="A352" s="554"/>
      <c r="B352" s="573" t="s">
        <v>573</v>
      </c>
      <c r="C352" s="574">
        <v>66.359743448896893</v>
      </c>
      <c r="D352" s="226">
        <v>0</v>
      </c>
      <c r="E352" s="226">
        <v>63.579603015075378</v>
      </c>
      <c r="F352" s="226">
        <v>102.50375411764706</v>
      </c>
      <c r="G352" s="226">
        <v>740.03899837398387</v>
      </c>
      <c r="H352" s="575">
        <v>80.96590663900416</v>
      </c>
      <c r="I352" s="576">
        <v>130.63891773155029</v>
      </c>
      <c r="J352" s="577">
        <v>84.584318644067793</v>
      </c>
      <c r="K352" s="226">
        <v>46.321016166281758</v>
      </c>
      <c r="L352" s="226">
        <v>22.329977628635348</v>
      </c>
      <c r="M352" s="226">
        <v>66.9131</v>
      </c>
      <c r="N352" s="226">
        <v>39.586783502170768</v>
      </c>
      <c r="O352" s="578">
        <v>0</v>
      </c>
      <c r="P352" s="574">
        <v>0</v>
      </c>
      <c r="Q352" s="579">
        <v>0</v>
      </c>
      <c r="R352" s="577">
        <v>0</v>
      </c>
      <c r="S352" s="226">
        <v>0</v>
      </c>
      <c r="T352" s="226">
        <v>0</v>
      </c>
      <c r="U352" s="578">
        <v>0</v>
      </c>
      <c r="V352" s="170">
        <v>0</v>
      </c>
    </row>
    <row r="353" spans="1:22">
      <c r="A353" s="580"/>
      <c r="B353" s="581" t="s">
        <v>39</v>
      </c>
      <c r="C353" s="582">
        <v>3.23199370494758</v>
      </c>
      <c r="D353" s="584">
        <v>0</v>
      </c>
      <c r="E353" s="584">
        <v>-0.60837045822184022</v>
      </c>
      <c r="F353" s="584">
        <v>-0.3616490545972641</v>
      </c>
      <c r="G353" s="584">
        <v>-18.985272537270255</v>
      </c>
      <c r="H353" s="585">
        <v>-0.47486875836798431</v>
      </c>
      <c r="I353" s="586">
        <v>-16.508461947060397</v>
      </c>
      <c r="J353" s="587">
        <v>1.2662361772670332</v>
      </c>
      <c r="K353" s="584">
        <v>-1.5066465513133247</v>
      </c>
      <c r="L353" s="584">
        <v>0.14311395699219662</v>
      </c>
      <c r="M353" s="584">
        <v>-3.8782778040986581</v>
      </c>
      <c r="N353" s="584">
        <v>-0.255239226723948</v>
      </c>
      <c r="O353" s="588">
        <v>0</v>
      </c>
      <c r="P353" s="582">
        <v>0</v>
      </c>
      <c r="Q353" s="589">
        <v>0</v>
      </c>
      <c r="R353" s="587">
        <v>0</v>
      </c>
      <c r="S353" s="584">
        <v>0</v>
      </c>
      <c r="T353" s="584">
        <v>0</v>
      </c>
      <c r="U353" s="588">
        <v>0</v>
      </c>
      <c r="V353" s="170">
        <v>0</v>
      </c>
    </row>
    <row r="354" spans="1:22">
      <c r="A354" s="554"/>
      <c r="B354" s="556" t="s">
        <v>575</v>
      </c>
      <c r="C354" s="566">
        <v>772.18950871143375</v>
      </c>
      <c r="D354" s="94">
        <v>0</v>
      </c>
      <c r="E354" s="94">
        <v>761.50698722860795</v>
      </c>
      <c r="F354" s="94">
        <v>932.72895465116289</v>
      </c>
      <c r="G354" s="95">
        <v>782.41032243243239</v>
      </c>
      <c r="H354" s="567">
        <v>613.57251082802554</v>
      </c>
      <c r="I354" s="568">
        <v>761.22913491990846</v>
      </c>
      <c r="J354" s="569">
        <v>584.64365263157902</v>
      </c>
      <c r="K354" s="94">
        <v>357.69704142011835</v>
      </c>
      <c r="L354" s="94">
        <v>420.3408845738943</v>
      </c>
      <c r="M354" s="94">
        <v>428.9693702702703</v>
      </c>
      <c r="N354" s="570">
        <v>400.03212501218923</v>
      </c>
      <c r="O354" s="571">
        <v>0</v>
      </c>
      <c r="P354" s="566">
        <v>0</v>
      </c>
      <c r="Q354" s="572">
        <v>0</v>
      </c>
      <c r="R354" s="569">
        <v>0</v>
      </c>
      <c r="S354" s="570">
        <v>0</v>
      </c>
      <c r="T354" s="570">
        <v>0</v>
      </c>
      <c r="U354" s="571">
        <v>0</v>
      </c>
      <c r="V354" s="170">
        <v>0</v>
      </c>
    </row>
    <row r="355" spans="1:22">
      <c r="A355" s="554"/>
      <c r="B355" s="573" t="s">
        <v>577</v>
      </c>
      <c r="C355" s="574">
        <v>803.96099117514632</v>
      </c>
      <c r="D355" s="226">
        <v>0</v>
      </c>
      <c r="E355" s="226">
        <v>761.78721080402011</v>
      </c>
      <c r="F355" s="226">
        <v>929.33753058823538</v>
      </c>
      <c r="G355" s="226">
        <v>790.34288755244756</v>
      </c>
      <c r="H355" s="575">
        <v>631.53692116182572</v>
      </c>
      <c r="I355" s="576">
        <v>779.98707162408766</v>
      </c>
      <c r="J355" s="577">
        <v>620.31992881355939</v>
      </c>
      <c r="K355" s="226">
        <v>360.19168591224019</v>
      </c>
      <c r="L355" s="226">
        <v>450.25657202944268</v>
      </c>
      <c r="M355" s="226">
        <v>455.36464196428568</v>
      </c>
      <c r="N355" s="226">
        <v>418.43835980952377</v>
      </c>
      <c r="O355" s="578">
        <v>0</v>
      </c>
      <c r="P355" s="574">
        <v>0</v>
      </c>
      <c r="Q355" s="579">
        <v>0</v>
      </c>
      <c r="R355" s="577">
        <v>0</v>
      </c>
      <c r="S355" s="226">
        <v>0</v>
      </c>
      <c r="T355" s="226">
        <v>0</v>
      </c>
      <c r="U355" s="578">
        <v>0</v>
      </c>
      <c r="V355" s="170">
        <v>0</v>
      </c>
    </row>
    <row r="356" spans="1:22">
      <c r="A356" s="580"/>
      <c r="B356" s="581" t="s">
        <v>501</v>
      </c>
      <c r="C356" s="582">
        <v>4.1144669935661531</v>
      </c>
      <c r="D356" s="584">
        <v>0</v>
      </c>
      <c r="E356" s="584">
        <v>3.6798556035839328E-2</v>
      </c>
      <c r="F356" s="584">
        <v>-0.3636023140501618</v>
      </c>
      <c r="G356" s="584">
        <v>1.013862533836932</v>
      </c>
      <c r="H356" s="585">
        <v>2.9278381962641915</v>
      </c>
      <c r="I356" s="586">
        <v>2.4641643158012849</v>
      </c>
      <c r="J356" s="587">
        <v>6.1022258638053239</v>
      </c>
      <c r="K356" s="584">
        <v>0.69741826273364493</v>
      </c>
      <c r="L356" s="584">
        <v>7.1170063520883415</v>
      </c>
      <c r="M356" s="584">
        <v>6.1531833094249011</v>
      </c>
      <c r="N356" s="584">
        <v>4.6011891661885151</v>
      </c>
      <c r="O356" s="588">
        <v>0</v>
      </c>
      <c r="P356" s="582">
        <v>0</v>
      </c>
      <c r="Q356" s="589">
        <v>0</v>
      </c>
      <c r="R356" s="587">
        <v>0</v>
      </c>
      <c r="S356" s="584">
        <v>0</v>
      </c>
      <c r="T356" s="584">
        <v>0</v>
      </c>
      <c r="U356" s="588">
        <v>0</v>
      </c>
      <c r="V356" s="170">
        <v>0</v>
      </c>
    </row>
    <row r="357" spans="1:22">
      <c r="A357" s="554"/>
      <c r="B357" s="556" t="s">
        <v>579</v>
      </c>
      <c r="C357" s="566">
        <v>0</v>
      </c>
      <c r="D357" s="94">
        <v>0</v>
      </c>
      <c r="E357" s="94">
        <v>0</v>
      </c>
      <c r="F357" s="94">
        <v>0</v>
      </c>
      <c r="G357" s="95">
        <v>100</v>
      </c>
      <c r="H357" s="567">
        <v>0</v>
      </c>
      <c r="I357" s="568">
        <v>100</v>
      </c>
      <c r="J357" s="569">
        <v>0</v>
      </c>
      <c r="K357" s="94">
        <v>0</v>
      </c>
      <c r="L357" s="94">
        <v>0</v>
      </c>
      <c r="M357" s="94">
        <v>0</v>
      </c>
      <c r="N357" s="570">
        <v>0</v>
      </c>
      <c r="O357" s="571">
        <v>0</v>
      </c>
      <c r="P357" s="566">
        <v>0</v>
      </c>
      <c r="Q357" s="572">
        <v>0</v>
      </c>
      <c r="R357" s="569">
        <v>0</v>
      </c>
      <c r="S357" s="570">
        <v>0</v>
      </c>
      <c r="T357" s="570">
        <v>0</v>
      </c>
      <c r="U357" s="571">
        <v>0</v>
      </c>
      <c r="V357" s="170">
        <v>0</v>
      </c>
    </row>
    <row r="358" spans="1:22">
      <c r="A358" s="554"/>
      <c r="B358" s="573" t="s">
        <v>581</v>
      </c>
      <c r="C358" s="574">
        <v>0</v>
      </c>
      <c r="D358" s="226">
        <v>0</v>
      </c>
      <c r="E358" s="226">
        <v>0</v>
      </c>
      <c r="F358" s="226">
        <v>0</v>
      </c>
      <c r="G358" s="226">
        <v>100</v>
      </c>
      <c r="H358" s="575">
        <v>0</v>
      </c>
      <c r="I358" s="576">
        <v>100</v>
      </c>
      <c r="J358" s="577">
        <v>0</v>
      </c>
      <c r="K358" s="226">
        <v>0</v>
      </c>
      <c r="L358" s="226">
        <v>0</v>
      </c>
      <c r="M358" s="226">
        <v>0</v>
      </c>
      <c r="N358" s="226">
        <v>0</v>
      </c>
      <c r="O358" s="578">
        <v>0</v>
      </c>
      <c r="P358" s="574">
        <v>0</v>
      </c>
      <c r="Q358" s="579">
        <v>0</v>
      </c>
      <c r="R358" s="577">
        <v>0</v>
      </c>
      <c r="S358" s="226">
        <v>0</v>
      </c>
      <c r="T358" s="226">
        <v>0</v>
      </c>
      <c r="U358" s="578">
        <v>0</v>
      </c>
      <c r="V358" s="170">
        <v>0</v>
      </c>
    </row>
    <row r="359" spans="1:22">
      <c r="A359" s="580"/>
      <c r="B359" s="581" t="s">
        <v>503</v>
      </c>
      <c r="C359" s="582">
        <v>0</v>
      </c>
      <c r="D359" s="584">
        <v>0</v>
      </c>
      <c r="E359" s="584">
        <v>0</v>
      </c>
      <c r="F359" s="584">
        <v>0</v>
      </c>
      <c r="G359" s="584">
        <v>0</v>
      </c>
      <c r="H359" s="585">
        <v>0</v>
      </c>
      <c r="I359" s="586">
        <v>0</v>
      </c>
      <c r="J359" s="587">
        <v>0</v>
      </c>
      <c r="K359" s="584">
        <v>0</v>
      </c>
      <c r="L359" s="584">
        <v>0</v>
      </c>
      <c r="M359" s="584">
        <v>0</v>
      </c>
      <c r="N359" s="584">
        <v>0</v>
      </c>
      <c r="O359" s="588">
        <v>0</v>
      </c>
      <c r="P359" s="582">
        <v>0</v>
      </c>
      <c r="Q359" s="589">
        <v>0</v>
      </c>
      <c r="R359" s="587">
        <v>0</v>
      </c>
      <c r="S359" s="584">
        <v>0</v>
      </c>
      <c r="T359" s="584">
        <v>0</v>
      </c>
      <c r="U359" s="588">
        <v>0</v>
      </c>
      <c r="V359" s="170">
        <v>0</v>
      </c>
    </row>
    <row r="360" spans="1:22">
      <c r="A360" s="554"/>
      <c r="B360" s="556" t="s">
        <v>583</v>
      </c>
      <c r="C360" s="566">
        <v>0</v>
      </c>
      <c r="D360" s="94">
        <v>0</v>
      </c>
      <c r="E360" s="94">
        <v>0</v>
      </c>
      <c r="F360" s="94">
        <v>0</v>
      </c>
      <c r="G360" s="95">
        <v>0</v>
      </c>
      <c r="H360" s="567">
        <v>0</v>
      </c>
      <c r="I360" s="568">
        <v>0</v>
      </c>
      <c r="J360" s="569">
        <v>0</v>
      </c>
      <c r="K360" s="94">
        <v>0</v>
      </c>
      <c r="L360" s="94">
        <v>0</v>
      </c>
      <c r="M360" s="94">
        <v>0</v>
      </c>
      <c r="N360" s="570">
        <v>0</v>
      </c>
      <c r="O360" s="571">
        <v>0</v>
      </c>
      <c r="P360" s="566">
        <v>0</v>
      </c>
      <c r="Q360" s="572">
        <v>0</v>
      </c>
      <c r="R360" s="569">
        <v>0</v>
      </c>
      <c r="S360" s="570">
        <v>0</v>
      </c>
      <c r="T360" s="570">
        <v>0</v>
      </c>
      <c r="U360" s="571">
        <v>0</v>
      </c>
      <c r="V360" s="170">
        <v>0</v>
      </c>
    </row>
    <row r="361" spans="1:22">
      <c r="A361" s="554"/>
      <c r="B361" s="573" t="s">
        <v>585</v>
      </c>
      <c r="C361" s="574">
        <v>0</v>
      </c>
      <c r="D361" s="226">
        <v>0</v>
      </c>
      <c r="E361" s="226">
        <v>0</v>
      </c>
      <c r="F361" s="226">
        <v>0</v>
      </c>
      <c r="G361" s="226">
        <v>0</v>
      </c>
      <c r="H361" s="575">
        <v>0</v>
      </c>
      <c r="I361" s="576">
        <v>0</v>
      </c>
      <c r="J361" s="577">
        <v>0</v>
      </c>
      <c r="K361" s="226">
        <v>0</v>
      </c>
      <c r="L361" s="226">
        <v>0</v>
      </c>
      <c r="M361" s="226">
        <v>0</v>
      </c>
      <c r="N361" s="226">
        <v>0</v>
      </c>
      <c r="O361" s="578">
        <v>0</v>
      </c>
      <c r="P361" s="574">
        <v>0</v>
      </c>
      <c r="Q361" s="579">
        <v>0</v>
      </c>
      <c r="R361" s="577">
        <v>0</v>
      </c>
      <c r="S361" s="226">
        <v>0</v>
      </c>
      <c r="T361" s="226">
        <v>0</v>
      </c>
      <c r="U361" s="578">
        <v>0</v>
      </c>
      <c r="V361" s="170">
        <v>0</v>
      </c>
    </row>
    <row r="362" spans="1:22">
      <c r="A362" s="580"/>
      <c r="B362" s="581" t="s">
        <v>694</v>
      </c>
      <c r="C362" s="582">
        <v>0</v>
      </c>
      <c r="D362" s="584">
        <v>0</v>
      </c>
      <c r="E362" s="584">
        <v>0</v>
      </c>
      <c r="F362" s="584">
        <v>0</v>
      </c>
      <c r="G362" s="584">
        <v>0</v>
      </c>
      <c r="H362" s="585">
        <v>0</v>
      </c>
      <c r="I362" s="586">
        <v>0</v>
      </c>
      <c r="J362" s="587">
        <v>0</v>
      </c>
      <c r="K362" s="584">
        <v>0</v>
      </c>
      <c r="L362" s="584">
        <v>0</v>
      </c>
      <c r="M362" s="584">
        <v>0</v>
      </c>
      <c r="N362" s="584">
        <v>0</v>
      </c>
      <c r="O362" s="588">
        <v>0</v>
      </c>
      <c r="P362" s="582">
        <v>0</v>
      </c>
      <c r="Q362" s="589">
        <v>0</v>
      </c>
      <c r="R362" s="587">
        <v>0</v>
      </c>
      <c r="S362" s="584">
        <v>0</v>
      </c>
      <c r="T362" s="584">
        <v>0</v>
      </c>
      <c r="U362" s="588">
        <v>0</v>
      </c>
      <c r="V362" s="170">
        <v>0</v>
      </c>
    </row>
    <row r="363" spans="1:22">
      <c r="A363" s="554"/>
      <c r="B363" s="556" t="s">
        <v>587</v>
      </c>
      <c r="C363" s="566">
        <v>21516.348778430125</v>
      </c>
      <c r="D363" s="94">
        <v>0</v>
      </c>
      <c r="E363" s="94">
        <v>20345.738911213281</v>
      </c>
      <c r="F363" s="94">
        <v>20524.252957906978</v>
      </c>
      <c r="G363" s="95">
        <v>16754.505781594595</v>
      </c>
      <c r="H363" s="567">
        <v>16438.311376900212</v>
      </c>
      <c r="I363" s="568">
        <v>19913.88940979405</v>
      </c>
      <c r="J363" s="569">
        <v>16563.087710526317</v>
      </c>
      <c r="K363" s="94">
        <v>14301.861538461539</v>
      </c>
      <c r="L363" s="94">
        <v>13450.995685005393</v>
      </c>
      <c r="M363" s="94">
        <v>13948.44502152</v>
      </c>
      <c r="N363" s="570">
        <v>13941.968857566137</v>
      </c>
      <c r="O363" s="571">
        <v>0</v>
      </c>
      <c r="P363" s="566">
        <v>0</v>
      </c>
      <c r="Q363" s="572">
        <v>0</v>
      </c>
      <c r="R363" s="569">
        <v>0</v>
      </c>
      <c r="S363" s="570">
        <v>0</v>
      </c>
      <c r="T363" s="570">
        <v>0</v>
      </c>
      <c r="U363" s="571">
        <v>0</v>
      </c>
      <c r="V363" s="170">
        <v>0</v>
      </c>
    </row>
    <row r="364" spans="1:22">
      <c r="A364" s="554"/>
      <c r="B364" s="573" t="s">
        <v>589</v>
      </c>
      <c r="C364" s="574">
        <v>22035.253911364252</v>
      </c>
      <c r="D364" s="226">
        <v>0</v>
      </c>
      <c r="E364" s="226">
        <v>21373.069666884425</v>
      </c>
      <c r="F364" s="226">
        <v>21056.76769235294</v>
      </c>
      <c r="G364" s="226">
        <v>17177.888912251747</v>
      </c>
      <c r="H364" s="575">
        <v>16540.344610290456</v>
      </c>
      <c r="I364" s="576">
        <v>20480.736672924271</v>
      </c>
      <c r="J364" s="577">
        <v>16966.748764745764</v>
      </c>
      <c r="K364" s="226">
        <v>15023.642032332564</v>
      </c>
      <c r="L364" s="226">
        <v>13719.73396424816</v>
      </c>
      <c r="M364" s="226">
        <v>14375.742708976379</v>
      </c>
      <c r="N364" s="226">
        <v>14418.036537652582</v>
      </c>
      <c r="O364" s="578">
        <v>0</v>
      </c>
      <c r="P364" s="574">
        <v>0</v>
      </c>
      <c r="Q364" s="579">
        <v>0</v>
      </c>
      <c r="R364" s="577">
        <v>0</v>
      </c>
      <c r="S364" s="226">
        <v>0</v>
      </c>
      <c r="T364" s="226">
        <v>0</v>
      </c>
      <c r="U364" s="578">
        <v>0</v>
      </c>
      <c r="V364" s="170">
        <v>0</v>
      </c>
    </row>
    <row r="365" spans="1:22">
      <c r="A365" s="580"/>
      <c r="B365" s="581" t="s">
        <v>696</v>
      </c>
      <c r="C365" s="582">
        <v>2.4116783859458688</v>
      </c>
      <c r="D365" s="584">
        <v>0</v>
      </c>
      <c r="E365" s="584">
        <v>5.0493656689211948</v>
      </c>
      <c r="F365" s="584">
        <v>2.594563298055681</v>
      </c>
      <c r="G365" s="584">
        <v>2.526980718955333</v>
      </c>
      <c r="H365" s="585">
        <v>0.62070386094295271</v>
      </c>
      <c r="I365" s="586">
        <v>2.8464919708323491</v>
      </c>
      <c r="J365" s="587">
        <v>2.4371123384374069</v>
      </c>
      <c r="K365" s="584">
        <v>5.0467590665030837</v>
      </c>
      <c r="L365" s="584">
        <v>1.9979062185139587</v>
      </c>
      <c r="M365" s="584">
        <v>3.063407331764465</v>
      </c>
      <c r="N365" s="584">
        <v>3.414637379770717</v>
      </c>
      <c r="O365" s="588">
        <v>0</v>
      </c>
      <c r="P365" s="582">
        <v>0</v>
      </c>
      <c r="Q365" s="589">
        <v>0</v>
      </c>
      <c r="R365" s="587">
        <v>0</v>
      </c>
      <c r="S365" s="584">
        <v>0</v>
      </c>
      <c r="T365" s="584">
        <v>0</v>
      </c>
      <c r="U365" s="588">
        <v>0</v>
      </c>
      <c r="V365" s="170">
        <v>0</v>
      </c>
    </row>
    <row r="366" spans="1:22">
      <c r="A366" s="549" t="s">
        <v>296</v>
      </c>
      <c r="B366" s="556" t="s">
        <v>726</v>
      </c>
      <c r="C366" s="566">
        <v>9140.8729720457432</v>
      </c>
      <c r="D366" s="94">
        <v>0</v>
      </c>
      <c r="E366" s="94">
        <v>7086.8633156841734</v>
      </c>
      <c r="F366" s="94">
        <v>0</v>
      </c>
      <c r="G366" s="95">
        <v>7452.5989483394833</v>
      </c>
      <c r="H366" s="567">
        <v>0</v>
      </c>
      <c r="I366" s="568">
        <v>7998.0456311176576</v>
      </c>
      <c r="J366" s="569">
        <v>0</v>
      </c>
      <c r="K366" s="94">
        <v>5823.4486755134276</v>
      </c>
      <c r="L366" s="94">
        <v>5148.6955784708252</v>
      </c>
      <c r="M366" s="94">
        <v>5492.2854461538464</v>
      </c>
      <c r="N366" s="570">
        <v>5413.7255865396073</v>
      </c>
      <c r="O366" s="571">
        <v>0</v>
      </c>
      <c r="P366" s="566">
        <v>3721.3522648303401</v>
      </c>
      <c r="Q366" s="572">
        <v>0</v>
      </c>
      <c r="R366" s="569">
        <v>3721.3522648303401</v>
      </c>
      <c r="S366" s="570">
        <v>0</v>
      </c>
      <c r="T366" s="570">
        <v>0</v>
      </c>
      <c r="U366" s="571">
        <v>0</v>
      </c>
      <c r="V366" s="170">
        <v>0</v>
      </c>
    </row>
    <row r="367" spans="1:22">
      <c r="A367" s="554"/>
      <c r="B367" s="573" t="s">
        <v>728</v>
      </c>
      <c r="C367" s="574">
        <v>9386.2949829822392</v>
      </c>
      <c r="D367" s="226">
        <v>0</v>
      </c>
      <c r="E367" s="226">
        <v>7095.6054206518002</v>
      </c>
      <c r="F367" s="226">
        <v>0</v>
      </c>
      <c r="G367" s="226">
        <v>6903.904312820513</v>
      </c>
      <c r="H367" s="575">
        <v>0</v>
      </c>
      <c r="I367" s="576">
        <v>8075.0001484043505</v>
      </c>
      <c r="J367" s="577">
        <v>0</v>
      </c>
      <c r="K367" s="226">
        <v>5972.2937799691827</v>
      </c>
      <c r="L367" s="226">
        <v>5808.771477756286</v>
      </c>
      <c r="M367" s="226">
        <v>5570.8710461538467</v>
      </c>
      <c r="N367" s="226">
        <v>5862.8090291642648</v>
      </c>
      <c r="O367" s="578">
        <v>0</v>
      </c>
      <c r="P367" s="574">
        <v>3690.5217244990549</v>
      </c>
      <c r="Q367" s="579">
        <v>0</v>
      </c>
      <c r="R367" s="577">
        <v>3690.5217244990549</v>
      </c>
      <c r="S367" s="226">
        <v>0</v>
      </c>
      <c r="T367" s="226">
        <v>0</v>
      </c>
      <c r="U367" s="578">
        <v>0</v>
      </c>
      <c r="V367" s="170">
        <v>0</v>
      </c>
    </row>
    <row r="368" spans="1:22">
      <c r="A368" s="580"/>
      <c r="B368" s="581" t="s">
        <v>495</v>
      </c>
      <c r="C368" s="582">
        <v>2.6848859150218574</v>
      </c>
      <c r="D368" s="584">
        <v>0</v>
      </c>
      <c r="E368" s="584">
        <v>0.12335647772801484</v>
      </c>
      <c r="F368" s="584">
        <v>0</v>
      </c>
      <c r="G368" s="584">
        <v>-7.3624602547709221</v>
      </c>
      <c r="H368" s="585">
        <v>0</v>
      </c>
      <c r="I368" s="586">
        <v>0.96216651962185828</v>
      </c>
      <c r="J368" s="587">
        <v>0</v>
      </c>
      <c r="K368" s="584">
        <v>2.5559614714494252</v>
      </c>
      <c r="L368" s="584">
        <v>12.820254940796186</v>
      </c>
      <c r="M368" s="584">
        <v>1.4308360475880308</v>
      </c>
      <c r="N368" s="584">
        <v>8.2952753228060558</v>
      </c>
      <c r="O368" s="588">
        <v>0</v>
      </c>
      <c r="P368" s="582">
        <v>-0.82847680459218198</v>
      </c>
      <c r="Q368" s="589">
        <v>0</v>
      </c>
      <c r="R368" s="587">
        <v>-0.82847680459218198</v>
      </c>
      <c r="S368" s="584">
        <v>0</v>
      </c>
      <c r="T368" s="584">
        <v>0</v>
      </c>
      <c r="U368" s="588">
        <v>0</v>
      </c>
      <c r="V368" s="170">
        <v>0</v>
      </c>
    </row>
    <row r="369" spans="1:22">
      <c r="A369" s="554"/>
      <c r="B369" s="556" t="s">
        <v>730</v>
      </c>
      <c r="C369" s="566">
        <v>9244.9906914893618</v>
      </c>
      <c r="D369" s="94">
        <v>0</v>
      </c>
      <c r="E369" s="94">
        <v>8972.9934815950928</v>
      </c>
      <c r="F369" s="94">
        <v>0</v>
      </c>
      <c r="G369" s="95">
        <v>8775.6321839080465</v>
      </c>
      <c r="H369" s="567">
        <v>0</v>
      </c>
      <c r="I369" s="568">
        <v>9082.6743414634147</v>
      </c>
      <c r="J369" s="569">
        <v>0</v>
      </c>
      <c r="K369" s="94">
        <v>8707.8128440366982</v>
      </c>
      <c r="L369" s="94">
        <v>8463.5795964125555</v>
      </c>
      <c r="M369" s="94">
        <v>9011.2340425531911</v>
      </c>
      <c r="N369" s="570">
        <v>8570.6192722371961</v>
      </c>
      <c r="O369" s="571">
        <v>0</v>
      </c>
      <c r="P369" s="566">
        <v>7368.1137485029958</v>
      </c>
      <c r="Q369" s="572">
        <v>0</v>
      </c>
      <c r="R369" s="569">
        <v>7368.1137485029958</v>
      </c>
      <c r="S369" s="570">
        <v>0</v>
      </c>
      <c r="T369" s="570">
        <v>0</v>
      </c>
      <c r="U369" s="571">
        <v>0</v>
      </c>
      <c r="V369" s="170">
        <v>0</v>
      </c>
    </row>
    <row r="370" spans="1:22">
      <c r="A370" s="554"/>
      <c r="B370" s="573" t="s">
        <v>732</v>
      </c>
      <c r="C370" s="574">
        <v>9479.4368215371251</v>
      </c>
      <c r="D370" s="226">
        <v>0</v>
      </c>
      <c r="E370" s="226">
        <v>9214.1356489945156</v>
      </c>
      <c r="F370" s="226">
        <v>0</v>
      </c>
      <c r="G370" s="226">
        <v>9104.6127819548874</v>
      </c>
      <c r="H370" s="575">
        <v>0</v>
      </c>
      <c r="I370" s="576">
        <v>9323.8369155354449</v>
      </c>
      <c r="J370" s="577">
        <v>0</v>
      </c>
      <c r="K370" s="226">
        <v>8523.0375000000004</v>
      </c>
      <c r="L370" s="226">
        <v>9478.2336548767416</v>
      </c>
      <c r="M370" s="226">
        <v>9806.0869565217399</v>
      </c>
      <c r="N370" s="226">
        <v>9140.4632878492521</v>
      </c>
      <c r="O370" s="578">
        <v>0</v>
      </c>
      <c r="P370" s="574">
        <v>7349.6055579259219</v>
      </c>
      <c r="Q370" s="579">
        <v>0</v>
      </c>
      <c r="R370" s="577">
        <v>7349.6055579259219</v>
      </c>
      <c r="S370" s="226">
        <v>0</v>
      </c>
      <c r="T370" s="226">
        <v>0</v>
      </c>
      <c r="U370" s="578">
        <v>0</v>
      </c>
      <c r="V370" s="170">
        <v>0</v>
      </c>
    </row>
    <row r="371" spans="1:22">
      <c r="A371" s="580"/>
      <c r="B371" s="581" t="s">
        <v>497</v>
      </c>
      <c r="C371" s="582">
        <v>2.5359260800942374</v>
      </c>
      <c r="D371" s="584">
        <v>0</v>
      </c>
      <c r="E371" s="584">
        <v>2.6874216268410338</v>
      </c>
      <c r="F371" s="584">
        <v>0</v>
      </c>
      <c r="G371" s="584">
        <v>3.7487965670449985</v>
      </c>
      <c r="H371" s="585">
        <v>0</v>
      </c>
      <c r="I371" s="586">
        <v>2.6551934485980215</v>
      </c>
      <c r="J371" s="587">
        <v>0</v>
      </c>
      <c r="K371" s="584">
        <v>-2.1219489594707586</v>
      </c>
      <c r="L371" s="584">
        <v>11.988474225424264</v>
      </c>
      <c r="M371" s="584">
        <v>8.8206888225859448</v>
      </c>
      <c r="N371" s="584">
        <v>6.6488079508787825</v>
      </c>
      <c r="O371" s="588">
        <v>0</v>
      </c>
      <c r="P371" s="582">
        <v>-0.2511930625505655</v>
      </c>
      <c r="Q371" s="589">
        <v>0</v>
      </c>
      <c r="R371" s="587">
        <v>-0.2511930625505655</v>
      </c>
      <c r="S371" s="584">
        <v>0</v>
      </c>
      <c r="T371" s="584">
        <v>0</v>
      </c>
      <c r="U371" s="588">
        <v>0</v>
      </c>
      <c r="V371" s="170">
        <v>0</v>
      </c>
    </row>
    <row r="372" spans="1:22">
      <c r="A372" s="554"/>
      <c r="B372" s="556" t="s">
        <v>734</v>
      </c>
      <c r="C372" s="566">
        <v>0</v>
      </c>
      <c r="D372" s="94">
        <v>0</v>
      </c>
      <c r="E372" s="94">
        <v>0</v>
      </c>
      <c r="F372" s="94">
        <v>0</v>
      </c>
      <c r="G372" s="95">
        <v>0</v>
      </c>
      <c r="H372" s="567">
        <v>0</v>
      </c>
      <c r="I372" s="568">
        <v>0</v>
      </c>
      <c r="J372" s="569">
        <v>0</v>
      </c>
      <c r="K372" s="94">
        <v>0</v>
      </c>
      <c r="L372" s="94">
        <v>0</v>
      </c>
      <c r="M372" s="94">
        <v>0</v>
      </c>
      <c r="N372" s="570">
        <v>0</v>
      </c>
      <c r="O372" s="571">
        <v>0</v>
      </c>
      <c r="P372" s="566">
        <v>0</v>
      </c>
      <c r="Q372" s="572">
        <v>0</v>
      </c>
      <c r="R372" s="569">
        <v>0</v>
      </c>
      <c r="S372" s="570">
        <v>0</v>
      </c>
      <c r="T372" s="570">
        <v>0</v>
      </c>
      <c r="U372" s="571">
        <v>0</v>
      </c>
      <c r="V372" s="170">
        <v>0</v>
      </c>
    </row>
    <row r="373" spans="1:22">
      <c r="A373" s="554"/>
      <c r="B373" s="573" t="s">
        <v>736</v>
      </c>
      <c r="C373" s="574">
        <v>0</v>
      </c>
      <c r="D373" s="226">
        <v>0</v>
      </c>
      <c r="E373" s="226">
        <v>0</v>
      </c>
      <c r="F373" s="226">
        <v>0</v>
      </c>
      <c r="G373" s="226">
        <v>0</v>
      </c>
      <c r="H373" s="575">
        <v>0</v>
      </c>
      <c r="I373" s="576">
        <v>0</v>
      </c>
      <c r="J373" s="577">
        <v>0</v>
      </c>
      <c r="K373" s="226">
        <v>0</v>
      </c>
      <c r="L373" s="226">
        <v>0</v>
      </c>
      <c r="M373" s="226">
        <v>0</v>
      </c>
      <c r="N373" s="226">
        <v>0</v>
      </c>
      <c r="O373" s="578">
        <v>0</v>
      </c>
      <c r="P373" s="574">
        <v>0</v>
      </c>
      <c r="Q373" s="579">
        <v>0</v>
      </c>
      <c r="R373" s="577">
        <v>0</v>
      </c>
      <c r="S373" s="226">
        <v>0</v>
      </c>
      <c r="T373" s="226">
        <v>0</v>
      </c>
      <c r="U373" s="578">
        <v>0</v>
      </c>
      <c r="V373" s="170">
        <v>0</v>
      </c>
    </row>
    <row r="374" spans="1:22">
      <c r="A374" s="580"/>
      <c r="B374" s="581" t="s">
        <v>499</v>
      </c>
      <c r="C374" s="582">
        <v>0</v>
      </c>
      <c r="D374" s="584">
        <v>0</v>
      </c>
      <c r="E374" s="584">
        <v>0</v>
      </c>
      <c r="F374" s="584">
        <v>0</v>
      </c>
      <c r="G374" s="584">
        <v>0</v>
      </c>
      <c r="H374" s="585">
        <v>0</v>
      </c>
      <c r="I374" s="586">
        <v>0</v>
      </c>
      <c r="J374" s="587">
        <v>0</v>
      </c>
      <c r="K374" s="584">
        <v>0</v>
      </c>
      <c r="L374" s="584">
        <v>0</v>
      </c>
      <c r="M374" s="584">
        <v>0</v>
      </c>
      <c r="N374" s="584">
        <v>0</v>
      </c>
      <c r="O374" s="588">
        <v>0</v>
      </c>
      <c r="P374" s="582">
        <v>0</v>
      </c>
      <c r="Q374" s="589">
        <v>0</v>
      </c>
      <c r="R374" s="587">
        <v>0</v>
      </c>
      <c r="S374" s="584">
        <v>0</v>
      </c>
      <c r="T374" s="584">
        <v>0</v>
      </c>
      <c r="U374" s="588">
        <v>0</v>
      </c>
      <c r="V374" s="170">
        <v>0</v>
      </c>
    </row>
    <row r="375" spans="1:22">
      <c r="A375" s="554"/>
      <c r="B375" s="556" t="s">
        <v>738</v>
      </c>
      <c r="C375" s="566">
        <v>5329.2939685534593</v>
      </c>
      <c r="D375" s="94">
        <v>0</v>
      </c>
      <c r="E375" s="94">
        <v>4448.872573319104</v>
      </c>
      <c r="F375" s="94">
        <v>0</v>
      </c>
      <c r="G375" s="95">
        <v>4345.6595029197078</v>
      </c>
      <c r="H375" s="567">
        <v>0</v>
      </c>
      <c r="I375" s="568">
        <v>4827.5790900182819</v>
      </c>
      <c r="J375" s="569">
        <v>0</v>
      </c>
      <c r="K375" s="94">
        <v>3823.3109668769716</v>
      </c>
      <c r="L375" s="94">
        <v>3568.2016268774701</v>
      </c>
      <c r="M375" s="94">
        <v>3627.9715111111113</v>
      </c>
      <c r="N375" s="570">
        <v>3665.2409770588238</v>
      </c>
      <c r="O375" s="571">
        <v>0</v>
      </c>
      <c r="P375" s="566">
        <v>2846.8344825952095</v>
      </c>
      <c r="Q375" s="572">
        <v>0</v>
      </c>
      <c r="R375" s="569">
        <v>2846.8344825952095</v>
      </c>
      <c r="S375" s="570">
        <v>0</v>
      </c>
      <c r="T375" s="570">
        <v>0</v>
      </c>
      <c r="U375" s="571">
        <v>0</v>
      </c>
      <c r="V375" s="170">
        <v>0</v>
      </c>
    </row>
    <row r="376" spans="1:22">
      <c r="A376" s="554"/>
      <c r="B376" s="573" t="s">
        <v>740</v>
      </c>
      <c r="C376" s="574">
        <v>4578.6099381921831</v>
      </c>
      <c r="D376" s="226">
        <v>0</v>
      </c>
      <c r="E376" s="226">
        <v>4314.6883482853227</v>
      </c>
      <c r="F376" s="226">
        <v>0</v>
      </c>
      <c r="G376" s="226">
        <v>4394.4679760869567</v>
      </c>
      <c r="H376" s="575">
        <v>0</v>
      </c>
      <c r="I376" s="576">
        <v>4433.351698512748</v>
      </c>
      <c r="J376" s="577">
        <v>0</v>
      </c>
      <c r="K376" s="226">
        <v>3782.8789734157649</v>
      </c>
      <c r="L376" s="226">
        <v>3499.048958180058</v>
      </c>
      <c r="M376" s="226">
        <v>3566.3983698113211</v>
      </c>
      <c r="N376" s="226">
        <v>3607.0740814772071</v>
      </c>
      <c r="O376" s="578">
        <v>0</v>
      </c>
      <c r="P376" s="574">
        <v>2823.2491192417765</v>
      </c>
      <c r="Q376" s="579">
        <v>0</v>
      </c>
      <c r="R376" s="577">
        <v>2823.2491192417765</v>
      </c>
      <c r="S376" s="226">
        <v>0</v>
      </c>
      <c r="T376" s="226">
        <v>0</v>
      </c>
      <c r="U376" s="578">
        <v>0</v>
      </c>
      <c r="V376" s="170">
        <v>0</v>
      </c>
    </row>
    <row r="377" spans="1:22">
      <c r="A377" s="580"/>
      <c r="B377" s="581" t="s">
        <v>569</v>
      </c>
      <c r="C377" s="582">
        <v>-14.085994032058169</v>
      </c>
      <c r="D377" s="584">
        <v>0</v>
      </c>
      <c r="E377" s="584">
        <v>-3.0161399955241355</v>
      </c>
      <c r="F377" s="584">
        <v>0</v>
      </c>
      <c r="G377" s="584">
        <v>1.1231545668604734</v>
      </c>
      <c r="H377" s="585">
        <v>0</v>
      </c>
      <c r="I377" s="586">
        <v>-8.1661508626685375</v>
      </c>
      <c r="J377" s="587">
        <v>0</v>
      </c>
      <c r="K377" s="584">
        <v>-1.0575125542098698</v>
      </c>
      <c r="L377" s="584">
        <v>-1.9380258160446924</v>
      </c>
      <c r="M377" s="584">
        <v>-1.6971781920341673</v>
      </c>
      <c r="N377" s="584">
        <v>-1.5869869388040285</v>
      </c>
      <c r="O377" s="588">
        <v>0</v>
      </c>
      <c r="P377" s="582">
        <v>-0.82847680459217488</v>
      </c>
      <c r="Q377" s="589">
        <v>0</v>
      </c>
      <c r="R377" s="587">
        <v>-0.82847680459217488</v>
      </c>
      <c r="S377" s="584">
        <v>0</v>
      </c>
      <c r="T377" s="584">
        <v>0</v>
      </c>
      <c r="U377" s="588">
        <v>0</v>
      </c>
      <c r="V377" s="170">
        <v>0</v>
      </c>
    </row>
    <row r="378" spans="1:22">
      <c r="A378" s="554"/>
      <c r="B378" s="556" t="s">
        <v>742</v>
      </c>
      <c r="C378" s="566">
        <v>29.213541666666668</v>
      </c>
      <c r="D378" s="94">
        <v>0</v>
      </c>
      <c r="E378" s="94">
        <v>20.780254777070063</v>
      </c>
      <c r="F378" s="94">
        <v>0</v>
      </c>
      <c r="G378" s="95">
        <v>28.729927007299271</v>
      </c>
      <c r="H378" s="567">
        <v>0</v>
      </c>
      <c r="I378" s="568">
        <v>25.715590345727332</v>
      </c>
      <c r="J378" s="569">
        <v>0</v>
      </c>
      <c r="K378" s="94">
        <v>65.602150537634415</v>
      </c>
      <c r="L378" s="94">
        <v>0</v>
      </c>
      <c r="M378" s="94">
        <v>0</v>
      </c>
      <c r="N378" s="570">
        <v>65.602150537634415</v>
      </c>
      <c r="O378" s="571">
        <v>0</v>
      </c>
      <c r="P378" s="566">
        <v>0</v>
      </c>
      <c r="Q378" s="572">
        <v>0</v>
      </c>
      <c r="R378" s="569">
        <v>0</v>
      </c>
      <c r="S378" s="570">
        <v>0</v>
      </c>
      <c r="T378" s="570">
        <v>0</v>
      </c>
      <c r="U378" s="571">
        <v>0</v>
      </c>
      <c r="V378" s="170">
        <v>0</v>
      </c>
    </row>
    <row r="379" spans="1:22">
      <c r="A379" s="554"/>
      <c r="B379" s="573" t="s">
        <v>567</v>
      </c>
      <c r="C379" s="574">
        <v>39.704785581106279</v>
      </c>
      <c r="D379" s="226">
        <v>0</v>
      </c>
      <c r="E379" s="226">
        <v>37.562980030721967</v>
      </c>
      <c r="F379" s="226">
        <v>0</v>
      </c>
      <c r="G379" s="226">
        <v>16.764492753623188</v>
      </c>
      <c r="H379" s="575">
        <v>0</v>
      </c>
      <c r="I379" s="576">
        <v>36.843112645120804</v>
      </c>
      <c r="J379" s="577">
        <v>0</v>
      </c>
      <c r="K379" s="226">
        <v>269.38461538461536</v>
      </c>
      <c r="L379" s="226">
        <v>0</v>
      </c>
      <c r="M379" s="226">
        <v>0</v>
      </c>
      <c r="N379" s="226">
        <v>269.38461538461536</v>
      </c>
      <c r="O379" s="578">
        <v>0</v>
      </c>
      <c r="P379" s="574">
        <v>0</v>
      </c>
      <c r="Q379" s="579">
        <v>0</v>
      </c>
      <c r="R379" s="577">
        <v>0</v>
      </c>
      <c r="S379" s="226">
        <v>0</v>
      </c>
      <c r="T379" s="226">
        <v>0</v>
      </c>
      <c r="U379" s="578">
        <v>0</v>
      </c>
      <c r="V379" s="170">
        <v>0</v>
      </c>
    </row>
    <row r="380" spans="1:22">
      <c r="A380" s="580"/>
      <c r="B380" s="581" t="s">
        <v>37</v>
      </c>
      <c r="C380" s="582">
        <v>35.912262998260033</v>
      </c>
      <c r="D380" s="584">
        <v>0</v>
      </c>
      <c r="E380" s="584">
        <v>80.762846431367024</v>
      </c>
      <c r="F380" s="584">
        <v>0</v>
      </c>
      <c r="G380" s="584">
        <v>-41.647979998821732</v>
      </c>
      <c r="H380" s="585">
        <v>0</v>
      </c>
      <c r="I380" s="586">
        <v>43.271502422429592</v>
      </c>
      <c r="J380" s="587">
        <v>0</v>
      </c>
      <c r="K380" s="584">
        <v>310.63381791131326</v>
      </c>
      <c r="L380" s="584">
        <v>0</v>
      </c>
      <c r="M380" s="584">
        <v>0</v>
      </c>
      <c r="N380" s="584">
        <v>310.63381791131326</v>
      </c>
      <c r="O380" s="588">
        <v>0</v>
      </c>
      <c r="P380" s="582">
        <v>0</v>
      </c>
      <c r="Q380" s="589">
        <v>0</v>
      </c>
      <c r="R380" s="587">
        <v>0</v>
      </c>
      <c r="S380" s="584">
        <v>0</v>
      </c>
      <c r="T380" s="584">
        <v>0</v>
      </c>
      <c r="U380" s="588">
        <v>0</v>
      </c>
      <c r="V380" s="170">
        <v>0</v>
      </c>
    </row>
    <row r="381" spans="1:22">
      <c r="A381" s="554"/>
      <c r="B381" s="556" t="s">
        <v>571</v>
      </c>
      <c r="C381" s="566">
        <v>55.318828463792379</v>
      </c>
      <c r="D381" s="94">
        <v>0</v>
      </c>
      <c r="E381" s="94">
        <v>54.688169186671445</v>
      </c>
      <c r="F381" s="94">
        <v>0</v>
      </c>
      <c r="G381" s="95">
        <v>56.754322962962959</v>
      </c>
      <c r="H381" s="567">
        <v>0</v>
      </c>
      <c r="I381" s="568">
        <v>55.066977724770645</v>
      </c>
      <c r="J381" s="569">
        <v>0</v>
      </c>
      <c r="K381" s="94">
        <v>51.729852848101267</v>
      </c>
      <c r="L381" s="94">
        <v>52.17248247639035</v>
      </c>
      <c r="M381" s="94">
        <v>51.737055319148936</v>
      </c>
      <c r="N381" s="570">
        <v>51.988532107843142</v>
      </c>
      <c r="O381" s="571">
        <v>0</v>
      </c>
      <c r="P381" s="566">
        <v>0</v>
      </c>
      <c r="Q381" s="572">
        <v>0</v>
      </c>
      <c r="R381" s="569">
        <v>0</v>
      </c>
      <c r="S381" s="570">
        <v>0</v>
      </c>
      <c r="T381" s="570">
        <v>0</v>
      </c>
      <c r="U381" s="571">
        <v>0</v>
      </c>
      <c r="V381" s="170">
        <v>0</v>
      </c>
    </row>
    <row r="382" spans="1:22">
      <c r="A382" s="554"/>
      <c r="B382" s="573" t="s">
        <v>573</v>
      </c>
      <c r="C382" s="574">
        <v>54.889559640522876</v>
      </c>
      <c r="D382" s="226">
        <v>0</v>
      </c>
      <c r="E382" s="226">
        <v>55.63625928226363</v>
      </c>
      <c r="F382" s="226">
        <v>0</v>
      </c>
      <c r="G382" s="226">
        <v>57.905096240601509</v>
      </c>
      <c r="H382" s="575">
        <v>0</v>
      </c>
      <c r="I382" s="576">
        <v>55.418082145402707</v>
      </c>
      <c r="J382" s="577">
        <v>0</v>
      </c>
      <c r="K382" s="226">
        <v>51.470893023255819</v>
      </c>
      <c r="L382" s="226">
        <v>56.194446607669619</v>
      </c>
      <c r="M382" s="226">
        <v>54.166121739130432</v>
      </c>
      <c r="N382" s="226">
        <v>54.356042037470729</v>
      </c>
      <c r="O382" s="578">
        <v>0</v>
      </c>
      <c r="P382" s="574">
        <v>0</v>
      </c>
      <c r="Q382" s="579">
        <v>0</v>
      </c>
      <c r="R382" s="577">
        <v>0</v>
      </c>
      <c r="S382" s="226">
        <v>0</v>
      </c>
      <c r="T382" s="226">
        <v>0</v>
      </c>
      <c r="U382" s="578">
        <v>0</v>
      </c>
      <c r="V382" s="170">
        <v>0</v>
      </c>
    </row>
    <row r="383" spans="1:22">
      <c r="A383" s="580"/>
      <c r="B383" s="581" t="s">
        <v>39</v>
      </c>
      <c r="C383" s="582">
        <v>-0.77599044518896576</v>
      </c>
      <c r="D383" s="584">
        <v>0</v>
      </c>
      <c r="E383" s="584">
        <v>1.7336292468595804</v>
      </c>
      <c r="F383" s="584">
        <v>0</v>
      </c>
      <c r="G383" s="584">
        <v>2.0276398652302263</v>
      </c>
      <c r="H383" s="585">
        <v>0</v>
      </c>
      <c r="I383" s="586">
        <v>0.63759522519450973</v>
      </c>
      <c r="J383" s="587">
        <v>0</v>
      </c>
      <c r="K383" s="584">
        <v>-0.50060035083775212</v>
      </c>
      <c r="L383" s="584">
        <v>7.7089759589249587</v>
      </c>
      <c r="M383" s="584">
        <v>4.6950225616772752</v>
      </c>
      <c r="N383" s="584">
        <v>4.5539080132451319</v>
      </c>
      <c r="O383" s="588">
        <v>0</v>
      </c>
      <c r="P383" s="582">
        <v>0</v>
      </c>
      <c r="Q383" s="589">
        <v>0</v>
      </c>
      <c r="R383" s="587">
        <v>0</v>
      </c>
      <c r="S383" s="584">
        <v>0</v>
      </c>
      <c r="T383" s="584">
        <v>0</v>
      </c>
      <c r="U383" s="588">
        <v>0</v>
      </c>
      <c r="V383" s="170">
        <v>0</v>
      </c>
    </row>
    <row r="384" spans="1:22">
      <c r="A384" s="554"/>
      <c r="B384" s="556" t="s">
        <v>575</v>
      </c>
      <c r="C384" s="566">
        <v>201.6384776041667</v>
      </c>
      <c r="D384" s="94">
        <v>0</v>
      </c>
      <c r="E384" s="94">
        <v>156.6636378516624</v>
      </c>
      <c r="F384" s="94">
        <v>0</v>
      </c>
      <c r="G384" s="95">
        <v>142.94133941605841</v>
      </c>
      <c r="H384" s="567">
        <v>0</v>
      </c>
      <c r="I384" s="568">
        <v>186.34171331213088</v>
      </c>
      <c r="J384" s="569">
        <v>0</v>
      </c>
      <c r="K384" s="94">
        <v>214.44489677419355</v>
      </c>
      <c r="L384" s="94">
        <v>0</v>
      </c>
      <c r="M384" s="94">
        <v>0</v>
      </c>
      <c r="N384" s="570">
        <v>214.44489677419355</v>
      </c>
      <c r="O384" s="571">
        <v>0</v>
      </c>
      <c r="P384" s="566">
        <v>0</v>
      </c>
      <c r="Q384" s="572">
        <v>0</v>
      </c>
      <c r="R384" s="569">
        <v>0</v>
      </c>
      <c r="S384" s="570">
        <v>0</v>
      </c>
      <c r="T384" s="570">
        <v>0</v>
      </c>
      <c r="U384" s="571">
        <v>0</v>
      </c>
      <c r="V384" s="170">
        <v>0</v>
      </c>
    </row>
    <row r="385" spans="1:22">
      <c r="A385" s="554"/>
      <c r="B385" s="573" t="s">
        <v>577</v>
      </c>
      <c r="C385" s="574">
        <v>162.41907420758236</v>
      </c>
      <c r="D385" s="226">
        <v>0</v>
      </c>
      <c r="E385" s="226">
        <v>127.87582755555556</v>
      </c>
      <c r="F385" s="226">
        <v>0</v>
      </c>
      <c r="G385" s="226">
        <v>115.74368913043479</v>
      </c>
      <c r="H385" s="575">
        <v>0</v>
      </c>
      <c r="I385" s="576">
        <v>150.24482698072805</v>
      </c>
      <c r="J385" s="577">
        <v>0</v>
      </c>
      <c r="K385" s="226">
        <v>157.51430769230771</v>
      </c>
      <c r="L385" s="226">
        <v>0</v>
      </c>
      <c r="M385" s="226">
        <v>0</v>
      </c>
      <c r="N385" s="226">
        <v>157.51430769230771</v>
      </c>
      <c r="O385" s="578">
        <v>0</v>
      </c>
      <c r="P385" s="574">
        <v>0</v>
      </c>
      <c r="Q385" s="579">
        <v>0</v>
      </c>
      <c r="R385" s="577">
        <v>0</v>
      </c>
      <c r="S385" s="226">
        <v>0</v>
      </c>
      <c r="T385" s="226">
        <v>0</v>
      </c>
      <c r="U385" s="578">
        <v>0</v>
      </c>
      <c r="V385" s="170">
        <v>0</v>
      </c>
    </row>
    <row r="386" spans="1:22">
      <c r="A386" s="580"/>
      <c r="B386" s="581" t="s">
        <v>501</v>
      </c>
      <c r="C386" s="582">
        <v>-19.450356828013415</v>
      </c>
      <c r="D386" s="584">
        <v>0</v>
      </c>
      <c r="E386" s="584">
        <v>-18.375553313376201</v>
      </c>
      <c r="F386" s="584">
        <v>0</v>
      </c>
      <c r="G386" s="584">
        <v>-19.027141061312992</v>
      </c>
      <c r="H386" s="585">
        <v>0</v>
      </c>
      <c r="I386" s="586">
        <v>-19.371339723027496</v>
      </c>
      <c r="J386" s="587">
        <v>0</v>
      </c>
      <c r="K386" s="584">
        <v>-26.547887097463867</v>
      </c>
      <c r="L386" s="584">
        <v>0</v>
      </c>
      <c r="M386" s="584">
        <v>0</v>
      </c>
      <c r="N386" s="584">
        <v>-26.547887097463867</v>
      </c>
      <c r="O386" s="588">
        <v>0</v>
      </c>
      <c r="P386" s="582">
        <v>0</v>
      </c>
      <c r="Q386" s="589">
        <v>0</v>
      </c>
      <c r="R386" s="587">
        <v>0</v>
      </c>
      <c r="S386" s="584">
        <v>0</v>
      </c>
      <c r="T386" s="584">
        <v>0</v>
      </c>
      <c r="U386" s="588">
        <v>0</v>
      </c>
      <c r="V386" s="170">
        <v>0</v>
      </c>
    </row>
    <row r="387" spans="1:22">
      <c r="A387" s="554"/>
      <c r="B387" s="556" t="s">
        <v>579</v>
      </c>
      <c r="C387" s="566">
        <v>0</v>
      </c>
      <c r="D387" s="94">
        <v>0</v>
      </c>
      <c r="E387" s="94">
        <v>3311.375</v>
      </c>
      <c r="F387" s="94">
        <v>0</v>
      </c>
      <c r="G387" s="95">
        <v>2642.8</v>
      </c>
      <c r="H387" s="567">
        <v>0</v>
      </c>
      <c r="I387" s="568">
        <v>3129.0363636363636</v>
      </c>
      <c r="J387" s="569">
        <v>0</v>
      </c>
      <c r="K387" s="94">
        <v>696.63636363636363</v>
      </c>
      <c r="L387" s="94">
        <v>2044.2459016393443</v>
      </c>
      <c r="M387" s="94">
        <v>0</v>
      </c>
      <c r="N387" s="570">
        <v>1687.0481927710844</v>
      </c>
      <c r="O387" s="571">
        <v>0</v>
      </c>
      <c r="P387" s="566">
        <v>0</v>
      </c>
      <c r="Q387" s="572">
        <v>0</v>
      </c>
      <c r="R387" s="569">
        <v>0</v>
      </c>
      <c r="S387" s="570">
        <v>0</v>
      </c>
      <c r="T387" s="570">
        <v>0</v>
      </c>
      <c r="U387" s="571">
        <v>0</v>
      </c>
      <c r="V387" s="170">
        <v>0</v>
      </c>
    </row>
    <row r="388" spans="1:22">
      <c r="A388" s="554"/>
      <c r="B388" s="573" t="s">
        <v>581</v>
      </c>
      <c r="C388" s="574">
        <v>0</v>
      </c>
      <c r="D388" s="226">
        <v>0</v>
      </c>
      <c r="E388" s="226">
        <v>2650.9298245614036</v>
      </c>
      <c r="F388" s="226">
        <v>0</v>
      </c>
      <c r="G388" s="226">
        <v>2125.8636363636365</v>
      </c>
      <c r="H388" s="575">
        <v>0</v>
      </c>
      <c r="I388" s="576">
        <v>2504.7088607594937</v>
      </c>
      <c r="J388" s="577">
        <v>0</v>
      </c>
      <c r="K388" s="226">
        <v>961.47826086956525</v>
      </c>
      <c r="L388" s="226">
        <v>1659.3666666666666</v>
      </c>
      <c r="M388" s="226">
        <v>0</v>
      </c>
      <c r="N388" s="226">
        <v>1517.3185840707965</v>
      </c>
      <c r="O388" s="578">
        <v>0</v>
      </c>
      <c r="P388" s="574">
        <v>0</v>
      </c>
      <c r="Q388" s="579">
        <v>0</v>
      </c>
      <c r="R388" s="577">
        <v>0</v>
      </c>
      <c r="S388" s="226">
        <v>0</v>
      </c>
      <c r="T388" s="226">
        <v>0</v>
      </c>
      <c r="U388" s="578">
        <v>0</v>
      </c>
      <c r="V388" s="170">
        <v>0</v>
      </c>
    </row>
    <row r="389" spans="1:22">
      <c r="A389" s="580"/>
      <c r="B389" s="581" t="s">
        <v>503</v>
      </c>
      <c r="C389" s="582">
        <v>0</v>
      </c>
      <c r="D389" s="584">
        <v>0</v>
      </c>
      <c r="E389" s="584">
        <v>-19.944741246116685</v>
      </c>
      <c r="F389" s="584">
        <v>0</v>
      </c>
      <c r="G389" s="584">
        <v>-19.560177222505057</v>
      </c>
      <c r="H389" s="585">
        <v>0</v>
      </c>
      <c r="I389" s="586">
        <v>-19.952708448275008</v>
      </c>
      <c r="J389" s="587">
        <v>0</v>
      </c>
      <c r="K389" s="584">
        <v>38.017236977231086</v>
      </c>
      <c r="L389" s="584">
        <v>-18.827443149771323</v>
      </c>
      <c r="M389" s="584">
        <v>0</v>
      </c>
      <c r="N389" s="584">
        <v>-10.060744525708902</v>
      </c>
      <c r="O389" s="588">
        <v>0</v>
      </c>
      <c r="P389" s="582">
        <v>0</v>
      </c>
      <c r="Q389" s="589">
        <v>0</v>
      </c>
      <c r="R389" s="587">
        <v>0</v>
      </c>
      <c r="S389" s="584">
        <v>0</v>
      </c>
      <c r="T389" s="584">
        <v>0</v>
      </c>
      <c r="U389" s="588">
        <v>0</v>
      </c>
      <c r="V389" s="170">
        <v>0</v>
      </c>
    </row>
    <row r="390" spans="1:22">
      <c r="A390" s="554"/>
      <c r="B390" s="556" t="s">
        <v>583</v>
      </c>
      <c r="C390" s="566">
        <v>577.6649746192893</v>
      </c>
      <c r="D390" s="94">
        <v>0</v>
      </c>
      <c r="E390" s="94">
        <v>569.24058769513317</v>
      </c>
      <c r="F390" s="94">
        <v>0</v>
      </c>
      <c r="G390" s="95">
        <v>0</v>
      </c>
      <c r="H390" s="567">
        <v>0</v>
      </c>
      <c r="I390" s="568">
        <v>572.20416666666665</v>
      </c>
      <c r="J390" s="569">
        <v>0</v>
      </c>
      <c r="K390" s="94">
        <v>566.600790513834</v>
      </c>
      <c r="L390" s="94">
        <v>578.94117647058829</v>
      </c>
      <c r="M390" s="94">
        <v>556</v>
      </c>
      <c r="N390" s="570">
        <v>572.08294062205471</v>
      </c>
      <c r="O390" s="571">
        <v>0</v>
      </c>
      <c r="P390" s="566">
        <v>0</v>
      </c>
      <c r="Q390" s="572">
        <v>0</v>
      </c>
      <c r="R390" s="569">
        <v>0</v>
      </c>
      <c r="S390" s="570">
        <v>0</v>
      </c>
      <c r="T390" s="570">
        <v>0</v>
      </c>
      <c r="U390" s="571">
        <v>0</v>
      </c>
      <c r="V390" s="170">
        <v>0</v>
      </c>
    </row>
    <row r="391" spans="1:22">
      <c r="A391" s="554"/>
      <c r="B391" s="573" t="s">
        <v>585</v>
      </c>
      <c r="C391" s="574">
        <v>579.25423728813564</v>
      </c>
      <c r="D391" s="226">
        <v>0</v>
      </c>
      <c r="E391" s="226">
        <v>1910.3496503496503</v>
      </c>
      <c r="F391" s="226">
        <v>0</v>
      </c>
      <c r="G391" s="226">
        <v>0</v>
      </c>
      <c r="H391" s="575">
        <v>0</v>
      </c>
      <c r="I391" s="576">
        <v>1457.439446366782</v>
      </c>
      <c r="J391" s="577">
        <v>0</v>
      </c>
      <c r="K391" s="226">
        <v>565.4296875</v>
      </c>
      <c r="L391" s="226">
        <v>581.608040201005</v>
      </c>
      <c r="M391" s="226">
        <v>567.90697674418607</v>
      </c>
      <c r="N391" s="226">
        <v>572.29800629590761</v>
      </c>
      <c r="O391" s="578">
        <v>0</v>
      </c>
      <c r="P391" s="574">
        <v>0</v>
      </c>
      <c r="Q391" s="579">
        <v>0</v>
      </c>
      <c r="R391" s="577">
        <v>0</v>
      </c>
      <c r="S391" s="226">
        <v>0</v>
      </c>
      <c r="T391" s="226">
        <v>0</v>
      </c>
      <c r="U391" s="578">
        <v>0</v>
      </c>
      <c r="V391" s="170">
        <v>0</v>
      </c>
    </row>
    <row r="392" spans="1:22">
      <c r="A392" s="580"/>
      <c r="B392" s="581" t="s">
        <v>694</v>
      </c>
      <c r="C392" s="582">
        <v>0.27511840576689811</v>
      </c>
      <c r="D392" s="584">
        <v>0</v>
      </c>
      <c r="E392" s="584">
        <v>235.59617701975455</v>
      </c>
      <c r="F392" s="584">
        <v>0</v>
      </c>
      <c r="G392" s="584">
        <v>0</v>
      </c>
      <c r="H392" s="585">
        <v>0</v>
      </c>
      <c r="I392" s="586">
        <v>154.70619252162885</v>
      </c>
      <c r="J392" s="587">
        <v>0</v>
      </c>
      <c r="K392" s="584">
        <v>-0.20668926578304975</v>
      </c>
      <c r="L392" s="584">
        <v>0.46064502557492409</v>
      </c>
      <c r="M392" s="584">
        <v>2.1415425798895806</v>
      </c>
      <c r="N392" s="584">
        <v>3.7593442940118668E-2</v>
      </c>
      <c r="O392" s="588">
        <v>0</v>
      </c>
      <c r="P392" s="582">
        <v>0</v>
      </c>
      <c r="Q392" s="589">
        <v>0</v>
      </c>
      <c r="R392" s="587">
        <v>0</v>
      </c>
      <c r="S392" s="584">
        <v>0</v>
      </c>
      <c r="T392" s="584">
        <v>0</v>
      </c>
      <c r="U392" s="588">
        <v>0</v>
      </c>
      <c r="V392" s="170">
        <v>0</v>
      </c>
    </row>
    <row r="393" spans="1:22">
      <c r="A393" s="554"/>
      <c r="B393" s="556" t="s">
        <v>587</v>
      </c>
      <c r="C393" s="566">
        <v>23067.663648875889</v>
      </c>
      <c r="D393" s="94">
        <v>0</v>
      </c>
      <c r="E393" s="94">
        <v>20052.911020675434</v>
      </c>
      <c r="F393" s="94">
        <v>0</v>
      </c>
      <c r="G393" s="95">
        <v>20265.95867080292</v>
      </c>
      <c r="H393" s="567">
        <v>0</v>
      </c>
      <c r="I393" s="568">
        <v>21380.042059985401</v>
      </c>
      <c r="J393" s="569">
        <v>0</v>
      </c>
      <c r="K393" s="94">
        <v>17534.751701829653</v>
      </c>
      <c r="L393" s="94">
        <v>16377.877865296443</v>
      </c>
      <c r="M393" s="94">
        <v>17073.853542222223</v>
      </c>
      <c r="N393" s="570">
        <v>16831.431217599998</v>
      </c>
      <c r="O393" s="571">
        <v>0</v>
      </c>
      <c r="P393" s="566">
        <v>12596.469502067506</v>
      </c>
      <c r="Q393" s="572">
        <v>0</v>
      </c>
      <c r="R393" s="569">
        <v>12596.469502067506</v>
      </c>
      <c r="S393" s="570">
        <v>0</v>
      </c>
      <c r="T393" s="570">
        <v>0</v>
      </c>
      <c r="U393" s="571">
        <v>0</v>
      </c>
      <c r="V393" s="170">
        <v>0</v>
      </c>
    </row>
    <row r="394" spans="1:22">
      <c r="A394" s="554"/>
      <c r="B394" s="573" t="s">
        <v>589</v>
      </c>
      <c r="C394" s="574">
        <v>22618.924371185065</v>
      </c>
      <c r="D394" s="226">
        <v>0</v>
      </c>
      <c r="E394" s="226">
        <v>20634.994619001711</v>
      </c>
      <c r="F394" s="226">
        <v>0</v>
      </c>
      <c r="G394" s="226">
        <v>20175.437637101451</v>
      </c>
      <c r="H394" s="575">
        <v>0</v>
      </c>
      <c r="I394" s="576">
        <v>21475.518040427185</v>
      </c>
      <c r="J394" s="577">
        <v>0</v>
      </c>
      <c r="K394" s="226">
        <v>17551.8641998151</v>
      </c>
      <c r="L394" s="226">
        <v>17996.075817882582</v>
      </c>
      <c r="M394" s="226">
        <v>17847.309020377361</v>
      </c>
      <c r="N394" s="226">
        <v>17825.956357576106</v>
      </c>
      <c r="O394" s="578">
        <v>0</v>
      </c>
      <c r="P394" s="574">
        <v>12526.911897153412</v>
      </c>
      <c r="Q394" s="579">
        <v>0</v>
      </c>
      <c r="R394" s="577">
        <v>12526.911897153412</v>
      </c>
      <c r="S394" s="226">
        <v>0</v>
      </c>
      <c r="T394" s="226">
        <v>0</v>
      </c>
      <c r="U394" s="578">
        <v>0</v>
      </c>
      <c r="V394" s="170">
        <v>0</v>
      </c>
    </row>
    <row r="395" spans="1:22">
      <c r="A395" s="580"/>
      <c r="B395" s="581" t="s">
        <v>696</v>
      </c>
      <c r="C395" s="582">
        <v>-1.9453174128134612</v>
      </c>
      <c r="D395" s="584">
        <v>0</v>
      </c>
      <c r="E395" s="584">
        <v>2.9027386483993425</v>
      </c>
      <c r="F395" s="584">
        <v>0</v>
      </c>
      <c r="G395" s="584">
        <v>-0.44666544115616869</v>
      </c>
      <c r="H395" s="585">
        <v>0</v>
      </c>
      <c r="I395" s="586">
        <v>0.4465659149496064</v>
      </c>
      <c r="J395" s="587">
        <v>0</v>
      </c>
      <c r="K395" s="584">
        <v>9.7591903646181019E-2</v>
      </c>
      <c r="L395" s="584">
        <v>9.8803884477303683</v>
      </c>
      <c r="M395" s="584">
        <v>4.5300580577339886</v>
      </c>
      <c r="N395" s="584">
        <v>5.9087378079659061</v>
      </c>
      <c r="O395" s="588">
        <v>0</v>
      </c>
      <c r="P395" s="582">
        <v>-0.55219920869635575</v>
      </c>
      <c r="Q395" s="589">
        <v>0</v>
      </c>
      <c r="R395" s="587">
        <v>-0.55219920869635575</v>
      </c>
      <c r="S395" s="584">
        <v>0</v>
      </c>
      <c r="T395" s="584">
        <v>0</v>
      </c>
      <c r="U395" s="588">
        <v>0</v>
      </c>
      <c r="V395" s="170">
        <v>0</v>
      </c>
    </row>
    <row r="396" spans="1:22">
      <c r="A396" s="549" t="s">
        <v>346</v>
      </c>
      <c r="B396" s="556" t="s">
        <v>726</v>
      </c>
      <c r="C396" s="566">
        <v>6331.9399675116183</v>
      </c>
      <c r="D396" s="94">
        <v>5537.8170087976541</v>
      </c>
      <c r="E396" s="94">
        <v>5003.9370285670502</v>
      </c>
      <c r="F396" s="94">
        <v>4692.5143312195123</v>
      </c>
      <c r="G396" s="95">
        <v>4321.6009868965521</v>
      </c>
      <c r="H396" s="567">
        <v>4430.4882126315788</v>
      </c>
      <c r="I396" s="568">
        <v>5712.516425999027</v>
      </c>
      <c r="J396" s="569">
        <v>3802.2649170984455</v>
      </c>
      <c r="K396" s="94">
        <v>4354.6955638992431</v>
      </c>
      <c r="L396" s="94">
        <v>3362.2930622009571</v>
      </c>
      <c r="M396" s="94">
        <v>3395.5607900532859</v>
      </c>
      <c r="N396" s="570">
        <v>4059.5728662498095</v>
      </c>
      <c r="O396" s="571">
        <v>0</v>
      </c>
      <c r="P396" s="566">
        <v>0</v>
      </c>
      <c r="Q396" s="572">
        <v>0</v>
      </c>
      <c r="R396" s="569">
        <v>0</v>
      </c>
      <c r="S396" s="570">
        <v>0</v>
      </c>
      <c r="T396" s="570">
        <v>0</v>
      </c>
      <c r="U396" s="571">
        <v>0</v>
      </c>
      <c r="V396" s="170">
        <v>0</v>
      </c>
    </row>
    <row r="397" spans="1:22">
      <c r="A397" s="554"/>
      <c r="B397" s="573" t="s">
        <v>728</v>
      </c>
      <c r="C397" s="574">
        <v>6543.3484187415806</v>
      </c>
      <c r="D397" s="226">
        <v>5567.2472727272725</v>
      </c>
      <c r="E397" s="226">
        <v>4668.1656394759329</v>
      </c>
      <c r="F397" s="226">
        <v>4884.5289910256415</v>
      </c>
      <c r="G397" s="226">
        <v>4585.6045718213054</v>
      </c>
      <c r="H397" s="575">
        <v>4281.0399219999999</v>
      </c>
      <c r="I397" s="576">
        <v>5727.1433622330869</v>
      </c>
      <c r="J397" s="577">
        <v>3896.0565638854296</v>
      </c>
      <c r="K397" s="226">
        <v>4617.8045652904411</v>
      </c>
      <c r="L397" s="226">
        <v>3373.8749342366159</v>
      </c>
      <c r="M397" s="226">
        <v>3116.4318496503497</v>
      </c>
      <c r="N397" s="226">
        <v>4250.4496788306733</v>
      </c>
      <c r="O397" s="578">
        <v>0</v>
      </c>
      <c r="P397" s="574">
        <v>0</v>
      </c>
      <c r="Q397" s="579">
        <v>0</v>
      </c>
      <c r="R397" s="577">
        <v>0</v>
      </c>
      <c r="S397" s="226">
        <v>0</v>
      </c>
      <c r="T397" s="226">
        <v>0</v>
      </c>
      <c r="U397" s="578">
        <v>0</v>
      </c>
      <c r="V397" s="170">
        <v>0</v>
      </c>
    </row>
    <row r="398" spans="1:22">
      <c r="A398" s="580"/>
      <c r="B398" s="581" t="s">
        <v>495</v>
      </c>
      <c r="C398" s="582">
        <v>3.3387627222410878</v>
      </c>
      <c r="D398" s="584">
        <v>0.53144161106919896</v>
      </c>
      <c r="E398" s="584">
        <v>-6.710144175960389</v>
      </c>
      <c r="F398" s="584">
        <v>4.0919355009455574</v>
      </c>
      <c r="G398" s="584">
        <v>6.1089301331898485</v>
      </c>
      <c r="H398" s="585">
        <v>-3.3731788340050901</v>
      </c>
      <c r="I398" s="586">
        <v>0.25605066389812481</v>
      </c>
      <c r="J398" s="587">
        <v>2.4667309835569693</v>
      </c>
      <c r="K398" s="584">
        <v>6.0419608565152441</v>
      </c>
      <c r="L398" s="584">
        <v>0.3444634902847305</v>
      </c>
      <c r="M398" s="584">
        <v>-8.2204076929088323</v>
      </c>
      <c r="N398" s="584">
        <v>4.7018939890884077</v>
      </c>
      <c r="O398" s="588">
        <v>0</v>
      </c>
      <c r="P398" s="582">
        <v>0</v>
      </c>
      <c r="Q398" s="589">
        <v>0</v>
      </c>
      <c r="R398" s="587">
        <v>0</v>
      </c>
      <c r="S398" s="584">
        <v>0</v>
      </c>
      <c r="T398" s="584">
        <v>0</v>
      </c>
      <c r="U398" s="588">
        <v>0</v>
      </c>
      <c r="V398" s="170">
        <v>0</v>
      </c>
    </row>
    <row r="399" spans="1:22">
      <c r="A399" s="554"/>
      <c r="B399" s="556" t="s">
        <v>730</v>
      </c>
      <c r="C399" s="566">
        <v>6129.3330068560235</v>
      </c>
      <c r="D399" s="94">
        <v>6425.9240121580551</v>
      </c>
      <c r="E399" s="94">
        <v>4303.2055904730396</v>
      </c>
      <c r="F399" s="94">
        <v>4562.048710601719</v>
      </c>
      <c r="G399" s="95">
        <v>5763.138339920949</v>
      </c>
      <c r="H399" s="567">
        <v>5903.8131868131868</v>
      </c>
      <c r="I399" s="568">
        <v>5491.2503841119897</v>
      </c>
      <c r="J399" s="569">
        <v>6137.5893648449037</v>
      </c>
      <c r="K399" s="94">
        <v>5562.6151856163497</v>
      </c>
      <c r="L399" s="94">
        <v>5837.5231367008128</v>
      </c>
      <c r="M399" s="94">
        <v>5810.4908088235297</v>
      </c>
      <c r="N399" s="570">
        <v>5673.1444453874228</v>
      </c>
      <c r="O399" s="571">
        <v>0</v>
      </c>
      <c r="P399" s="566">
        <v>0</v>
      </c>
      <c r="Q399" s="572">
        <v>0</v>
      </c>
      <c r="R399" s="569">
        <v>0</v>
      </c>
      <c r="S399" s="570">
        <v>0</v>
      </c>
      <c r="T399" s="570">
        <v>0</v>
      </c>
      <c r="U399" s="571">
        <v>0</v>
      </c>
      <c r="V399" s="170">
        <v>0</v>
      </c>
    </row>
    <row r="400" spans="1:22">
      <c r="A400" s="554"/>
      <c r="B400" s="573" t="s">
        <v>732</v>
      </c>
      <c r="C400" s="574">
        <v>6490.2212911235256</v>
      </c>
      <c r="D400" s="226">
        <v>7081.9185347184257</v>
      </c>
      <c r="E400" s="226">
        <v>4750.6657874321181</v>
      </c>
      <c r="F400" s="226">
        <v>3656.5397350993376</v>
      </c>
      <c r="G400" s="226">
        <v>5807.0669291338581</v>
      </c>
      <c r="H400" s="575">
        <v>6129</v>
      </c>
      <c r="I400" s="576">
        <v>5888.1260490639124</v>
      </c>
      <c r="J400" s="577">
        <v>6574.026509572901</v>
      </c>
      <c r="K400" s="226">
        <v>6006.9610927152316</v>
      </c>
      <c r="L400" s="226">
        <v>6254.237571022727</v>
      </c>
      <c r="M400" s="226">
        <v>6224.1236559139788</v>
      </c>
      <c r="N400" s="226">
        <v>6103.0954512750823</v>
      </c>
      <c r="O400" s="578">
        <v>0</v>
      </c>
      <c r="P400" s="574">
        <v>0</v>
      </c>
      <c r="Q400" s="579">
        <v>0</v>
      </c>
      <c r="R400" s="577">
        <v>0</v>
      </c>
      <c r="S400" s="226">
        <v>0</v>
      </c>
      <c r="T400" s="226">
        <v>0</v>
      </c>
      <c r="U400" s="578">
        <v>0</v>
      </c>
      <c r="V400" s="170">
        <v>0</v>
      </c>
    </row>
    <row r="401" spans="1:22">
      <c r="A401" s="580"/>
      <c r="B401" s="581" t="s">
        <v>497</v>
      </c>
      <c r="C401" s="582">
        <v>5.8878883536565407</v>
      </c>
      <c r="D401" s="584">
        <v>10.208563333758814</v>
      </c>
      <c r="E401" s="584">
        <v>10.398299303889184</v>
      </c>
      <c r="F401" s="584">
        <v>-19.848735358701326</v>
      </c>
      <c r="G401" s="584">
        <v>0.76223381466688389</v>
      </c>
      <c r="H401" s="585">
        <v>3.814260479816546</v>
      </c>
      <c r="I401" s="586">
        <v>7.2274188425320363</v>
      </c>
      <c r="J401" s="587">
        <v>7.1108886369596034</v>
      </c>
      <c r="K401" s="584">
        <v>7.9880756132090323</v>
      </c>
      <c r="L401" s="584">
        <v>7.1385487399957164</v>
      </c>
      <c r="M401" s="584">
        <v>7.1187247463213659</v>
      </c>
      <c r="N401" s="584">
        <v>7.5787071883430217</v>
      </c>
      <c r="O401" s="588">
        <v>0</v>
      </c>
      <c r="P401" s="582">
        <v>0</v>
      </c>
      <c r="Q401" s="589">
        <v>0</v>
      </c>
      <c r="R401" s="587">
        <v>0</v>
      </c>
      <c r="S401" s="584">
        <v>0</v>
      </c>
      <c r="T401" s="584">
        <v>0</v>
      </c>
      <c r="U401" s="588">
        <v>0</v>
      </c>
      <c r="V401" s="170">
        <v>0</v>
      </c>
    </row>
    <row r="402" spans="1:22">
      <c r="A402" s="554"/>
      <c r="B402" s="556" t="s">
        <v>734</v>
      </c>
      <c r="C402" s="566">
        <v>0</v>
      </c>
      <c r="D402" s="94">
        <v>0</v>
      </c>
      <c r="E402" s="94">
        <v>64.784090909090907</v>
      </c>
      <c r="F402" s="94">
        <v>0</v>
      </c>
      <c r="G402" s="95">
        <v>0</v>
      </c>
      <c r="H402" s="567">
        <v>0</v>
      </c>
      <c r="I402" s="568">
        <v>64.784090909090907</v>
      </c>
      <c r="J402" s="569">
        <v>480.4609375</v>
      </c>
      <c r="K402" s="94">
        <v>386.33183568677794</v>
      </c>
      <c r="L402" s="94">
        <v>387.85261875761267</v>
      </c>
      <c r="M402" s="94">
        <v>290.06870229007632</v>
      </c>
      <c r="N402" s="570">
        <v>386.45116440736876</v>
      </c>
      <c r="O402" s="571">
        <v>0</v>
      </c>
      <c r="P402" s="566">
        <v>0</v>
      </c>
      <c r="Q402" s="572">
        <v>0</v>
      </c>
      <c r="R402" s="569">
        <v>0</v>
      </c>
      <c r="S402" s="570">
        <v>0</v>
      </c>
      <c r="T402" s="570">
        <v>0</v>
      </c>
      <c r="U402" s="571">
        <v>0</v>
      </c>
      <c r="V402" s="170">
        <v>0</v>
      </c>
    </row>
    <row r="403" spans="1:22">
      <c r="A403" s="554"/>
      <c r="B403" s="573" t="s">
        <v>736</v>
      </c>
      <c r="C403" s="574">
        <v>0</v>
      </c>
      <c r="D403" s="226">
        <v>0</v>
      </c>
      <c r="E403" s="226">
        <v>10.177587844254511</v>
      </c>
      <c r="F403" s="226">
        <v>0</v>
      </c>
      <c r="G403" s="226">
        <v>0</v>
      </c>
      <c r="H403" s="575">
        <v>0</v>
      </c>
      <c r="I403" s="576">
        <v>10.177587844254511</v>
      </c>
      <c r="J403" s="577">
        <v>435.5846153846154</v>
      </c>
      <c r="K403" s="226">
        <v>364.64610510622435</v>
      </c>
      <c r="L403" s="226">
        <v>368.97337962962962</v>
      </c>
      <c r="M403" s="226">
        <v>258.47619047619048</v>
      </c>
      <c r="N403" s="226">
        <v>364.23943445520212</v>
      </c>
      <c r="O403" s="578">
        <v>0</v>
      </c>
      <c r="P403" s="574">
        <v>0</v>
      </c>
      <c r="Q403" s="579">
        <v>0</v>
      </c>
      <c r="R403" s="577">
        <v>0</v>
      </c>
      <c r="S403" s="226">
        <v>0</v>
      </c>
      <c r="T403" s="226">
        <v>0</v>
      </c>
      <c r="U403" s="578">
        <v>0</v>
      </c>
      <c r="V403" s="170">
        <v>0</v>
      </c>
    </row>
    <row r="404" spans="1:22">
      <c r="A404" s="580"/>
      <c r="B404" s="581" t="s">
        <v>499</v>
      </c>
      <c r="C404" s="582">
        <v>0</v>
      </c>
      <c r="D404" s="584">
        <v>0</v>
      </c>
      <c r="E404" s="584">
        <v>-84.28998894414319</v>
      </c>
      <c r="F404" s="584">
        <v>0</v>
      </c>
      <c r="G404" s="584">
        <v>0</v>
      </c>
      <c r="H404" s="585">
        <v>0</v>
      </c>
      <c r="I404" s="586">
        <v>-84.28998894414319</v>
      </c>
      <c r="J404" s="587">
        <v>-9.3402644445750802</v>
      </c>
      <c r="K404" s="584">
        <v>-5.6132393391818445</v>
      </c>
      <c r="L404" s="584">
        <v>-4.8676322435202062</v>
      </c>
      <c r="M404" s="584">
        <v>-10.891389372402022</v>
      </c>
      <c r="N404" s="584">
        <v>-5.7476162573423268</v>
      </c>
      <c r="O404" s="588">
        <v>0</v>
      </c>
      <c r="P404" s="582">
        <v>0</v>
      </c>
      <c r="Q404" s="589">
        <v>0</v>
      </c>
      <c r="R404" s="587">
        <v>0</v>
      </c>
      <c r="S404" s="584">
        <v>0</v>
      </c>
      <c r="T404" s="584">
        <v>0</v>
      </c>
      <c r="U404" s="588">
        <v>0</v>
      </c>
      <c r="V404" s="170">
        <v>0</v>
      </c>
    </row>
    <row r="405" spans="1:22">
      <c r="A405" s="554"/>
      <c r="B405" s="556" t="s">
        <v>738</v>
      </c>
      <c r="C405" s="566">
        <v>5898.3263835958151</v>
      </c>
      <c r="D405" s="94">
        <v>4335.8547105561865</v>
      </c>
      <c r="E405" s="94">
        <v>4509.7348515387112</v>
      </c>
      <c r="F405" s="94">
        <v>5687.7339193460493</v>
      </c>
      <c r="G405" s="95">
        <v>4751.2009641379309</v>
      </c>
      <c r="H405" s="567">
        <v>5631.0179663157896</v>
      </c>
      <c r="I405" s="568">
        <v>5250.2693384428894</v>
      </c>
      <c r="J405" s="569">
        <v>3285.878925</v>
      </c>
      <c r="K405" s="94">
        <v>2810.7119081417995</v>
      </c>
      <c r="L405" s="94">
        <v>2902.2487149681529</v>
      </c>
      <c r="M405" s="94">
        <v>2663.4318183807441</v>
      </c>
      <c r="N405" s="570">
        <v>2860.3047667119395</v>
      </c>
      <c r="O405" s="571">
        <v>0</v>
      </c>
      <c r="P405" s="566">
        <v>0</v>
      </c>
      <c r="Q405" s="572">
        <v>0</v>
      </c>
      <c r="R405" s="569">
        <v>0</v>
      </c>
      <c r="S405" s="570">
        <v>0</v>
      </c>
      <c r="T405" s="570">
        <v>0</v>
      </c>
      <c r="U405" s="571">
        <v>0</v>
      </c>
      <c r="V405" s="170">
        <v>0</v>
      </c>
    </row>
    <row r="406" spans="1:22">
      <c r="A406" s="554"/>
      <c r="B406" s="573" t="s">
        <v>740</v>
      </c>
      <c r="C406" s="574">
        <v>5990.5731531066585</v>
      </c>
      <c r="D406" s="226">
        <v>4370.6694257630625</v>
      </c>
      <c r="E406" s="226">
        <v>4564.0094623332297</v>
      </c>
      <c r="F406" s="226">
        <v>5458.8129680511183</v>
      </c>
      <c r="G406" s="226">
        <v>5033.2445062068964</v>
      </c>
      <c r="H406" s="575">
        <v>5063.1027760000006</v>
      </c>
      <c r="I406" s="576">
        <v>5312.2501864901915</v>
      </c>
      <c r="J406" s="577">
        <v>3356.116883658171</v>
      </c>
      <c r="K406" s="226">
        <v>2607.9012641208124</v>
      </c>
      <c r="L406" s="226">
        <v>2938.9406393391846</v>
      </c>
      <c r="M406" s="226">
        <v>2921.4599576354681</v>
      </c>
      <c r="N406" s="226">
        <v>2752.4216058830239</v>
      </c>
      <c r="O406" s="578">
        <v>0</v>
      </c>
      <c r="P406" s="574">
        <v>0</v>
      </c>
      <c r="Q406" s="579">
        <v>0</v>
      </c>
      <c r="R406" s="577">
        <v>0</v>
      </c>
      <c r="S406" s="226">
        <v>0</v>
      </c>
      <c r="T406" s="226">
        <v>0</v>
      </c>
      <c r="U406" s="578">
        <v>0</v>
      </c>
      <c r="V406" s="170">
        <v>0</v>
      </c>
    </row>
    <row r="407" spans="1:22">
      <c r="A407" s="580"/>
      <c r="B407" s="581" t="s">
        <v>569</v>
      </c>
      <c r="C407" s="582">
        <v>1.5639482034666043</v>
      </c>
      <c r="D407" s="584">
        <v>0.80294930367742923</v>
      </c>
      <c r="E407" s="584">
        <v>1.2034989324483283</v>
      </c>
      <c r="F407" s="584">
        <v>-4.0248182235861574</v>
      </c>
      <c r="G407" s="584">
        <v>5.9362578892753728</v>
      </c>
      <c r="H407" s="585">
        <v>-10.085479991593054</v>
      </c>
      <c r="I407" s="586">
        <v>1.1805270177945608</v>
      </c>
      <c r="J407" s="587">
        <v>2.137569894124173</v>
      </c>
      <c r="K407" s="584">
        <v>-7.2156325745625098</v>
      </c>
      <c r="L407" s="584">
        <v>1.2642584414559515</v>
      </c>
      <c r="M407" s="584">
        <v>9.6878071919856552</v>
      </c>
      <c r="N407" s="584">
        <v>-3.771736567531319</v>
      </c>
      <c r="O407" s="588">
        <v>0</v>
      </c>
      <c r="P407" s="582">
        <v>0</v>
      </c>
      <c r="Q407" s="589">
        <v>0</v>
      </c>
      <c r="R407" s="587">
        <v>0</v>
      </c>
      <c r="S407" s="584">
        <v>0</v>
      </c>
      <c r="T407" s="584">
        <v>0</v>
      </c>
      <c r="U407" s="588">
        <v>0</v>
      </c>
      <c r="V407" s="170">
        <v>0</v>
      </c>
    </row>
    <row r="408" spans="1:22">
      <c r="A408" s="554"/>
      <c r="B408" s="556" t="s">
        <v>742</v>
      </c>
      <c r="C408" s="566">
        <v>115.15750169721656</v>
      </c>
      <c r="D408" s="94">
        <v>34.556716417910451</v>
      </c>
      <c r="E408" s="94">
        <v>100.57313349986123</v>
      </c>
      <c r="F408" s="94">
        <v>138.98637602179838</v>
      </c>
      <c r="G408" s="95">
        <v>125.93448275862069</v>
      </c>
      <c r="H408" s="567">
        <v>230.49473684210525</v>
      </c>
      <c r="I408" s="568">
        <v>104.61194486983155</v>
      </c>
      <c r="J408" s="569">
        <v>375.13969571230984</v>
      </c>
      <c r="K408" s="94">
        <v>168.45885070747906</v>
      </c>
      <c r="L408" s="94">
        <v>274.17828987265011</v>
      </c>
      <c r="M408" s="94">
        <v>378.24060150375942</v>
      </c>
      <c r="N408" s="570">
        <v>210.47849850469217</v>
      </c>
      <c r="O408" s="571">
        <v>0</v>
      </c>
      <c r="P408" s="566">
        <v>0</v>
      </c>
      <c r="Q408" s="572">
        <v>0</v>
      </c>
      <c r="R408" s="569">
        <v>0</v>
      </c>
      <c r="S408" s="570">
        <v>0</v>
      </c>
      <c r="T408" s="570">
        <v>0</v>
      </c>
      <c r="U408" s="571">
        <v>0</v>
      </c>
      <c r="V408" s="170">
        <v>0</v>
      </c>
    </row>
    <row r="409" spans="1:22">
      <c r="A409" s="554"/>
      <c r="B409" s="573" t="s">
        <v>567</v>
      </c>
      <c r="C409" s="574">
        <v>121.59008950577247</v>
      </c>
      <c r="D409" s="226">
        <v>54.121391076115486</v>
      </c>
      <c r="E409" s="226">
        <v>83.30478759271746</v>
      </c>
      <c r="F409" s="226">
        <v>104.08626198083067</v>
      </c>
      <c r="G409" s="226">
        <v>133.62542955326461</v>
      </c>
      <c r="H409" s="575">
        <v>208.2</v>
      </c>
      <c r="I409" s="576">
        <v>103.06728764076185</v>
      </c>
      <c r="J409" s="577">
        <v>387.1215323645971</v>
      </c>
      <c r="K409" s="226">
        <v>162.49527435022316</v>
      </c>
      <c r="L409" s="226">
        <v>310.64145141451417</v>
      </c>
      <c r="M409" s="226">
        <v>304.38461538461536</v>
      </c>
      <c r="N409" s="226">
        <v>207.60938849956801</v>
      </c>
      <c r="O409" s="578">
        <v>0</v>
      </c>
      <c r="P409" s="574">
        <v>0</v>
      </c>
      <c r="Q409" s="579">
        <v>0</v>
      </c>
      <c r="R409" s="577">
        <v>0</v>
      </c>
      <c r="S409" s="226">
        <v>0</v>
      </c>
      <c r="T409" s="226">
        <v>0</v>
      </c>
      <c r="U409" s="578">
        <v>0</v>
      </c>
      <c r="V409" s="170">
        <v>0</v>
      </c>
    </row>
    <row r="410" spans="1:22">
      <c r="A410" s="580"/>
      <c r="B410" s="581" t="s">
        <v>37</v>
      </c>
      <c r="C410" s="582">
        <v>5.5859042734958777</v>
      </c>
      <c r="D410" s="584">
        <v>56.616127590365707</v>
      </c>
      <c r="E410" s="584">
        <v>-17.169939233490815</v>
      </c>
      <c r="F410" s="584">
        <v>-25.11045689506577</v>
      </c>
      <c r="G410" s="584">
        <v>6.1071015866124618</v>
      </c>
      <c r="H410" s="585">
        <v>-9.6725578846417335</v>
      </c>
      <c r="I410" s="586">
        <v>-1.4765591357580756</v>
      </c>
      <c r="J410" s="587">
        <v>3.1939666180984441</v>
      </c>
      <c r="K410" s="584">
        <v>-3.5400789760885729</v>
      </c>
      <c r="L410" s="584">
        <v>13.299069579433295</v>
      </c>
      <c r="M410" s="584">
        <v>-19.526192012575358</v>
      </c>
      <c r="N410" s="584">
        <v>-1.3631368645763098</v>
      </c>
      <c r="O410" s="588">
        <v>0</v>
      </c>
      <c r="P410" s="582">
        <v>0</v>
      </c>
      <c r="Q410" s="589">
        <v>0</v>
      </c>
      <c r="R410" s="587">
        <v>0</v>
      </c>
      <c r="S410" s="584">
        <v>0</v>
      </c>
      <c r="T410" s="584">
        <v>0</v>
      </c>
      <c r="U410" s="588">
        <v>0</v>
      </c>
      <c r="V410" s="170">
        <v>0</v>
      </c>
    </row>
    <row r="411" spans="1:22">
      <c r="A411" s="554"/>
      <c r="B411" s="556" t="s">
        <v>571</v>
      </c>
      <c r="C411" s="566">
        <v>23.298020425090719</v>
      </c>
      <c r="D411" s="94">
        <v>22.084681255946716</v>
      </c>
      <c r="E411" s="94">
        <v>475.39579600123034</v>
      </c>
      <c r="F411" s="94">
        <v>26.471090909090911</v>
      </c>
      <c r="G411" s="95">
        <v>26.391688537549406</v>
      </c>
      <c r="H411" s="567">
        <v>57.449915789473685</v>
      </c>
      <c r="I411" s="568">
        <v>244.20712605369732</v>
      </c>
      <c r="J411" s="569">
        <v>188.31868756613758</v>
      </c>
      <c r="K411" s="94">
        <v>168.78798045072676</v>
      </c>
      <c r="L411" s="94">
        <v>262.86721032581448</v>
      </c>
      <c r="M411" s="94">
        <v>239.18814765100672</v>
      </c>
      <c r="N411" s="570">
        <v>189.26522856043852</v>
      </c>
      <c r="O411" s="571">
        <v>0</v>
      </c>
      <c r="P411" s="566">
        <v>0</v>
      </c>
      <c r="Q411" s="572">
        <v>0</v>
      </c>
      <c r="R411" s="569">
        <v>0</v>
      </c>
      <c r="S411" s="570">
        <v>0</v>
      </c>
      <c r="T411" s="570">
        <v>0</v>
      </c>
      <c r="U411" s="571">
        <v>0</v>
      </c>
      <c r="V411" s="170">
        <v>0</v>
      </c>
    </row>
    <row r="412" spans="1:22">
      <c r="A412" s="554"/>
      <c r="B412" s="573" t="s">
        <v>573</v>
      </c>
      <c r="C412" s="574">
        <v>23.255928676111381</v>
      </c>
      <c r="D412" s="226">
        <v>22.777508090614887</v>
      </c>
      <c r="E412" s="226">
        <v>474.75065547965545</v>
      </c>
      <c r="F412" s="226">
        <v>26.462356190476189</v>
      </c>
      <c r="G412" s="226">
        <v>26.355433070866141</v>
      </c>
      <c r="H412" s="575">
        <v>54.359072916666662</v>
      </c>
      <c r="I412" s="576">
        <v>237.71071659394792</v>
      </c>
      <c r="J412" s="577">
        <v>174.49666339522548</v>
      </c>
      <c r="K412" s="226">
        <v>183.76803701369533</v>
      </c>
      <c r="L412" s="226">
        <v>671.45486216790641</v>
      </c>
      <c r="M412" s="226">
        <v>245.73650128205131</v>
      </c>
      <c r="N412" s="226">
        <v>267.12428709589784</v>
      </c>
      <c r="O412" s="578">
        <v>0</v>
      </c>
      <c r="P412" s="574">
        <v>0</v>
      </c>
      <c r="Q412" s="579">
        <v>0</v>
      </c>
      <c r="R412" s="577">
        <v>0</v>
      </c>
      <c r="S412" s="226">
        <v>0</v>
      </c>
      <c r="T412" s="226">
        <v>0</v>
      </c>
      <c r="U412" s="578">
        <v>0</v>
      </c>
      <c r="V412" s="170">
        <v>0</v>
      </c>
    </row>
    <row r="413" spans="1:22">
      <c r="A413" s="580"/>
      <c r="B413" s="581" t="s">
        <v>39</v>
      </c>
      <c r="C413" s="582">
        <v>-0.18066663266381056</v>
      </c>
      <c r="D413" s="584">
        <v>3.1371375780287281</v>
      </c>
      <c r="E413" s="584">
        <v>-0.13570597952305369</v>
      </c>
      <c r="F413" s="584">
        <v>-3.2997199264357568E-2</v>
      </c>
      <c r="G413" s="584">
        <v>-0.13737456256988537</v>
      </c>
      <c r="H413" s="585">
        <v>-5.3800651059846221</v>
      </c>
      <c r="I413" s="586">
        <v>-2.6602047060334111</v>
      </c>
      <c r="J413" s="587">
        <v>-7.339698651020921</v>
      </c>
      <c r="K413" s="584">
        <v>8.8750730490205765</v>
      </c>
      <c r="L413" s="584">
        <v>155.43500132088067</v>
      </c>
      <c r="M413" s="584">
        <v>2.7377416880200625</v>
      </c>
      <c r="N413" s="584">
        <v>41.137539699003092</v>
      </c>
      <c r="O413" s="588">
        <v>0</v>
      </c>
      <c r="P413" s="582">
        <v>0</v>
      </c>
      <c r="Q413" s="589">
        <v>0</v>
      </c>
      <c r="R413" s="587">
        <v>0</v>
      </c>
      <c r="S413" s="584">
        <v>0</v>
      </c>
      <c r="T413" s="584">
        <v>0</v>
      </c>
      <c r="U413" s="588">
        <v>0</v>
      </c>
      <c r="V413" s="170">
        <v>0</v>
      </c>
    </row>
    <row r="414" spans="1:22">
      <c r="A414" s="554"/>
      <c r="B414" s="556" t="s">
        <v>575</v>
      </c>
      <c r="C414" s="566">
        <v>188.36488502290615</v>
      </c>
      <c r="D414" s="94">
        <v>122.8955223880597</v>
      </c>
      <c r="E414" s="94">
        <v>229.69215927431966</v>
      </c>
      <c r="F414" s="94">
        <v>179.54775912806539</v>
      </c>
      <c r="G414" s="95">
        <v>124.34279241379311</v>
      </c>
      <c r="H414" s="567">
        <v>368.03893263157897</v>
      </c>
      <c r="I414" s="568">
        <v>191.23846075931024</v>
      </c>
      <c r="J414" s="569">
        <v>421.94684923928077</v>
      </c>
      <c r="K414" s="94">
        <v>215.70628485607011</v>
      </c>
      <c r="L414" s="94">
        <v>246.41524352786308</v>
      </c>
      <c r="M414" s="94">
        <v>173.39946834170854</v>
      </c>
      <c r="N414" s="570">
        <v>234.80358746105185</v>
      </c>
      <c r="O414" s="571">
        <v>0</v>
      </c>
      <c r="P414" s="566">
        <v>0</v>
      </c>
      <c r="Q414" s="572">
        <v>0</v>
      </c>
      <c r="R414" s="569">
        <v>0</v>
      </c>
      <c r="S414" s="570">
        <v>0</v>
      </c>
      <c r="T414" s="570">
        <v>0</v>
      </c>
      <c r="U414" s="571">
        <v>0</v>
      </c>
      <c r="V414" s="170">
        <v>0</v>
      </c>
    </row>
    <row r="415" spans="1:22">
      <c r="A415" s="554"/>
      <c r="B415" s="573" t="s">
        <v>577</v>
      </c>
      <c r="C415" s="574">
        <v>180.22984535223949</v>
      </c>
      <c r="D415" s="226">
        <v>115.52493438320209</v>
      </c>
      <c r="E415" s="226">
        <v>284.44111699213056</v>
      </c>
      <c r="F415" s="226">
        <v>183.37283130990414</v>
      </c>
      <c r="G415" s="226">
        <v>131.76557182130585</v>
      </c>
      <c r="H415" s="575">
        <v>330.91706199999999</v>
      </c>
      <c r="I415" s="576">
        <v>198.16645321416294</v>
      </c>
      <c r="J415" s="577">
        <v>432.13107926023781</v>
      </c>
      <c r="K415" s="226">
        <v>201.91656767241381</v>
      </c>
      <c r="L415" s="226">
        <v>222.55162678260871</v>
      </c>
      <c r="M415" s="226">
        <v>175.68463884892086</v>
      </c>
      <c r="N415" s="226">
        <v>220.46913825030802</v>
      </c>
      <c r="O415" s="578">
        <v>0</v>
      </c>
      <c r="P415" s="574">
        <v>0</v>
      </c>
      <c r="Q415" s="579">
        <v>0</v>
      </c>
      <c r="R415" s="577">
        <v>0</v>
      </c>
      <c r="S415" s="226">
        <v>0</v>
      </c>
      <c r="T415" s="226">
        <v>0</v>
      </c>
      <c r="U415" s="578">
        <v>0</v>
      </c>
      <c r="V415" s="170">
        <v>0</v>
      </c>
    </row>
    <row r="416" spans="1:22">
      <c r="A416" s="580"/>
      <c r="B416" s="581" t="s">
        <v>501</v>
      </c>
      <c r="C416" s="582">
        <v>-4.3187665629277951</v>
      </c>
      <c r="D416" s="584">
        <v>-5.9974422677369414</v>
      </c>
      <c r="E416" s="584">
        <v>23.83579739542812</v>
      </c>
      <c r="F416" s="584">
        <v>2.1303926044047441</v>
      </c>
      <c r="G416" s="584">
        <v>5.9696097083061446</v>
      </c>
      <c r="H416" s="585">
        <v>-10.08639775312559</v>
      </c>
      <c r="I416" s="586">
        <v>3.6226982937141305</v>
      </c>
      <c r="J416" s="587">
        <v>2.4136286452471403</v>
      </c>
      <c r="K416" s="584">
        <v>-6.3928212350685509</v>
      </c>
      <c r="L416" s="584">
        <v>-9.6843102738309401</v>
      </c>
      <c r="M416" s="584">
        <v>1.3178647714819156</v>
      </c>
      <c r="N416" s="584">
        <v>-6.1048680583389983</v>
      </c>
      <c r="O416" s="588">
        <v>0</v>
      </c>
      <c r="P416" s="582">
        <v>0</v>
      </c>
      <c r="Q416" s="589">
        <v>0</v>
      </c>
      <c r="R416" s="587">
        <v>0</v>
      </c>
      <c r="S416" s="584">
        <v>0</v>
      </c>
      <c r="T416" s="584">
        <v>0</v>
      </c>
      <c r="U416" s="588">
        <v>0</v>
      </c>
      <c r="V416" s="170">
        <v>0</v>
      </c>
    </row>
    <row r="417" spans="1:22">
      <c r="A417" s="554"/>
      <c r="B417" s="556" t="s">
        <v>579</v>
      </c>
      <c r="C417" s="566">
        <v>0</v>
      </c>
      <c r="D417" s="94">
        <v>0</v>
      </c>
      <c r="E417" s="94">
        <v>6042</v>
      </c>
      <c r="F417" s="94">
        <v>0</v>
      </c>
      <c r="G417" s="95">
        <v>0</v>
      </c>
      <c r="H417" s="567">
        <v>0</v>
      </c>
      <c r="I417" s="568">
        <v>6042</v>
      </c>
      <c r="J417" s="569">
        <v>701.01694915254234</v>
      </c>
      <c r="K417" s="94">
        <v>311.14983713355048</v>
      </c>
      <c r="L417" s="94">
        <v>415.56521739130437</v>
      </c>
      <c r="M417" s="94">
        <v>553.70000000000005</v>
      </c>
      <c r="N417" s="570">
        <v>356.35483870967744</v>
      </c>
      <c r="O417" s="571">
        <v>0</v>
      </c>
      <c r="P417" s="566">
        <v>0</v>
      </c>
      <c r="Q417" s="572">
        <v>0</v>
      </c>
      <c r="R417" s="569">
        <v>0</v>
      </c>
      <c r="S417" s="570">
        <v>0</v>
      </c>
      <c r="T417" s="570">
        <v>0</v>
      </c>
      <c r="U417" s="571">
        <v>0</v>
      </c>
      <c r="V417" s="170">
        <v>0</v>
      </c>
    </row>
    <row r="418" spans="1:22">
      <c r="A418" s="554"/>
      <c r="B418" s="573" t="s">
        <v>581</v>
      </c>
      <c r="C418" s="574">
        <v>0</v>
      </c>
      <c r="D418" s="226">
        <v>0</v>
      </c>
      <c r="E418" s="226">
        <v>5322.083333333333</v>
      </c>
      <c r="F418" s="226">
        <v>0</v>
      </c>
      <c r="G418" s="226">
        <v>0</v>
      </c>
      <c r="H418" s="575">
        <v>0</v>
      </c>
      <c r="I418" s="576">
        <v>5322.083333333333</v>
      </c>
      <c r="J418" s="577">
        <v>850.85185185185185</v>
      </c>
      <c r="K418" s="226">
        <v>306.63651050080773</v>
      </c>
      <c r="L418" s="226">
        <v>458.41304347826087</v>
      </c>
      <c r="M418" s="226">
        <v>457.4</v>
      </c>
      <c r="N418" s="226">
        <v>364.51870967741934</v>
      </c>
      <c r="O418" s="578">
        <v>0</v>
      </c>
      <c r="P418" s="574">
        <v>0</v>
      </c>
      <c r="Q418" s="579">
        <v>0</v>
      </c>
      <c r="R418" s="577">
        <v>0</v>
      </c>
      <c r="S418" s="226">
        <v>0</v>
      </c>
      <c r="T418" s="226">
        <v>0</v>
      </c>
      <c r="U418" s="578">
        <v>0</v>
      </c>
      <c r="V418" s="170">
        <v>0</v>
      </c>
    </row>
    <row r="419" spans="1:22">
      <c r="A419" s="580"/>
      <c r="B419" s="581" t="s">
        <v>503</v>
      </c>
      <c r="C419" s="582">
        <v>0</v>
      </c>
      <c r="D419" s="584">
        <v>0</v>
      </c>
      <c r="E419" s="584">
        <v>-11.915204678362578</v>
      </c>
      <c r="F419" s="584">
        <v>0</v>
      </c>
      <c r="G419" s="584">
        <v>0</v>
      </c>
      <c r="H419" s="585">
        <v>0</v>
      </c>
      <c r="I419" s="586">
        <v>-11.915204678362578</v>
      </c>
      <c r="J419" s="587">
        <v>21.373934379253534</v>
      </c>
      <c r="K419" s="584">
        <v>-1.4505315748584353</v>
      </c>
      <c r="L419" s="584">
        <v>10.310734463276832</v>
      </c>
      <c r="M419" s="584">
        <v>-17.392089579194518</v>
      </c>
      <c r="N419" s="584">
        <v>2.290938716393581</v>
      </c>
      <c r="O419" s="588">
        <v>0</v>
      </c>
      <c r="P419" s="582">
        <v>0</v>
      </c>
      <c r="Q419" s="589">
        <v>0</v>
      </c>
      <c r="R419" s="587">
        <v>0</v>
      </c>
      <c r="S419" s="584">
        <v>0</v>
      </c>
      <c r="T419" s="584">
        <v>0</v>
      </c>
      <c r="U419" s="588">
        <v>0</v>
      </c>
      <c r="V419" s="170">
        <v>0</v>
      </c>
    </row>
    <row r="420" spans="1:22">
      <c r="A420" s="554"/>
      <c r="B420" s="556" t="s">
        <v>583</v>
      </c>
      <c r="C420" s="566">
        <v>0</v>
      </c>
      <c r="D420" s="94">
        <v>0</v>
      </c>
      <c r="E420" s="94">
        <v>0</v>
      </c>
      <c r="F420" s="94">
        <v>0</v>
      </c>
      <c r="G420" s="95">
        <v>0</v>
      </c>
      <c r="H420" s="567">
        <v>0</v>
      </c>
      <c r="I420" s="568">
        <v>0</v>
      </c>
      <c r="J420" s="569">
        <v>0</v>
      </c>
      <c r="K420" s="94">
        <v>0</v>
      </c>
      <c r="L420" s="94">
        <v>360</v>
      </c>
      <c r="M420" s="94">
        <v>0</v>
      </c>
      <c r="N420" s="570">
        <v>360</v>
      </c>
      <c r="O420" s="571">
        <v>0</v>
      </c>
      <c r="P420" s="566">
        <v>0</v>
      </c>
      <c r="Q420" s="572">
        <v>0</v>
      </c>
      <c r="R420" s="569">
        <v>0</v>
      </c>
      <c r="S420" s="570">
        <v>0</v>
      </c>
      <c r="T420" s="570">
        <v>0</v>
      </c>
      <c r="U420" s="571">
        <v>0</v>
      </c>
      <c r="V420" s="170">
        <v>0</v>
      </c>
    </row>
    <row r="421" spans="1:22">
      <c r="A421" s="554"/>
      <c r="B421" s="573" t="s">
        <v>585</v>
      </c>
      <c r="C421" s="574">
        <v>0</v>
      </c>
      <c r="D421" s="226">
        <v>0</v>
      </c>
      <c r="E421" s="226">
        <v>77.820754716981128</v>
      </c>
      <c r="F421" s="226">
        <v>0</v>
      </c>
      <c r="G421" s="226">
        <v>0</v>
      </c>
      <c r="H421" s="575">
        <v>0</v>
      </c>
      <c r="I421" s="576">
        <v>77.820754716981128</v>
      </c>
      <c r="J421" s="577">
        <v>0</v>
      </c>
      <c r="K421" s="226">
        <v>0</v>
      </c>
      <c r="L421" s="226">
        <v>360</v>
      </c>
      <c r="M421" s="226">
        <v>0</v>
      </c>
      <c r="N421" s="226">
        <v>360</v>
      </c>
      <c r="O421" s="578">
        <v>0</v>
      </c>
      <c r="P421" s="574">
        <v>0</v>
      </c>
      <c r="Q421" s="579">
        <v>0</v>
      </c>
      <c r="R421" s="577">
        <v>0</v>
      </c>
      <c r="S421" s="226">
        <v>0</v>
      </c>
      <c r="T421" s="226">
        <v>0</v>
      </c>
      <c r="U421" s="578">
        <v>0</v>
      </c>
      <c r="V421" s="170">
        <v>0</v>
      </c>
    </row>
    <row r="422" spans="1:22">
      <c r="A422" s="580"/>
      <c r="B422" s="581" t="s">
        <v>694</v>
      </c>
      <c r="C422" s="582">
        <v>0</v>
      </c>
      <c r="D422" s="584">
        <v>0</v>
      </c>
      <c r="E422" s="584">
        <v>0</v>
      </c>
      <c r="F422" s="584">
        <v>0</v>
      </c>
      <c r="G422" s="584">
        <v>0</v>
      </c>
      <c r="H422" s="585">
        <v>0</v>
      </c>
      <c r="I422" s="586">
        <v>0</v>
      </c>
      <c r="J422" s="587">
        <v>0</v>
      </c>
      <c r="K422" s="584">
        <v>0</v>
      </c>
      <c r="L422" s="584">
        <v>0</v>
      </c>
      <c r="M422" s="584">
        <v>0</v>
      </c>
      <c r="N422" s="584">
        <v>0</v>
      </c>
      <c r="O422" s="588">
        <v>0</v>
      </c>
      <c r="P422" s="582">
        <v>0</v>
      </c>
      <c r="Q422" s="589">
        <v>0</v>
      </c>
      <c r="R422" s="587">
        <v>0</v>
      </c>
      <c r="S422" s="584">
        <v>0</v>
      </c>
      <c r="T422" s="584">
        <v>0</v>
      </c>
      <c r="U422" s="588">
        <v>0</v>
      </c>
      <c r="V422" s="170">
        <v>0</v>
      </c>
    </row>
    <row r="423" spans="1:22">
      <c r="A423" s="554"/>
      <c r="B423" s="556" t="s">
        <v>587</v>
      </c>
      <c r="C423" s="566">
        <v>18387.30940621861</v>
      </c>
      <c r="D423" s="94">
        <v>15817.694838343732</v>
      </c>
      <c r="E423" s="94">
        <v>13330.852785648787</v>
      </c>
      <c r="F423" s="94">
        <v>13820.479450097087</v>
      </c>
      <c r="G423" s="95">
        <v>14324.904594344827</v>
      </c>
      <c r="H423" s="567">
        <v>16186.022267157896</v>
      </c>
      <c r="I423" s="568">
        <v>16167.034952155835</v>
      </c>
      <c r="J423" s="569">
        <v>11322.600415524797</v>
      </c>
      <c r="K423" s="94">
        <v>10340.178094435625</v>
      </c>
      <c r="L423" s="94">
        <v>10256.468306133502</v>
      </c>
      <c r="M423" s="94">
        <v>10971.44876548611</v>
      </c>
      <c r="N423" s="570">
        <v>10406.484642708101</v>
      </c>
      <c r="O423" s="571">
        <v>0</v>
      </c>
      <c r="P423" s="566">
        <v>0</v>
      </c>
      <c r="Q423" s="572">
        <v>0</v>
      </c>
      <c r="R423" s="569">
        <v>0</v>
      </c>
      <c r="S423" s="570">
        <v>0</v>
      </c>
      <c r="T423" s="570">
        <v>0</v>
      </c>
      <c r="U423" s="571">
        <v>0</v>
      </c>
      <c r="V423" s="170">
        <v>0</v>
      </c>
    </row>
    <row r="424" spans="1:22">
      <c r="A424" s="554"/>
      <c r="B424" s="573" t="s">
        <v>589</v>
      </c>
      <c r="C424" s="574">
        <v>18419.614180714765</v>
      </c>
      <c r="D424" s="226">
        <v>16764.085876875324</v>
      </c>
      <c r="E424" s="226">
        <v>13372.163701698853</v>
      </c>
      <c r="F424" s="226">
        <v>14067.117920955414</v>
      </c>
      <c r="G424" s="226">
        <v>14901.008049553264</v>
      </c>
      <c r="H424" s="575">
        <v>15368.9414108</v>
      </c>
      <c r="I424" s="576">
        <v>16344.302236642106</v>
      </c>
      <c r="J424" s="577">
        <v>11790.982748178771</v>
      </c>
      <c r="K424" s="226">
        <v>10917.143630628387</v>
      </c>
      <c r="L424" s="226">
        <v>10886.607666120286</v>
      </c>
      <c r="M424" s="226">
        <v>10920.933166870749</v>
      </c>
      <c r="N424" s="226">
        <v>10962.263895398068</v>
      </c>
      <c r="O424" s="578">
        <v>0</v>
      </c>
      <c r="P424" s="574">
        <v>0</v>
      </c>
      <c r="Q424" s="579">
        <v>0</v>
      </c>
      <c r="R424" s="577">
        <v>0</v>
      </c>
      <c r="S424" s="226">
        <v>0</v>
      </c>
      <c r="T424" s="226">
        <v>0</v>
      </c>
      <c r="U424" s="578">
        <v>0</v>
      </c>
      <c r="V424" s="170">
        <v>0</v>
      </c>
    </row>
    <row r="425" spans="1:22">
      <c r="A425" s="580"/>
      <c r="B425" s="581" t="s">
        <v>696</v>
      </c>
      <c r="C425" s="582">
        <v>0.17569060150382573</v>
      </c>
      <c r="D425" s="584">
        <v>5.9831160494855551</v>
      </c>
      <c r="E425" s="584">
        <v>0.30988952255581975</v>
      </c>
      <c r="F425" s="584">
        <v>1.7845869367187097</v>
      </c>
      <c r="G425" s="584">
        <v>4.0216913935738887</v>
      </c>
      <c r="H425" s="585">
        <v>-5.048064576160793</v>
      </c>
      <c r="I425" s="586">
        <v>1.0964736886563955</v>
      </c>
      <c r="J425" s="587">
        <v>4.1367028373778734</v>
      </c>
      <c r="K425" s="584">
        <v>5.5798413811000502</v>
      </c>
      <c r="L425" s="584">
        <v>6.1438239867611415</v>
      </c>
      <c r="M425" s="584">
        <v>-0.46042778574760312</v>
      </c>
      <c r="N425" s="584">
        <v>5.3407012240142508</v>
      </c>
      <c r="O425" s="588">
        <v>0</v>
      </c>
      <c r="P425" s="582">
        <v>0</v>
      </c>
      <c r="Q425" s="589">
        <v>0</v>
      </c>
      <c r="R425" s="587">
        <v>0</v>
      </c>
      <c r="S425" s="584">
        <v>0</v>
      </c>
      <c r="T425" s="584">
        <v>0</v>
      </c>
      <c r="U425" s="588">
        <v>0</v>
      </c>
      <c r="V425" s="170">
        <v>0</v>
      </c>
    </row>
    <row r="426" spans="1:22">
      <c r="A426" s="549" t="s">
        <v>77</v>
      </c>
      <c r="B426" s="556" t="s">
        <v>726</v>
      </c>
      <c r="C426" s="566">
        <v>9758.3086439972558</v>
      </c>
      <c r="D426" s="94">
        <v>8545.4810799765801</v>
      </c>
      <c r="E426" s="94">
        <v>8039.9202950680283</v>
      </c>
      <c r="F426" s="94">
        <v>6855.8790563245821</v>
      </c>
      <c r="G426" s="95">
        <v>7712.7630525210088</v>
      </c>
      <c r="H426" s="567">
        <v>6013.322580645161</v>
      </c>
      <c r="I426" s="568">
        <v>8852.6607241458914</v>
      </c>
      <c r="J426" s="569">
        <v>0</v>
      </c>
      <c r="K426" s="94">
        <v>0</v>
      </c>
      <c r="L426" s="94">
        <v>0</v>
      </c>
      <c r="M426" s="94">
        <v>0</v>
      </c>
      <c r="N426" s="570">
        <v>0</v>
      </c>
      <c r="O426" s="571">
        <v>0</v>
      </c>
      <c r="P426" s="566">
        <v>0</v>
      </c>
      <c r="Q426" s="572">
        <v>0</v>
      </c>
      <c r="R426" s="569">
        <v>0</v>
      </c>
      <c r="S426" s="570">
        <v>6016.25</v>
      </c>
      <c r="T426" s="570">
        <v>6016.25</v>
      </c>
      <c r="U426" s="571">
        <v>6424.9731944725927</v>
      </c>
      <c r="V426" s="170">
        <v>6424.9731944725927</v>
      </c>
    </row>
    <row r="427" spans="1:22">
      <c r="A427" s="554"/>
      <c r="B427" s="573" t="s">
        <v>728</v>
      </c>
      <c r="C427" s="574">
        <v>9090.8561502329921</v>
      </c>
      <c r="D427" s="226">
        <v>7158.1596541860463</v>
      </c>
      <c r="E427" s="226">
        <v>7843.8818641702137</v>
      </c>
      <c r="F427" s="226">
        <v>6758.3144272620448</v>
      </c>
      <c r="G427" s="226">
        <v>7551.529121161826</v>
      </c>
      <c r="H427" s="575">
        <v>6048.5369428571421</v>
      </c>
      <c r="I427" s="576">
        <v>8185.8239308094298</v>
      </c>
      <c r="J427" s="577">
        <v>0</v>
      </c>
      <c r="K427" s="226">
        <v>0</v>
      </c>
      <c r="L427" s="226">
        <v>0</v>
      </c>
      <c r="M427" s="226">
        <v>0</v>
      </c>
      <c r="N427" s="226">
        <v>0</v>
      </c>
      <c r="O427" s="578">
        <v>0</v>
      </c>
      <c r="P427" s="574">
        <v>0</v>
      </c>
      <c r="Q427" s="579">
        <v>0</v>
      </c>
      <c r="R427" s="577">
        <v>0</v>
      </c>
      <c r="S427" s="226">
        <v>5495.03125</v>
      </c>
      <c r="T427" s="226">
        <v>5495.03125</v>
      </c>
      <c r="U427" s="578">
        <v>6402.5762124887688</v>
      </c>
      <c r="V427" s="170">
        <v>6402.5762124887688</v>
      </c>
    </row>
    <row r="428" spans="1:22">
      <c r="A428" s="580"/>
      <c r="B428" s="581" t="s">
        <v>495</v>
      </c>
      <c r="C428" s="582">
        <v>-6.8398379075132203</v>
      </c>
      <c r="D428" s="584">
        <v>-16.234562019466033</v>
      </c>
      <c r="E428" s="584">
        <v>-2.4383131138510352</v>
      </c>
      <c r="F428" s="584">
        <v>-1.4230797868660392</v>
      </c>
      <c r="G428" s="584">
        <v>-2.0904821042892223</v>
      </c>
      <c r="H428" s="585">
        <v>0.58560574024956091</v>
      </c>
      <c r="I428" s="586">
        <v>-7.5326143643757266</v>
      </c>
      <c r="J428" s="587">
        <v>0</v>
      </c>
      <c r="K428" s="584">
        <v>0</v>
      </c>
      <c r="L428" s="584">
        <v>0</v>
      </c>
      <c r="M428" s="584">
        <v>0</v>
      </c>
      <c r="N428" s="584">
        <v>0</v>
      </c>
      <c r="O428" s="588">
        <v>0</v>
      </c>
      <c r="P428" s="582">
        <v>0</v>
      </c>
      <c r="Q428" s="589">
        <v>0</v>
      </c>
      <c r="R428" s="587">
        <v>0</v>
      </c>
      <c r="S428" s="584">
        <v>-8.6635154789112825</v>
      </c>
      <c r="T428" s="584">
        <v>-8.6635154789112825</v>
      </c>
      <c r="U428" s="588">
        <v>-0.34859261363287969</v>
      </c>
      <c r="V428" s="170">
        <v>-0.34859261363287969</v>
      </c>
    </row>
    <row r="429" spans="1:22">
      <c r="A429" s="554"/>
      <c r="B429" s="556" t="s">
        <v>730</v>
      </c>
      <c r="C429" s="566">
        <v>8437.0083779380966</v>
      </c>
      <c r="D429" s="94">
        <v>8663.0872727272726</v>
      </c>
      <c r="E429" s="94">
        <v>7676.8469387755104</v>
      </c>
      <c r="F429" s="94">
        <v>8105.4210526315792</v>
      </c>
      <c r="G429" s="95">
        <v>8136.6125290023201</v>
      </c>
      <c r="H429" s="567">
        <v>8473.213483146068</v>
      </c>
      <c r="I429" s="568">
        <v>8329.4953692709569</v>
      </c>
      <c r="J429" s="569">
        <v>0</v>
      </c>
      <c r="K429" s="94">
        <v>0</v>
      </c>
      <c r="L429" s="94">
        <v>0</v>
      </c>
      <c r="M429" s="94">
        <v>0</v>
      </c>
      <c r="N429" s="570">
        <v>0</v>
      </c>
      <c r="O429" s="571">
        <v>0</v>
      </c>
      <c r="P429" s="566">
        <v>0</v>
      </c>
      <c r="Q429" s="572">
        <v>0</v>
      </c>
      <c r="R429" s="569">
        <v>0</v>
      </c>
      <c r="S429" s="570">
        <v>7813.875</v>
      </c>
      <c r="T429" s="570">
        <v>7813.875</v>
      </c>
      <c r="U429" s="571">
        <v>6369</v>
      </c>
      <c r="V429" s="170">
        <v>6369</v>
      </c>
    </row>
    <row r="430" spans="1:22">
      <c r="A430" s="554"/>
      <c r="B430" s="573" t="s">
        <v>732</v>
      </c>
      <c r="C430" s="574">
        <v>8619.158998808105</v>
      </c>
      <c r="D430" s="226">
        <v>9007.0615199034983</v>
      </c>
      <c r="E430" s="226">
        <v>7941.8246808510639</v>
      </c>
      <c r="F430" s="226">
        <v>8258.8278481012658</v>
      </c>
      <c r="G430" s="226">
        <v>8232.4383561643845</v>
      </c>
      <c r="H430" s="575">
        <v>8420.0470588235294</v>
      </c>
      <c r="I430" s="576">
        <v>8544.3843663829284</v>
      </c>
      <c r="J430" s="577">
        <v>0</v>
      </c>
      <c r="K430" s="226">
        <v>0</v>
      </c>
      <c r="L430" s="226">
        <v>0</v>
      </c>
      <c r="M430" s="226">
        <v>0</v>
      </c>
      <c r="N430" s="226">
        <v>0</v>
      </c>
      <c r="O430" s="578">
        <v>0</v>
      </c>
      <c r="P430" s="574">
        <v>0</v>
      </c>
      <c r="Q430" s="579">
        <v>0</v>
      </c>
      <c r="R430" s="577">
        <v>0</v>
      </c>
      <c r="S430" s="226">
        <v>7821.375</v>
      </c>
      <c r="T430" s="226">
        <v>7821.375</v>
      </c>
      <c r="U430" s="578">
        <v>6369</v>
      </c>
      <c r="V430" s="170">
        <v>6369</v>
      </c>
    </row>
    <row r="431" spans="1:22">
      <c r="A431" s="580"/>
      <c r="B431" s="581" t="s">
        <v>497</v>
      </c>
      <c r="C431" s="582">
        <v>2.1589479672239444</v>
      </c>
      <c r="D431" s="584">
        <v>3.9705734958841901</v>
      </c>
      <c r="E431" s="584">
        <v>3.4516481074692194</v>
      </c>
      <c r="F431" s="584">
        <v>1.8926443731122413</v>
      </c>
      <c r="G431" s="584">
        <v>1.1777115700237741</v>
      </c>
      <c r="H431" s="585">
        <v>-0.62746470897129092</v>
      </c>
      <c r="I431" s="586">
        <v>2.5798561327584939</v>
      </c>
      <c r="J431" s="587">
        <v>0</v>
      </c>
      <c r="K431" s="584">
        <v>0</v>
      </c>
      <c r="L431" s="584">
        <v>0</v>
      </c>
      <c r="M431" s="584">
        <v>0</v>
      </c>
      <c r="N431" s="584">
        <v>0</v>
      </c>
      <c r="O431" s="588">
        <v>0</v>
      </c>
      <c r="P431" s="582">
        <v>0</v>
      </c>
      <c r="Q431" s="589">
        <v>0</v>
      </c>
      <c r="R431" s="587">
        <v>0</v>
      </c>
      <c r="S431" s="584">
        <v>9.5983106973172722E-2</v>
      </c>
      <c r="T431" s="584">
        <v>9.5983106973172722E-2</v>
      </c>
      <c r="U431" s="588">
        <v>0</v>
      </c>
      <c r="V431" s="170">
        <v>0</v>
      </c>
    </row>
    <row r="432" spans="1:22">
      <c r="A432" s="554"/>
      <c r="B432" s="556" t="s">
        <v>734</v>
      </c>
      <c r="C432" s="566">
        <v>493.39598811292717</v>
      </c>
      <c r="D432" s="94">
        <v>547.97056981840956</v>
      </c>
      <c r="E432" s="94">
        <v>694.03146258503398</v>
      </c>
      <c r="F432" s="94">
        <v>618.15942028985512</v>
      </c>
      <c r="G432" s="95">
        <v>308.14385964912282</v>
      </c>
      <c r="H432" s="567">
        <v>0</v>
      </c>
      <c r="I432" s="568">
        <v>555.75117370892019</v>
      </c>
      <c r="J432" s="569">
        <v>0</v>
      </c>
      <c r="K432" s="94">
        <v>0</v>
      </c>
      <c r="L432" s="94">
        <v>0</v>
      </c>
      <c r="M432" s="94">
        <v>0</v>
      </c>
      <c r="N432" s="570">
        <v>0</v>
      </c>
      <c r="O432" s="571">
        <v>0</v>
      </c>
      <c r="P432" s="566">
        <v>0</v>
      </c>
      <c r="Q432" s="572">
        <v>0</v>
      </c>
      <c r="R432" s="569">
        <v>0</v>
      </c>
      <c r="S432" s="570">
        <v>554.24242424242425</v>
      </c>
      <c r="T432" s="570">
        <v>554.24242424242425</v>
      </c>
      <c r="U432" s="571">
        <v>0</v>
      </c>
      <c r="V432" s="170">
        <v>0</v>
      </c>
    </row>
    <row r="433" spans="1:22">
      <c r="A433" s="554"/>
      <c r="B433" s="573" t="s">
        <v>736</v>
      </c>
      <c r="C433" s="574">
        <v>382.46850393700788</v>
      </c>
      <c r="D433" s="226">
        <v>107.2274704785581</v>
      </c>
      <c r="E433" s="226">
        <v>456.80085106382978</v>
      </c>
      <c r="F433" s="226">
        <v>397.15384615384613</v>
      </c>
      <c r="G433" s="226">
        <v>1165.1508379888269</v>
      </c>
      <c r="H433" s="575">
        <v>0</v>
      </c>
      <c r="I433" s="576">
        <v>365.94810690423162</v>
      </c>
      <c r="J433" s="577">
        <v>0</v>
      </c>
      <c r="K433" s="226">
        <v>0</v>
      </c>
      <c r="L433" s="226">
        <v>0</v>
      </c>
      <c r="M433" s="226">
        <v>0</v>
      </c>
      <c r="N433" s="226">
        <v>0</v>
      </c>
      <c r="O433" s="578">
        <v>0</v>
      </c>
      <c r="P433" s="574">
        <v>0</v>
      </c>
      <c r="Q433" s="579">
        <v>0</v>
      </c>
      <c r="R433" s="577">
        <v>0</v>
      </c>
      <c r="S433" s="226">
        <v>359.27272727272725</v>
      </c>
      <c r="T433" s="226">
        <v>359.27272727272725</v>
      </c>
      <c r="U433" s="578">
        <v>0</v>
      </c>
      <c r="V433" s="170">
        <v>0</v>
      </c>
    </row>
    <row r="434" spans="1:22">
      <c r="A434" s="580"/>
      <c r="B434" s="581" t="s">
        <v>499</v>
      </c>
      <c r="C434" s="582">
        <v>-22.482445509980618</v>
      </c>
      <c r="D434" s="584">
        <v>-80.431892443769044</v>
      </c>
      <c r="E434" s="584">
        <v>-34.181535609005373</v>
      </c>
      <c r="F434" s="584">
        <v>-35.752197067931021</v>
      </c>
      <c r="G434" s="584">
        <v>278.11911595952637</v>
      </c>
      <c r="H434" s="585">
        <v>0</v>
      </c>
      <c r="I434" s="586">
        <v>-34.152526487348396</v>
      </c>
      <c r="J434" s="587">
        <v>0</v>
      </c>
      <c r="K434" s="584">
        <v>0</v>
      </c>
      <c r="L434" s="584">
        <v>0</v>
      </c>
      <c r="M434" s="584">
        <v>0</v>
      </c>
      <c r="N434" s="584">
        <v>0</v>
      </c>
      <c r="O434" s="588">
        <v>0</v>
      </c>
      <c r="P434" s="582">
        <v>0</v>
      </c>
      <c r="Q434" s="589">
        <v>0</v>
      </c>
      <c r="R434" s="587">
        <v>0</v>
      </c>
      <c r="S434" s="584">
        <v>-35.17769272826682</v>
      </c>
      <c r="T434" s="584">
        <v>-35.17769272826682</v>
      </c>
      <c r="U434" s="588">
        <v>0</v>
      </c>
      <c r="V434" s="170">
        <v>0</v>
      </c>
    </row>
    <row r="435" spans="1:22">
      <c r="A435" s="554"/>
      <c r="B435" s="556" t="s">
        <v>738</v>
      </c>
      <c r="C435" s="566">
        <v>5941.6785079698566</v>
      </c>
      <c r="D435" s="94">
        <v>5565.8540465769456</v>
      </c>
      <c r="E435" s="94">
        <v>4891.7153702380947</v>
      </c>
      <c r="F435" s="94">
        <v>4868.6676244946493</v>
      </c>
      <c r="G435" s="95">
        <v>5147.1290390756303</v>
      </c>
      <c r="H435" s="567">
        <v>4344.5376344086026</v>
      </c>
      <c r="I435" s="568">
        <v>5560.5184369610333</v>
      </c>
      <c r="J435" s="569">
        <v>0</v>
      </c>
      <c r="K435" s="94">
        <v>0</v>
      </c>
      <c r="L435" s="94">
        <v>0</v>
      </c>
      <c r="M435" s="94">
        <v>0</v>
      </c>
      <c r="N435" s="570">
        <v>0</v>
      </c>
      <c r="O435" s="571">
        <v>0</v>
      </c>
      <c r="P435" s="566">
        <v>0</v>
      </c>
      <c r="Q435" s="572">
        <v>0</v>
      </c>
      <c r="R435" s="569">
        <v>0</v>
      </c>
      <c r="S435" s="570">
        <v>4240.030303030303</v>
      </c>
      <c r="T435" s="570">
        <v>4240.030303030303</v>
      </c>
      <c r="U435" s="571">
        <v>4375.3955084292957</v>
      </c>
      <c r="V435" s="170">
        <v>4375.3955084292957</v>
      </c>
    </row>
    <row r="436" spans="1:22">
      <c r="A436" s="554"/>
      <c r="B436" s="573" t="s">
        <v>740</v>
      </c>
      <c r="C436" s="574">
        <v>5978.779820208093</v>
      </c>
      <c r="D436" s="226">
        <v>5580.5647981384527</v>
      </c>
      <c r="E436" s="226">
        <v>4875.1555128510636</v>
      </c>
      <c r="F436" s="226">
        <v>4742.9182407494145</v>
      </c>
      <c r="G436" s="226">
        <v>5076.4780464730284</v>
      </c>
      <c r="H436" s="575">
        <v>4434.7947648351646</v>
      </c>
      <c r="I436" s="576">
        <v>5560.9995671524402</v>
      </c>
      <c r="J436" s="577">
        <v>0</v>
      </c>
      <c r="K436" s="226">
        <v>0</v>
      </c>
      <c r="L436" s="226">
        <v>0</v>
      </c>
      <c r="M436" s="226">
        <v>0</v>
      </c>
      <c r="N436" s="226">
        <v>0</v>
      </c>
      <c r="O436" s="578">
        <v>0</v>
      </c>
      <c r="P436" s="574">
        <v>0</v>
      </c>
      <c r="Q436" s="579">
        <v>0</v>
      </c>
      <c r="R436" s="577">
        <v>0</v>
      </c>
      <c r="S436" s="226">
        <v>4164.212121212121</v>
      </c>
      <c r="T436" s="226">
        <v>4164.212121212121</v>
      </c>
      <c r="U436" s="578">
        <v>4360.1797085354892</v>
      </c>
      <c r="V436" s="170">
        <v>4360.1797085354892</v>
      </c>
    </row>
    <row r="437" spans="1:22">
      <c r="A437" s="580"/>
      <c r="B437" s="581" t="s">
        <v>569</v>
      </c>
      <c r="C437" s="582">
        <v>0.6244247679922551</v>
      </c>
      <c r="D437" s="584">
        <v>0.26430358105696916</v>
      </c>
      <c r="E437" s="584">
        <v>-0.33852863737296918</v>
      </c>
      <c r="F437" s="584">
        <v>-2.5828295017014469</v>
      </c>
      <c r="G437" s="584">
        <v>-1.3726291310405949</v>
      </c>
      <c r="H437" s="585">
        <v>2.0774852935264829</v>
      </c>
      <c r="I437" s="586">
        <v>8.652613903927079E-3</v>
      </c>
      <c r="J437" s="587">
        <v>0</v>
      </c>
      <c r="K437" s="584">
        <v>0</v>
      </c>
      <c r="L437" s="584">
        <v>0</v>
      </c>
      <c r="M437" s="584">
        <v>0</v>
      </c>
      <c r="N437" s="584">
        <v>0</v>
      </c>
      <c r="O437" s="588">
        <v>0</v>
      </c>
      <c r="P437" s="582">
        <v>0</v>
      </c>
      <c r="Q437" s="589">
        <v>0</v>
      </c>
      <c r="R437" s="587">
        <v>0</v>
      </c>
      <c r="S437" s="584">
        <v>-1.7881518857069387</v>
      </c>
      <c r="T437" s="584">
        <v>-1.7881518857069387</v>
      </c>
      <c r="U437" s="588">
        <v>-0.34775827384045305</v>
      </c>
      <c r="V437" s="170">
        <v>-0.34775827384045305</v>
      </c>
    </row>
    <row r="438" spans="1:22">
      <c r="A438" s="554"/>
      <c r="B438" s="556" t="s">
        <v>742</v>
      </c>
      <c r="C438" s="566">
        <v>46.117302052785924</v>
      </c>
      <c r="D438" s="94">
        <v>65.401459854014604</v>
      </c>
      <c r="E438" s="94">
        <v>17</v>
      </c>
      <c r="F438" s="94">
        <v>0</v>
      </c>
      <c r="G438" s="95">
        <v>0</v>
      </c>
      <c r="H438" s="567">
        <v>0</v>
      </c>
      <c r="I438" s="568">
        <v>44.559120617944146</v>
      </c>
      <c r="J438" s="569">
        <v>0</v>
      </c>
      <c r="K438" s="94">
        <v>0</v>
      </c>
      <c r="L438" s="94">
        <v>0</v>
      </c>
      <c r="M438" s="94">
        <v>0</v>
      </c>
      <c r="N438" s="570">
        <v>0</v>
      </c>
      <c r="O438" s="571">
        <v>0</v>
      </c>
      <c r="P438" s="566">
        <v>0</v>
      </c>
      <c r="Q438" s="572">
        <v>0</v>
      </c>
      <c r="R438" s="569">
        <v>0</v>
      </c>
      <c r="S438" s="570">
        <v>0</v>
      </c>
      <c r="T438" s="570">
        <v>0</v>
      </c>
      <c r="U438" s="571">
        <v>0</v>
      </c>
      <c r="V438" s="170">
        <v>0</v>
      </c>
    </row>
    <row r="439" spans="1:22">
      <c r="A439" s="554"/>
      <c r="B439" s="573" t="s">
        <v>567</v>
      </c>
      <c r="C439" s="574">
        <v>244.62480857580397</v>
      </c>
      <c r="D439" s="226">
        <v>55.677215189873415</v>
      </c>
      <c r="E439" s="226">
        <v>63.951434878587193</v>
      </c>
      <c r="F439" s="226">
        <v>0</v>
      </c>
      <c r="G439" s="226">
        <v>0</v>
      </c>
      <c r="H439" s="575">
        <v>0</v>
      </c>
      <c r="I439" s="576">
        <v>132.30831826401447</v>
      </c>
      <c r="J439" s="577">
        <v>0</v>
      </c>
      <c r="K439" s="226">
        <v>0</v>
      </c>
      <c r="L439" s="226">
        <v>0</v>
      </c>
      <c r="M439" s="226">
        <v>0</v>
      </c>
      <c r="N439" s="226">
        <v>0</v>
      </c>
      <c r="O439" s="578">
        <v>0</v>
      </c>
      <c r="P439" s="574">
        <v>0</v>
      </c>
      <c r="Q439" s="579">
        <v>0</v>
      </c>
      <c r="R439" s="577">
        <v>0</v>
      </c>
      <c r="S439" s="226">
        <v>0</v>
      </c>
      <c r="T439" s="226">
        <v>0</v>
      </c>
      <c r="U439" s="578">
        <v>0</v>
      </c>
      <c r="V439" s="170">
        <v>0</v>
      </c>
    </row>
    <row r="440" spans="1:22">
      <c r="A440" s="580"/>
      <c r="B440" s="581" t="s">
        <v>37</v>
      </c>
      <c r="C440" s="582">
        <v>430.44041539074874</v>
      </c>
      <c r="D440" s="584">
        <v>-14.868543738698023</v>
      </c>
      <c r="E440" s="584">
        <v>276.18491105051288</v>
      </c>
      <c r="F440" s="584">
        <v>0</v>
      </c>
      <c r="G440" s="584">
        <v>0</v>
      </c>
      <c r="H440" s="585">
        <v>0</v>
      </c>
      <c r="I440" s="586">
        <v>196.92757942519484</v>
      </c>
      <c r="J440" s="587">
        <v>0</v>
      </c>
      <c r="K440" s="584">
        <v>0</v>
      </c>
      <c r="L440" s="584">
        <v>0</v>
      </c>
      <c r="M440" s="584">
        <v>0</v>
      </c>
      <c r="N440" s="584">
        <v>0</v>
      </c>
      <c r="O440" s="588">
        <v>0</v>
      </c>
      <c r="P440" s="582">
        <v>0</v>
      </c>
      <c r="Q440" s="589">
        <v>0</v>
      </c>
      <c r="R440" s="587">
        <v>0</v>
      </c>
      <c r="S440" s="584">
        <v>0</v>
      </c>
      <c r="T440" s="584">
        <v>0</v>
      </c>
      <c r="U440" s="588">
        <v>0</v>
      </c>
      <c r="V440" s="170">
        <v>0</v>
      </c>
    </row>
    <row r="441" spans="1:22">
      <c r="A441" s="554"/>
      <c r="B441" s="556" t="s">
        <v>571</v>
      </c>
      <c r="C441" s="566">
        <v>544.8735725651577</v>
      </c>
      <c r="D441" s="94">
        <v>623.13384028103053</v>
      </c>
      <c r="E441" s="94">
        <v>537.77860397350992</v>
      </c>
      <c r="F441" s="94">
        <v>502.51594970202621</v>
      </c>
      <c r="G441" s="95">
        <v>533.86996680672269</v>
      </c>
      <c r="H441" s="567">
        <v>567.91397849462362</v>
      </c>
      <c r="I441" s="568">
        <v>555.42710895664595</v>
      </c>
      <c r="J441" s="569">
        <v>0</v>
      </c>
      <c r="K441" s="94">
        <v>0</v>
      </c>
      <c r="L441" s="94">
        <v>0</v>
      </c>
      <c r="M441" s="94">
        <v>0</v>
      </c>
      <c r="N441" s="570">
        <v>0</v>
      </c>
      <c r="O441" s="571">
        <v>0</v>
      </c>
      <c r="P441" s="566">
        <v>0</v>
      </c>
      <c r="Q441" s="572">
        <v>0</v>
      </c>
      <c r="R441" s="569">
        <v>0</v>
      </c>
      <c r="S441" s="570">
        <v>437.84848484848487</v>
      </c>
      <c r="T441" s="570">
        <v>437.84848484848487</v>
      </c>
      <c r="U441" s="571">
        <v>469.15139778903733</v>
      </c>
      <c r="V441" s="170">
        <v>469.15139778903733</v>
      </c>
    </row>
    <row r="442" spans="1:22">
      <c r="A442" s="554"/>
      <c r="B442" s="573" t="s">
        <v>573</v>
      </c>
      <c r="C442" s="574">
        <v>516.95848388439299</v>
      </c>
      <c r="D442" s="226">
        <v>466.49945174418605</v>
      </c>
      <c r="E442" s="226">
        <v>691.43325143487857</v>
      </c>
      <c r="F442" s="226">
        <v>617.27348977673319</v>
      </c>
      <c r="G442" s="226">
        <v>678.41916514522813</v>
      </c>
      <c r="H442" s="575">
        <v>579.71262197802196</v>
      </c>
      <c r="I442" s="576">
        <v>545.63757034029845</v>
      </c>
      <c r="J442" s="577">
        <v>0</v>
      </c>
      <c r="K442" s="226">
        <v>0</v>
      </c>
      <c r="L442" s="226">
        <v>0</v>
      </c>
      <c r="M442" s="226">
        <v>0</v>
      </c>
      <c r="N442" s="226">
        <v>0</v>
      </c>
      <c r="O442" s="578">
        <v>0</v>
      </c>
      <c r="P442" s="574">
        <v>0</v>
      </c>
      <c r="Q442" s="579">
        <v>0</v>
      </c>
      <c r="R442" s="577">
        <v>0</v>
      </c>
      <c r="S442" s="226">
        <v>555.24242424242425</v>
      </c>
      <c r="T442" s="226">
        <v>555.24242424242425</v>
      </c>
      <c r="U442" s="578">
        <v>467.51220880503143</v>
      </c>
      <c r="V442" s="170">
        <v>467.51220880503143</v>
      </c>
    </row>
    <row r="443" spans="1:22">
      <c r="A443" s="580"/>
      <c r="B443" s="581" t="s">
        <v>39</v>
      </c>
      <c r="C443" s="582">
        <v>-5.1232230899630453</v>
      </c>
      <c r="D443" s="584">
        <v>-25.136556292016348</v>
      </c>
      <c r="E443" s="584">
        <v>28.572101293367453</v>
      </c>
      <c r="F443" s="584">
        <v>22.836596558328957</v>
      </c>
      <c r="G443" s="584">
        <v>27.075731418852538</v>
      </c>
      <c r="H443" s="585">
        <v>2.0775406012497073</v>
      </c>
      <c r="I443" s="586">
        <v>-1.7625244534313189</v>
      </c>
      <c r="J443" s="587">
        <v>0</v>
      </c>
      <c r="K443" s="584">
        <v>0</v>
      </c>
      <c r="L443" s="584">
        <v>0</v>
      </c>
      <c r="M443" s="584">
        <v>0</v>
      </c>
      <c r="N443" s="584">
        <v>0</v>
      </c>
      <c r="O443" s="588">
        <v>0</v>
      </c>
      <c r="P443" s="582">
        <v>0</v>
      </c>
      <c r="Q443" s="589">
        <v>0</v>
      </c>
      <c r="R443" s="587">
        <v>0</v>
      </c>
      <c r="S443" s="584">
        <v>26.811544051491449</v>
      </c>
      <c r="T443" s="584">
        <v>26.811544051491449</v>
      </c>
      <c r="U443" s="588">
        <v>-0.34939445810688813</v>
      </c>
      <c r="V443" s="170">
        <v>-0.34939445810688813</v>
      </c>
    </row>
    <row r="444" spans="1:22">
      <c r="A444" s="554"/>
      <c r="B444" s="556" t="s">
        <v>575</v>
      </c>
      <c r="C444" s="566">
        <v>473.78283372434021</v>
      </c>
      <c r="D444" s="94">
        <v>299.20881843065695</v>
      </c>
      <c r="E444" s="94">
        <v>338.84879867549671</v>
      </c>
      <c r="F444" s="94">
        <v>0</v>
      </c>
      <c r="G444" s="95">
        <v>0</v>
      </c>
      <c r="H444" s="567">
        <v>0</v>
      </c>
      <c r="I444" s="568">
        <v>380.62081455733806</v>
      </c>
      <c r="J444" s="569">
        <v>0</v>
      </c>
      <c r="K444" s="94">
        <v>0</v>
      </c>
      <c r="L444" s="94">
        <v>0</v>
      </c>
      <c r="M444" s="94">
        <v>0</v>
      </c>
      <c r="N444" s="570">
        <v>0</v>
      </c>
      <c r="O444" s="571">
        <v>0</v>
      </c>
      <c r="P444" s="566">
        <v>0</v>
      </c>
      <c r="Q444" s="572">
        <v>0</v>
      </c>
      <c r="R444" s="569">
        <v>0</v>
      </c>
      <c r="S444" s="570">
        <v>0</v>
      </c>
      <c r="T444" s="570">
        <v>0</v>
      </c>
      <c r="U444" s="571">
        <v>0</v>
      </c>
      <c r="V444" s="170">
        <v>0</v>
      </c>
    </row>
    <row r="445" spans="1:22">
      <c r="A445" s="554"/>
      <c r="B445" s="573" t="s">
        <v>577</v>
      </c>
      <c r="C445" s="574">
        <v>649.59733185298626</v>
      </c>
      <c r="D445" s="226">
        <v>283.98025388788426</v>
      </c>
      <c r="E445" s="226">
        <v>333.31393377483442</v>
      </c>
      <c r="F445" s="226">
        <v>0</v>
      </c>
      <c r="G445" s="226">
        <v>0</v>
      </c>
      <c r="H445" s="575">
        <v>0</v>
      </c>
      <c r="I445" s="576">
        <v>441.36187468354433</v>
      </c>
      <c r="J445" s="577">
        <v>0</v>
      </c>
      <c r="K445" s="226">
        <v>0</v>
      </c>
      <c r="L445" s="226">
        <v>0</v>
      </c>
      <c r="M445" s="226">
        <v>0</v>
      </c>
      <c r="N445" s="226">
        <v>0</v>
      </c>
      <c r="O445" s="578">
        <v>0</v>
      </c>
      <c r="P445" s="574">
        <v>0</v>
      </c>
      <c r="Q445" s="579">
        <v>0</v>
      </c>
      <c r="R445" s="577">
        <v>0</v>
      </c>
      <c r="S445" s="226">
        <v>0</v>
      </c>
      <c r="T445" s="226">
        <v>0</v>
      </c>
      <c r="U445" s="578">
        <v>0</v>
      </c>
      <c r="V445" s="170">
        <v>0</v>
      </c>
    </row>
    <row r="446" spans="1:22">
      <c r="A446" s="580"/>
      <c r="B446" s="581" t="s">
        <v>501</v>
      </c>
      <c r="C446" s="582">
        <v>37.108667856661882</v>
      </c>
      <c r="D446" s="584">
        <v>-5.0896108686388795</v>
      </c>
      <c r="E446" s="584">
        <v>-1.6334320565093181</v>
      </c>
      <c r="F446" s="584">
        <v>0</v>
      </c>
      <c r="G446" s="584">
        <v>0</v>
      </c>
      <c r="H446" s="585">
        <v>0</v>
      </c>
      <c r="I446" s="586">
        <v>15.958417880232878</v>
      </c>
      <c r="J446" s="587">
        <v>0</v>
      </c>
      <c r="K446" s="584">
        <v>0</v>
      </c>
      <c r="L446" s="584">
        <v>0</v>
      </c>
      <c r="M446" s="584">
        <v>0</v>
      </c>
      <c r="N446" s="584">
        <v>0</v>
      </c>
      <c r="O446" s="588">
        <v>0</v>
      </c>
      <c r="P446" s="582">
        <v>0</v>
      </c>
      <c r="Q446" s="589">
        <v>0</v>
      </c>
      <c r="R446" s="587">
        <v>0</v>
      </c>
      <c r="S446" s="584">
        <v>0</v>
      </c>
      <c r="T446" s="584">
        <v>0</v>
      </c>
      <c r="U446" s="588">
        <v>0</v>
      </c>
      <c r="V446" s="170">
        <v>0</v>
      </c>
    </row>
    <row r="447" spans="1:22">
      <c r="A447" s="554"/>
      <c r="B447" s="556" t="s">
        <v>579</v>
      </c>
      <c r="C447" s="566">
        <v>1890</v>
      </c>
      <c r="D447" s="94">
        <v>0</v>
      </c>
      <c r="E447" s="94">
        <v>0</v>
      </c>
      <c r="F447" s="94">
        <v>0</v>
      </c>
      <c r="G447" s="95">
        <v>0</v>
      </c>
      <c r="H447" s="567">
        <v>0</v>
      </c>
      <c r="I447" s="568">
        <v>1890</v>
      </c>
      <c r="J447" s="569">
        <v>0</v>
      </c>
      <c r="K447" s="94">
        <v>0</v>
      </c>
      <c r="L447" s="94">
        <v>0</v>
      </c>
      <c r="M447" s="94">
        <v>0</v>
      </c>
      <c r="N447" s="570">
        <v>0</v>
      </c>
      <c r="O447" s="571">
        <v>0</v>
      </c>
      <c r="P447" s="566">
        <v>0</v>
      </c>
      <c r="Q447" s="572">
        <v>0</v>
      </c>
      <c r="R447" s="569">
        <v>0</v>
      </c>
      <c r="S447" s="570">
        <v>0</v>
      </c>
      <c r="T447" s="570">
        <v>0</v>
      </c>
      <c r="U447" s="571">
        <v>0</v>
      </c>
      <c r="V447" s="170">
        <v>0</v>
      </c>
    </row>
    <row r="448" spans="1:22">
      <c r="A448" s="554"/>
      <c r="B448" s="573" t="s">
        <v>581</v>
      </c>
      <c r="C448" s="574">
        <v>1890</v>
      </c>
      <c r="D448" s="226">
        <v>0</v>
      </c>
      <c r="E448" s="226">
        <v>0</v>
      </c>
      <c r="F448" s="226">
        <v>0</v>
      </c>
      <c r="G448" s="226">
        <v>0</v>
      </c>
      <c r="H448" s="575">
        <v>0</v>
      </c>
      <c r="I448" s="576">
        <v>1890</v>
      </c>
      <c r="J448" s="577">
        <v>0</v>
      </c>
      <c r="K448" s="226">
        <v>0</v>
      </c>
      <c r="L448" s="226">
        <v>0</v>
      </c>
      <c r="M448" s="226">
        <v>0</v>
      </c>
      <c r="N448" s="226">
        <v>0</v>
      </c>
      <c r="O448" s="578">
        <v>0</v>
      </c>
      <c r="P448" s="574">
        <v>0</v>
      </c>
      <c r="Q448" s="579">
        <v>0</v>
      </c>
      <c r="R448" s="577">
        <v>0</v>
      </c>
      <c r="S448" s="226">
        <v>0</v>
      </c>
      <c r="T448" s="226">
        <v>0</v>
      </c>
      <c r="U448" s="578">
        <v>0</v>
      </c>
      <c r="V448" s="170">
        <v>0</v>
      </c>
    </row>
    <row r="449" spans="1:22">
      <c r="A449" s="580"/>
      <c r="B449" s="581" t="s">
        <v>503</v>
      </c>
      <c r="C449" s="582">
        <v>0</v>
      </c>
      <c r="D449" s="584">
        <v>0</v>
      </c>
      <c r="E449" s="584">
        <v>0</v>
      </c>
      <c r="F449" s="584">
        <v>0</v>
      </c>
      <c r="G449" s="584">
        <v>0</v>
      </c>
      <c r="H449" s="585">
        <v>0</v>
      </c>
      <c r="I449" s="586">
        <v>0</v>
      </c>
      <c r="J449" s="587">
        <v>0</v>
      </c>
      <c r="K449" s="584">
        <v>0</v>
      </c>
      <c r="L449" s="584">
        <v>0</v>
      </c>
      <c r="M449" s="584">
        <v>0</v>
      </c>
      <c r="N449" s="584">
        <v>0</v>
      </c>
      <c r="O449" s="588">
        <v>0</v>
      </c>
      <c r="P449" s="582">
        <v>0</v>
      </c>
      <c r="Q449" s="589">
        <v>0</v>
      </c>
      <c r="R449" s="587">
        <v>0</v>
      </c>
      <c r="S449" s="584">
        <v>0</v>
      </c>
      <c r="T449" s="584">
        <v>0</v>
      </c>
      <c r="U449" s="588">
        <v>0</v>
      </c>
      <c r="V449" s="170">
        <v>0</v>
      </c>
    </row>
    <row r="450" spans="1:22">
      <c r="A450" s="554"/>
      <c r="B450" s="556" t="s">
        <v>583</v>
      </c>
      <c r="C450" s="566">
        <v>0</v>
      </c>
      <c r="D450" s="94">
        <v>480</v>
      </c>
      <c r="E450" s="94">
        <v>0</v>
      </c>
      <c r="F450" s="94">
        <v>0</v>
      </c>
      <c r="G450" s="95">
        <v>0</v>
      </c>
      <c r="H450" s="567">
        <v>0</v>
      </c>
      <c r="I450" s="568">
        <v>480</v>
      </c>
      <c r="J450" s="569">
        <v>0</v>
      </c>
      <c r="K450" s="94">
        <v>0</v>
      </c>
      <c r="L450" s="94">
        <v>0</v>
      </c>
      <c r="M450" s="94">
        <v>0</v>
      </c>
      <c r="N450" s="570">
        <v>0</v>
      </c>
      <c r="O450" s="571">
        <v>0</v>
      </c>
      <c r="P450" s="566">
        <v>0</v>
      </c>
      <c r="Q450" s="572">
        <v>0</v>
      </c>
      <c r="R450" s="569">
        <v>0</v>
      </c>
      <c r="S450" s="570">
        <v>0</v>
      </c>
      <c r="T450" s="570">
        <v>0</v>
      </c>
      <c r="U450" s="571">
        <v>0</v>
      </c>
      <c r="V450" s="170">
        <v>0</v>
      </c>
    </row>
    <row r="451" spans="1:22">
      <c r="A451" s="554"/>
      <c r="B451" s="573" t="s">
        <v>585</v>
      </c>
      <c r="C451" s="574">
        <v>0</v>
      </c>
      <c r="D451" s="226">
        <v>240</v>
      </c>
      <c r="E451" s="226">
        <v>0</v>
      </c>
      <c r="F451" s="226">
        <v>0</v>
      </c>
      <c r="G451" s="226">
        <v>0</v>
      </c>
      <c r="H451" s="575">
        <v>0</v>
      </c>
      <c r="I451" s="576">
        <v>240</v>
      </c>
      <c r="J451" s="577">
        <v>0</v>
      </c>
      <c r="K451" s="226">
        <v>0</v>
      </c>
      <c r="L451" s="226">
        <v>0</v>
      </c>
      <c r="M451" s="226">
        <v>0</v>
      </c>
      <c r="N451" s="226">
        <v>0</v>
      </c>
      <c r="O451" s="578">
        <v>0</v>
      </c>
      <c r="P451" s="574">
        <v>0</v>
      </c>
      <c r="Q451" s="579">
        <v>0</v>
      </c>
      <c r="R451" s="577">
        <v>0</v>
      </c>
      <c r="S451" s="226">
        <v>0</v>
      </c>
      <c r="T451" s="226">
        <v>0</v>
      </c>
      <c r="U451" s="578">
        <v>0</v>
      </c>
      <c r="V451" s="170">
        <v>0</v>
      </c>
    </row>
    <row r="452" spans="1:22">
      <c r="A452" s="580"/>
      <c r="B452" s="581" t="s">
        <v>694</v>
      </c>
      <c r="C452" s="582">
        <v>0</v>
      </c>
      <c r="D452" s="584">
        <v>-50</v>
      </c>
      <c r="E452" s="584">
        <v>0</v>
      </c>
      <c r="F452" s="584">
        <v>0</v>
      </c>
      <c r="G452" s="584">
        <v>0</v>
      </c>
      <c r="H452" s="585">
        <v>0</v>
      </c>
      <c r="I452" s="586">
        <v>-50</v>
      </c>
      <c r="J452" s="587">
        <v>0</v>
      </c>
      <c r="K452" s="584">
        <v>0</v>
      </c>
      <c r="L452" s="584">
        <v>0</v>
      </c>
      <c r="M452" s="584">
        <v>0</v>
      </c>
      <c r="N452" s="584">
        <v>0</v>
      </c>
      <c r="O452" s="588">
        <v>0</v>
      </c>
      <c r="P452" s="582">
        <v>0</v>
      </c>
      <c r="Q452" s="589">
        <v>0</v>
      </c>
      <c r="R452" s="587">
        <v>0</v>
      </c>
      <c r="S452" s="584">
        <v>0</v>
      </c>
      <c r="T452" s="584">
        <v>0</v>
      </c>
      <c r="U452" s="588">
        <v>0</v>
      </c>
      <c r="V452" s="170">
        <v>0</v>
      </c>
    </row>
    <row r="453" spans="1:22">
      <c r="A453" s="554"/>
      <c r="B453" s="556" t="s">
        <v>587</v>
      </c>
      <c r="C453" s="566">
        <v>24564.400578387762</v>
      </c>
      <c r="D453" s="94">
        <v>23371.278657789477</v>
      </c>
      <c r="E453" s="94">
        <v>21801.950439693879</v>
      </c>
      <c r="F453" s="94">
        <v>19694.214972651604</v>
      </c>
      <c r="G453" s="95">
        <v>20890.569710252101</v>
      </c>
      <c r="H453" s="567">
        <v>19034.548387096773</v>
      </c>
      <c r="I453" s="568">
        <v>23221.723265560806</v>
      </c>
      <c r="J453" s="569">
        <v>0</v>
      </c>
      <c r="K453" s="94">
        <v>0</v>
      </c>
      <c r="L453" s="94">
        <v>0</v>
      </c>
      <c r="M453" s="94">
        <v>0</v>
      </c>
      <c r="N453" s="570">
        <v>0</v>
      </c>
      <c r="O453" s="571">
        <v>0</v>
      </c>
      <c r="P453" s="566">
        <v>0</v>
      </c>
      <c r="Q453" s="572">
        <v>0</v>
      </c>
      <c r="R453" s="569">
        <v>0</v>
      </c>
      <c r="S453" s="570">
        <v>18643.151515151516</v>
      </c>
      <c r="T453" s="570">
        <v>18643.151515151516</v>
      </c>
      <c r="U453" s="571">
        <v>17532.349692178723</v>
      </c>
      <c r="V453" s="170">
        <v>17532.349692178723</v>
      </c>
    </row>
    <row r="454" spans="1:22">
      <c r="A454" s="554"/>
      <c r="B454" s="573" t="s">
        <v>589</v>
      </c>
      <c r="C454" s="574">
        <v>24013.124167153757</v>
      </c>
      <c r="D454" s="226">
        <v>21763.804464162789</v>
      </c>
      <c r="E454" s="226">
        <v>21774.987962144682</v>
      </c>
      <c r="F454" s="226">
        <v>19663.259851592509</v>
      </c>
      <c r="G454" s="226">
        <v>21597.201058755189</v>
      </c>
      <c r="H454" s="575">
        <v>18881.210684395606</v>
      </c>
      <c r="I454" s="576">
        <v>22643.29612035157</v>
      </c>
      <c r="J454" s="577">
        <v>0</v>
      </c>
      <c r="K454" s="226">
        <v>0</v>
      </c>
      <c r="L454" s="226">
        <v>0</v>
      </c>
      <c r="M454" s="226">
        <v>0</v>
      </c>
      <c r="N454" s="226">
        <v>0</v>
      </c>
      <c r="O454" s="578">
        <v>0</v>
      </c>
      <c r="P454" s="574">
        <v>0</v>
      </c>
      <c r="Q454" s="579">
        <v>0</v>
      </c>
      <c r="R454" s="577">
        <v>0</v>
      </c>
      <c r="S454" s="226">
        <v>17991.60606060606</v>
      </c>
      <c r="T454" s="226">
        <v>17991.60606060606</v>
      </c>
      <c r="U454" s="578">
        <v>17504.046224240788</v>
      </c>
      <c r="V454" s="170">
        <v>17504.046224240788</v>
      </c>
    </row>
    <row r="455" spans="1:22">
      <c r="A455" s="580"/>
      <c r="B455" s="581" t="s">
        <v>696</v>
      </c>
      <c r="C455" s="582">
        <v>-2.2442086851450727</v>
      </c>
      <c r="D455" s="584">
        <v>-6.8779899344143409</v>
      </c>
      <c r="E455" s="584">
        <v>-0.12367002495385949</v>
      </c>
      <c r="F455" s="584">
        <v>-0.15717875072492227</v>
      </c>
      <c r="G455" s="584">
        <v>3.3825374717105325</v>
      </c>
      <c r="H455" s="585">
        <v>-0.80557573304503427</v>
      </c>
      <c r="I455" s="586">
        <v>-2.490888116245352</v>
      </c>
      <c r="J455" s="587">
        <v>0</v>
      </c>
      <c r="K455" s="584">
        <v>0</v>
      </c>
      <c r="L455" s="584">
        <v>0</v>
      </c>
      <c r="M455" s="584">
        <v>0</v>
      </c>
      <c r="N455" s="584">
        <v>0</v>
      </c>
      <c r="O455" s="588">
        <v>0</v>
      </c>
      <c r="P455" s="582">
        <v>0</v>
      </c>
      <c r="Q455" s="589">
        <v>0</v>
      </c>
      <c r="R455" s="587">
        <v>0</v>
      </c>
      <c r="S455" s="584">
        <v>-3.4948246492334571</v>
      </c>
      <c r="T455" s="584">
        <v>-3.4948246492334571</v>
      </c>
      <c r="U455" s="588">
        <v>-0.16143567995658142</v>
      </c>
      <c r="V455" s="170">
        <v>-0.16143567995658142</v>
      </c>
    </row>
    <row r="456" spans="1:22">
      <c r="A456" s="549" t="s">
        <v>449</v>
      </c>
      <c r="B456" s="556" t="s">
        <v>726</v>
      </c>
      <c r="C456" s="566">
        <v>4516.5944430834215</v>
      </c>
      <c r="D456" s="94">
        <v>0</v>
      </c>
      <c r="E456" s="94">
        <v>3880.3687876332619</v>
      </c>
      <c r="F456" s="94">
        <v>0</v>
      </c>
      <c r="G456" s="95">
        <v>3782.4342506849321</v>
      </c>
      <c r="H456" s="567">
        <v>3319.2927961403507</v>
      </c>
      <c r="I456" s="568">
        <v>3991.9120254609311</v>
      </c>
      <c r="J456" s="569">
        <v>2816.4764913385825</v>
      </c>
      <c r="K456" s="94">
        <v>0</v>
      </c>
      <c r="L456" s="94">
        <v>0</v>
      </c>
      <c r="M456" s="94">
        <v>2878.7021742745101</v>
      </c>
      <c r="N456" s="570">
        <v>2863.9308439327106</v>
      </c>
      <c r="O456" s="571">
        <v>0</v>
      </c>
      <c r="P456" s="566">
        <v>0</v>
      </c>
      <c r="Q456" s="572">
        <v>0</v>
      </c>
      <c r="R456" s="569">
        <v>0</v>
      </c>
      <c r="S456" s="570">
        <v>0</v>
      </c>
      <c r="T456" s="570">
        <v>0</v>
      </c>
      <c r="U456" s="571">
        <v>0</v>
      </c>
      <c r="V456" s="170">
        <v>0</v>
      </c>
    </row>
    <row r="457" spans="1:22">
      <c r="A457" s="554"/>
      <c r="B457" s="573" t="s">
        <v>728</v>
      </c>
      <c r="C457" s="574">
        <v>5557.2942085106379</v>
      </c>
      <c r="D457" s="226">
        <v>0</v>
      </c>
      <c r="E457" s="226">
        <v>3870.0748945606697</v>
      </c>
      <c r="F457" s="226">
        <v>0</v>
      </c>
      <c r="G457" s="226">
        <v>3803.5278875000004</v>
      </c>
      <c r="H457" s="575">
        <v>3306.5087173241855</v>
      </c>
      <c r="I457" s="576">
        <v>4335.7935223463683</v>
      </c>
      <c r="J457" s="577">
        <v>2972.4312932330827</v>
      </c>
      <c r="K457" s="226">
        <v>0</v>
      </c>
      <c r="L457" s="226">
        <v>0</v>
      </c>
      <c r="M457" s="226">
        <v>2793.6237199052134</v>
      </c>
      <c r="N457" s="226">
        <v>2836.4731023423424</v>
      </c>
      <c r="O457" s="578">
        <v>0</v>
      </c>
      <c r="P457" s="574">
        <v>0</v>
      </c>
      <c r="Q457" s="579">
        <v>0</v>
      </c>
      <c r="R457" s="577">
        <v>0</v>
      </c>
      <c r="S457" s="226">
        <v>0</v>
      </c>
      <c r="T457" s="226">
        <v>0</v>
      </c>
      <c r="U457" s="578">
        <v>0</v>
      </c>
      <c r="V457" s="170">
        <v>0</v>
      </c>
    </row>
    <row r="458" spans="1:22">
      <c r="A458" s="580"/>
      <c r="B458" s="581" t="s">
        <v>495</v>
      </c>
      <c r="C458" s="582">
        <v>23.041691667068161</v>
      </c>
      <c r="D458" s="584">
        <v>0</v>
      </c>
      <c r="E458" s="584">
        <v>-0.26528130793647497</v>
      </c>
      <c r="F458" s="584">
        <v>0</v>
      </c>
      <c r="G458" s="584">
        <v>0.55767358841065395</v>
      </c>
      <c r="H458" s="585">
        <v>-0.38514465584447544</v>
      </c>
      <c r="I458" s="586">
        <v>8.6144557969242932</v>
      </c>
      <c r="J458" s="587">
        <v>5.5372307340076459</v>
      </c>
      <c r="K458" s="584">
        <v>0</v>
      </c>
      <c r="L458" s="584">
        <v>0</v>
      </c>
      <c r="M458" s="584">
        <v>-2.9554448226565189</v>
      </c>
      <c r="N458" s="584">
        <v>-0.95874317805326581</v>
      </c>
      <c r="O458" s="588">
        <v>0</v>
      </c>
      <c r="P458" s="582">
        <v>0</v>
      </c>
      <c r="Q458" s="589">
        <v>0</v>
      </c>
      <c r="R458" s="587">
        <v>0</v>
      </c>
      <c r="S458" s="584">
        <v>0</v>
      </c>
      <c r="T458" s="584">
        <v>0</v>
      </c>
      <c r="U458" s="588">
        <v>0</v>
      </c>
      <c r="V458" s="170">
        <v>0</v>
      </c>
    </row>
    <row r="459" spans="1:22">
      <c r="A459" s="554"/>
      <c r="B459" s="556" t="s">
        <v>730</v>
      </c>
      <c r="C459" s="566">
        <v>6047.5205913410773</v>
      </c>
      <c r="D459" s="94">
        <v>0</v>
      </c>
      <c r="E459" s="94">
        <v>6937.5095948827293</v>
      </c>
      <c r="F459" s="94">
        <v>0</v>
      </c>
      <c r="G459" s="95">
        <v>6733.1506849315065</v>
      </c>
      <c r="H459" s="567">
        <v>5719.0859649122804</v>
      </c>
      <c r="I459" s="568">
        <v>6236.4587357330993</v>
      </c>
      <c r="J459" s="569">
        <v>4521.0314960629921</v>
      </c>
      <c r="K459" s="94">
        <v>0</v>
      </c>
      <c r="L459" s="94">
        <v>0</v>
      </c>
      <c r="M459" s="94">
        <v>5958.9191176470586</v>
      </c>
      <c r="N459" s="570">
        <v>5617.5887850467288</v>
      </c>
      <c r="O459" s="571">
        <v>0</v>
      </c>
      <c r="P459" s="566">
        <v>0</v>
      </c>
      <c r="Q459" s="572">
        <v>0</v>
      </c>
      <c r="R459" s="569">
        <v>0</v>
      </c>
      <c r="S459" s="570">
        <v>0</v>
      </c>
      <c r="T459" s="570">
        <v>0</v>
      </c>
      <c r="U459" s="571">
        <v>0</v>
      </c>
      <c r="V459" s="170">
        <v>0</v>
      </c>
    </row>
    <row r="460" spans="1:22">
      <c r="A460" s="554"/>
      <c r="B460" s="573" t="s">
        <v>732</v>
      </c>
      <c r="C460" s="574">
        <v>6393.8350622406642</v>
      </c>
      <c r="D460" s="226">
        <v>0</v>
      </c>
      <c r="E460" s="226">
        <v>6172.5815899581594</v>
      </c>
      <c r="F460" s="226">
        <v>0</v>
      </c>
      <c r="G460" s="226">
        <v>5668.791666666667</v>
      </c>
      <c r="H460" s="575">
        <v>5025.5694682675812</v>
      </c>
      <c r="I460" s="576">
        <v>5912.9571984435797</v>
      </c>
      <c r="J460" s="577">
        <v>4773.0676691729323</v>
      </c>
      <c r="K460" s="226">
        <v>0</v>
      </c>
      <c r="L460" s="226">
        <v>0</v>
      </c>
      <c r="M460" s="226">
        <v>5005.2606635071088</v>
      </c>
      <c r="N460" s="226">
        <v>4949.6180180180181</v>
      </c>
      <c r="O460" s="578">
        <v>0</v>
      </c>
      <c r="P460" s="574">
        <v>0</v>
      </c>
      <c r="Q460" s="579">
        <v>0</v>
      </c>
      <c r="R460" s="577">
        <v>0</v>
      </c>
      <c r="S460" s="226">
        <v>0</v>
      </c>
      <c r="T460" s="226">
        <v>0</v>
      </c>
      <c r="U460" s="578">
        <v>0</v>
      </c>
      <c r="V460" s="170">
        <v>0</v>
      </c>
    </row>
    <row r="461" spans="1:22">
      <c r="A461" s="580"/>
      <c r="B461" s="581" t="s">
        <v>497</v>
      </c>
      <c r="C461" s="582">
        <v>5.7265529842997926</v>
      </c>
      <c r="D461" s="584">
        <v>0</v>
      </c>
      <c r="E461" s="584">
        <v>-11.025974010742974</v>
      </c>
      <c r="F461" s="584">
        <v>0</v>
      </c>
      <c r="G461" s="584">
        <v>-15.807740953233498</v>
      </c>
      <c r="H461" s="585">
        <v>-12.126352023724763</v>
      </c>
      <c r="I461" s="586">
        <v>-5.1872633332110354</v>
      </c>
      <c r="J461" s="587">
        <v>5.5747493316385528</v>
      </c>
      <c r="K461" s="584">
        <v>0</v>
      </c>
      <c r="L461" s="584">
        <v>0</v>
      </c>
      <c r="M461" s="584">
        <v>-16.003883175989671</v>
      </c>
      <c r="N461" s="584">
        <v>-11.89070244526904</v>
      </c>
      <c r="O461" s="588">
        <v>0</v>
      </c>
      <c r="P461" s="582">
        <v>0</v>
      </c>
      <c r="Q461" s="589">
        <v>0</v>
      </c>
      <c r="R461" s="587">
        <v>0</v>
      </c>
      <c r="S461" s="584">
        <v>0</v>
      </c>
      <c r="T461" s="584">
        <v>0</v>
      </c>
      <c r="U461" s="588">
        <v>0</v>
      </c>
      <c r="V461" s="170">
        <v>0</v>
      </c>
    </row>
    <row r="462" spans="1:22">
      <c r="A462" s="554"/>
      <c r="B462" s="556" t="s">
        <v>734</v>
      </c>
      <c r="C462" s="566">
        <v>0</v>
      </c>
      <c r="D462" s="94">
        <v>0</v>
      </c>
      <c r="E462" s="94">
        <v>0</v>
      </c>
      <c r="F462" s="94">
        <v>0</v>
      </c>
      <c r="G462" s="95">
        <v>0</v>
      </c>
      <c r="H462" s="567">
        <v>0</v>
      </c>
      <c r="I462" s="568">
        <v>0</v>
      </c>
      <c r="J462" s="569">
        <v>0</v>
      </c>
      <c r="K462" s="94">
        <v>0</v>
      </c>
      <c r="L462" s="94">
        <v>0</v>
      </c>
      <c r="M462" s="94">
        <v>0</v>
      </c>
      <c r="N462" s="570">
        <v>0</v>
      </c>
      <c r="O462" s="571">
        <v>0</v>
      </c>
      <c r="P462" s="566">
        <v>0</v>
      </c>
      <c r="Q462" s="572">
        <v>0</v>
      </c>
      <c r="R462" s="569">
        <v>0</v>
      </c>
      <c r="S462" s="570">
        <v>0</v>
      </c>
      <c r="T462" s="570">
        <v>0</v>
      </c>
      <c r="U462" s="571">
        <v>0</v>
      </c>
      <c r="V462" s="170">
        <v>0</v>
      </c>
    </row>
    <row r="463" spans="1:22">
      <c r="A463" s="554"/>
      <c r="B463" s="573" t="s">
        <v>736</v>
      </c>
      <c r="C463" s="574">
        <v>0</v>
      </c>
      <c r="D463" s="226">
        <v>0</v>
      </c>
      <c r="E463" s="226">
        <v>0</v>
      </c>
      <c r="F463" s="226">
        <v>0</v>
      </c>
      <c r="G463" s="226">
        <v>0</v>
      </c>
      <c r="H463" s="575">
        <v>0</v>
      </c>
      <c r="I463" s="576">
        <v>0</v>
      </c>
      <c r="J463" s="577">
        <v>0</v>
      </c>
      <c r="K463" s="226">
        <v>0</v>
      </c>
      <c r="L463" s="226">
        <v>0</v>
      </c>
      <c r="M463" s="226">
        <v>0</v>
      </c>
      <c r="N463" s="226">
        <v>0</v>
      </c>
      <c r="O463" s="578">
        <v>0</v>
      </c>
      <c r="P463" s="574">
        <v>0</v>
      </c>
      <c r="Q463" s="579">
        <v>0</v>
      </c>
      <c r="R463" s="577">
        <v>0</v>
      </c>
      <c r="S463" s="226">
        <v>0</v>
      </c>
      <c r="T463" s="226">
        <v>0</v>
      </c>
      <c r="U463" s="578">
        <v>0</v>
      </c>
      <c r="V463" s="170">
        <v>0</v>
      </c>
    </row>
    <row r="464" spans="1:22">
      <c r="A464" s="580"/>
      <c r="B464" s="581" t="s">
        <v>499</v>
      </c>
      <c r="C464" s="582">
        <v>0</v>
      </c>
      <c r="D464" s="584">
        <v>0</v>
      </c>
      <c r="E464" s="584">
        <v>0</v>
      </c>
      <c r="F464" s="584">
        <v>0</v>
      </c>
      <c r="G464" s="584">
        <v>0</v>
      </c>
      <c r="H464" s="585">
        <v>0</v>
      </c>
      <c r="I464" s="586">
        <v>0</v>
      </c>
      <c r="J464" s="587">
        <v>0</v>
      </c>
      <c r="K464" s="584">
        <v>0</v>
      </c>
      <c r="L464" s="584">
        <v>0</v>
      </c>
      <c r="M464" s="584">
        <v>0</v>
      </c>
      <c r="N464" s="584">
        <v>0</v>
      </c>
      <c r="O464" s="588">
        <v>0</v>
      </c>
      <c r="P464" s="582">
        <v>0</v>
      </c>
      <c r="Q464" s="589">
        <v>0</v>
      </c>
      <c r="R464" s="587">
        <v>0</v>
      </c>
      <c r="S464" s="584">
        <v>0</v>
      </c>
      <c r="T464" s="584">
        <v>0</v>
      </c>
      <c r="U464" s="588">
        <v>0</v>
      </c>
      <c r="V464" s="170">
        <v>0</v>
      </c>
    </row>
    <row r="465" spans="1:22">
      <c r="A465" s="554"/>
      <c r="B465" s="556" t="s">
        <v>738</v>
      </c>
      <c r="C465" s="566">
        <v>5796.7201957761345</v>
      </c>
      <c r="D465" s="94">
        <v>0</v>
      </c>
      <c r="E465" s="94">
        <v>4671.7917206823022</v>
      </c>
      <c r="F465" s="94">
        <v>0</v>
      </c>
      <c r="G465" s="95">
        <v>4493.7114541095898</v>
      </c>
      <c r="H465" s="567">
        <v>4072.729035789474</v>
      </c>
      <c r="I465" s="568">
        <v>4966.7180146619839</v>
      </c>
      <c r="J465" s="569">
        <v>3604.7106346456694</v>
      </c>
      <c r="K465" s="94">
        <v>0</v>
      </c>
      <c r="L465" s="94">
        <v>0</v>
      </c>
      <c r="M465" s="94">
        <v>3551.5740661764708</v>
      </c>
      <c r="N465" s="570">
        <v>3564.1877936448595</v>
      </c>
      <c r="O465" s="571">
        <v>0</v>
      </c>
      <c r="P465" s="566">
        <v>0</v>
      </c>
      <c r="Q465" s="572">
        <v>0</v>
      </c>
      <c r="R465" s="569">
        <v>0</v>
      </c>
      <c r="S465" s="570">
        <v>0</v>
      </c>
      <c r="T465" s="570">
        <v>0</v>
      </c>
      <c r="U465" s="571">
        <v>0</v>
      </c>
      <c r="V465" s="170">
        <v>0</v>
      </c>
    </row>
    <row r="466" spans="1:22">
      <c r="A466" s="554"/>
      <c r="B466" s="573" t="s">
        <v>740</v>
      </c>
      <c r="C466" s="574">
        <v>4649.7614107883819</v>
      </c>
      <c r="D466" s="226">
        <v>0</v>
      </c>
      <c r="E466" s="226">
        <v>4705.8457803985348</v>
      </c>
      <c r="F466" s="226">
        <v>0</v>
      </c>
      <c r="G466" s="226">
        <v>4537.0092460249998</v>
      </c>
      <c r="H466" s="575">
        <v>4132.6394646504295</v>
      </c>
      <c r="I466" s="576">
        <v>4516.9700621603542</v>
      </c>
      <c r="J466" s="577">
        <v>3587.2243853007517</v>
      </c>
      <c r="K466" s="226">
        <v>0</v>
      </c>
      <c r="L466" s="226">
        <v>0</v>
      </c>
      <c r="M466" s="226">
        <v>3601.8818819061612</v>
      </c>
      <c r="N466" s="226">
        <v>3598.3693647016216</v>
      </c>
      <c r="O466" s="578">
        <v>0</v>
      </c>
      <c r="P466" s="574">
        <v>0</v>
      </c>
      <c r="Q466" s="579">
        <v>0</v>
      </c>
      <c r="R466" s="577">
        <v>0</v>
      </c>
      <c r="S466" s="226">
        <v>0</v>
      </c>
      <c r="T466" s="226">
        <v>0</v>
      </c>
      <c r="U466" s="578">
        <v>0</v>
      </c>
      <c r="V466" s="170">
        <v>0</v>
      </c>
    </row>
    <row r="467" spans="1:22">
      <c r="A467" s="580"/>
      <c r="B467" s="581" t="s">
        <v>569</v>
      </c>
      <c r="C467" s="582">
        <v>-19.786340314019313</v>
      </c>
      <c r="D467" s="584">
        <v>0</v>
      </c>
      <c r="E467" s="584">
        <v>0.72892932203020144</v>
      </c>
      <c r="F467" s="584">
        <v>0</v>
      </c>
      <c r="G467" s="584">
        <v>0.96351962865380036</v>
      </c>
      <c r="H467" s="585">
        <v>1.4710143575594463</v>
      </c>
      <c r="I467" s="586">
        <v>-9.0552342849735528</v>
      </c>
      <c r="J467" s="587">
        <v>-0.48509439778198898</v>
      </c>
      <c r="K467" s="584">
        <v>0</v>
      </c>
      <c r="L467" s="584">
        <v>0</v>
      </c>
      <c r="M467" s="584">
        <v>1.4164934981589863</v>
      </c>
      <c r="N467" s="584">
        <v>0.9590283406982566</v>
      </c>
      <c r="O467" s="588">
        <v>0</v>
      </c>
      <c r="P467" s="582">
        <v>0</v>
      </c>
      <c r="Q467" s="589">
        <v>0</v>
      </c>
      <c r="R467" s="587">
        <v>0</v>
      </c>
      <c r="S467" s="584">
        <v>0</v>
      </c>
      <c r="T467" s="584">
        <v>0</v>
      </c>
      <c r="U467" s="588">
        <v>0</v>
      </c>
      <c r="V467" s="170">
        <v>0</v>
      </c>
    </row>
    <row r="468" spans="1:22">
      <c r="A468" s="554"/>
      <c r="B468" s="556" t="s">
        <v>742</v>
      </c>
      <c r="C468" s="566">
        <v>0</v>
      </c>
      <c r="D468" s="94">
        <v>0</v>
      </c>
      <c r="E468" s="94">
        <v>0</v>
      </c>
      <c r="F468" s="94">
        <v>0</v>
      </c>
      <c r="G468" s="95">
        <v>0</v>
      </c>
      <c r="H468" s="567">
        <v>0</v>
      </c>
      <c r="I468" s="568">
        <v>0</v>
      </c>
      <c r="J468" s="569">
        <v>0</v>
      </c>
      <c r="K468" s="94">
        <v>0</v>
      </c>
      <c r="L468" s="94">
        <v>0</v>
      </c>
      <c r="M468" s="94">
        <v>0</v>
      </c>
      <c r="N468" s="570">
        <v>0</v>
      </c>
      <c r="O468" s="571">
        <v>0</v>
      </c>
      <c r="P468" s="566">
        <v>0</v>
      </c>
      <c r="Q468" s="572">
        <v>0</v>
      </c>
      <c r="R468" s="569">
        <v>0</v>
      </c>
      <c r="S468" s="570">
        <v>0</v>
      </c>
      <c r="T468" s="570">
        <v>0</v>
      </c>
      <c r="U468" s="571">
        <v>0</v>
      </c>
      <c r="V468" s="170">
        <v>0</v>
      </c>
    </row>
    <row r="469" spans="1:22">
      <c r="A469" s="554"/>
      <c r="B469" s="573" t="s">
        <v>567</v>
      </c>
      <c r="C469" s="574">
        <v>0</v>
      </c>
      <c r="D469" s="226">
        <v>0</v>
      </c>
      <c r="E469" s="226">
        <v>0</v>
      </c>
      <c r="F469" s="226">
        <v>0</v>
      </c>
      <c r="G469" s="226">
        <v>0</v>
      </c>
      <c r="H469" s="575">
        <v>0</v>
      </c>
      <c r="I469" s="576">
        <v>0</v>
      </c>
      <c r="J469" s="577">
        <v>0</v>
      </c>
      <c r="K469" s="226">
        <v>0</v>
      </c>
      <c r="L469" s="226">
        <v>0</v>
      </c>
      <c r="M469" s="226">
        <v>0</v>
      </c>
      <c r="N469" s="226">
        <v>0</v>
      </c>
      <c r="O469" s="578">
        <v>0</v>
      </c>
      <c r="P469" s="574">
        <v>0</v>
      </c>
      <c r="Q469" s="579">
        <v>0</v>
      </c>
      <c r="R469" s="577">
        <v>0</v>
      </c>
      <c r="S469" s="226">
        <v>0</v>
      </c>
      <c r="T469" s="226">
        <v>0</v>
      </c>
      <c r="U469" s="578">
        <v>0</v>
      </c>
      <c r="V469" s="170">
        <v>0</v>
      </c>
    </row>
    <row r="470" spans="1:22">
      <c r="A470" s="580"/>
      <c r="B470" s="581" t="s">
        <v>37</v>
      </c>
      <c r="C470" s="582">
        <v>0</v>
      </c>
      <c r="D470" s="584">
        <v>0</v>
      </c>
      <c r="E470" s="584">
        <v>0</v>
      </c>
      <c r="F470" s="584">
        <v>0</v>
      </c>
      <c r="G470" s="584">
        <v>0</v>
      </c>
      <c r="H470" s="585">
        <v>0</v>
      </c>
      <c r="I470" s="586">
        <v>0</v>
      </c>
      <c r="J470" s="587">
        <v>0</v>
      </c>
      <c r="K470" s="584">
        <v>0</v>
      </c>
      <c r="L470" s="584">
        <v>0</v>
      </c>
      <c r="M470" s="584">
        <v>0</v>
      </c>
      <c r="N470" s="584">
        <v>0</v>
      </c>
      <c r="O470" s="588">
        <v>0</v>
      </c>
      <c r="P470" s="582">
        <v>0</v>
      </c>
      <c r="Q470" s="589">
        <v>0</v>
      </c>
      <c r="R470" s="587">
        <v>0</v>
      </c>
      <c r="S470" s="584">
        <v>0</v>
      </c>
      <c r="T470" s="584">
        <v>0</v>
      </c>
      <c r="U470" s="588">
        <v>0</v>
      </c>
      <c r="V470" s="170">
        <v>0</v>
      </c>
    </row>
    <row r="471" spans="1:22">
      <c r="A471" s="554"/>
      <c r="B471" s="556" t="s">
        <v>571</v>
      </c>
      <c r="C471" s="566">
        <v>62.571621964097147</v>
      </c>
      <c r="D471" s="94">
        <v>0</v>
      </c>
      <c r="E471" s="94">
        <v>63.815522814498941</v>
      </c>
      <c r="F471" s="94">
        <v>0</v>
      </c>
      <c r="G471" s="95">
        <v>63.516891780821922</v>
      </c>
      <c r="H471" s="567">
        <v>63.8019392982456</v>
      </c>
      <c r="I471" s="568">
        <v>63.256735733099212</v>
      </c>
      <c r="J471" s="569">
        <v>63.888845669291335</v>
      </c>
      <c r="K471" s="94">
        <v>0</v>
      </c>
      <c r="L471" s="94">
        <v>0</v>
      </c>
      <c r="M471" s="94">
        <v>62.631598039215682</v>
      </c>
      <c r="N471" s="570">
        <v>62.930047476635515</v>
      </c>
      <c r="O471" s="571">
        <v>0</v>
      </c>
      <c r="P471" s="566">
        <v>0</v>
      </c>
      <c r="Q471" s="572">
        <v>0</v>
      </c>
      <c r="R471" s="569">
        <v>0</v>
      </c>
      <c r="S471" s="570">
        <v>0</v>
      </c>
      <c r="T471" s="570">
        <v>0</v>
      </c>
      <c r="U471" s="571">
        <v>0</v>
      </c>
      <c r="V471" s="170">
        <v>0</v>
      </c>
    </row>
    <row r="472" spans="1:22">
      <c r="A472" s="554"/>
      <c r="B472" s="573" t="s">
        <v>573</v>
      </c>
      <c r="C472" s="574">
        <v>62.434806348547717</v>
      </c>
      <c r="D472" s="226">
        <v>0</v>
      </c>
      <c r="E472" s="226">
        <v>63.778263213389117</v>
      </c>
      <c r="F472" s="226">
        <v>0</v>
      </c>
      <c r="G472" s="226">
        <v>63.585767250000004</v>
      </c>
      <c r="H472" s="575">
        <v>63.817065262435669</v>
      </c>
      <c r="I472" s="576">
        <v>63.204156140077828</v>
      </c>
      <c r="J472" s="577">
        <v>63.823410947368416</v>
      </c>
      <c r="K472" s="226">
        <v>0</v>
      </c>
      <c r="L472" s="226">
        <v>0</v>
      </c>
      <c r="M472" s="226">
        <v>62.524482824644544</v>
      </c>
      <c r="N472" s="226">
        <v>62.835757491891897</v>
      </c>
      <c r="O472" s="578">
        <v>0</v>
      </c>
      <c r="P472" s="574">
        <v>0</v>
      </c>
      <c r="Q472" s="579">
        <v>0</v>
      </c>
      <c r="R472" s="577">
        <v>0</v>
      </c>
      <c r="S472" s="226">
        <v>0</v>
      </c>
      <c r="T472" s="226">
        <v>0</v>
      </c>
      <c r="U472" s="578">
        <v>0</v>
      </c>
      <c r="V472" s="170">
        <v>0</v>
      </c>
    </row>
    <row r="473" spans="1:22">
      <c r="A473" s="580"/>
      <c r="B473" s="581" t="s">
        <v>39</v>
      </c>
      <c r="C473" s="582">
        <v>-0.21865441753760773</v>
      </c>
      <c r="D473" s="584">
        <v>0</v>
      </c>
      <c r="E473" s="584">
        <v>-5.8386423030852973E-2</v>
      </c>
      <c r="F473" s="584">
        <v>0</v>
      </c>
      <c r="G473" s="584">
        <v>0.1084364603604195</v>
      </c>
      <c r="H473" s="585">
        <v>2.3707687190137376E-2</v>
      </c>
      <c r="I473" s="586">
        <v>-8.312093947312589E-2</v>
      </c>
      <c r="J473" s="587">
        <v>-0.10241963403381873</v>
      </c>
      <c r="K473" s="584">
        <v>0</v>
      </c>
      <c r="L473" s="584">
        <v>0</v>
      </c>
      <c r="M473" s="584">
        <v>-0.17102424003946015</v>
      </c>
      <c r="N473" s="584">
        <v>-0.14983301065937663</v>
      </c>
      <c r="O473" s="588">
        <v>0</v>
      </c>
      <c r="P473" s="582">
        <v>0</v>
      </c>
      <c r="Q473" s="589">
        <v>0</v>
      </c>
      <c r="R473" s="587">
        <v>0</v>
      </c>
      <c r="S473" s="584">
        <v>0</v>
      </c>
      <c r="T473" s="584">
        <v>0</v>
      </c>
      <c r="U473" s="588">
        <v>0</v>
      </c>
      <c r="V473" s="170">
        <v>0</v>
      </c>
    </row>
    <row r="474" spans="1:22">
      <c r="A474" s="554"/>
      <c r="B474" s="556" t="s">
        <v>575</v>
      </c>
      <c r="C474" s="566">
        <v>431.91212903907075</v>
      </c>
      <c r="D474" s="94">
        <v>0</v>
      </c>
      <c r="E474" s="94">
        <v>348.0943147121535</v>
      </c>
      <c r="F474" s="94">
        <v>0</v>
      </c>
      <c r="G474" s="95">
        <v>334.82875205479451</v>
      </c>
      <c r="H474" s="567">
        <v>303.45603087719297</v>
      </c>
      <c r="I474" s="568">
        <v>370.06889947322213</v>
      </c>
      <c r="J474" s="569">
        <v>268.5908582677165</v>
      </c>
      <c r="K474" s="94">
        <v>0</v>
      </c>
      <c r="L474" s="94">
        <v>0</v>
      </c>
      <c r="M474" s="94">
        <v>264.62677794117644</v>
      </c>
      <c r="N474" s="570">
        <v>265.56778392523364</v>
      </c>
      <c r="O474" s="571">
        <v>0</v>
      </c>
      <c r="P474" s="566">
        <v>0</v>
      </c>
      <c r="Q474" s="572">
        <v>0</v>
      </c>
      <c r="R474" s="569">
        <v>0</v>
      </c>
      <c r="S474" s="570">
        <v>0</v>
      </c>
      <c r="T474" s="570">
        <v>0</v>
      </c>
      <c r="U474" s="571">
        <v>0</v>
      </c>
      <c r="V474" s="170">
        <v>0</v>
      </c>
    </row>
    <row r="475" spans="1:22">
      <c r="A475" s="554"/>
      <c r="B475" s="573" t="s">
        <v>577</v>
      </c>
      <c r="C475" s="574">
        <v>346.45228215767634</v>
      </c>
      <c r="D475" s="226">
        <v>0</v>
      </c>
      <c r="E475" s="226">
        <v>350.63164638263595</v>
      </c>
      <c r="F475" s="226">
        <v>0</v>
      </c>
      <c r="G475" s="226">
        <v>338.05166931166661</v>
      </c>
      <c r="H475" s="575">
        <v>307.92215618963979</v>
      </c>
      <c r="I475" s="576">
        <v>336.55833324306963</v>
      </c>
      <c r="J475" s="577">
        <v>267.28338557142848</v>
      </c>
      <c r="K475" s="226">
        <v>0</v>
      </c>
      <c r="L475" s="226">
        <v>0</v>
      </c>
      <c r="M475" s="226">
        <v>268.37551276947869</v>
      </c>
      <c r="N475" s="226">
        <v>268.11379580129727</v>
      </c>
      <c r="O475" s="578">
        <v>0</v>
      </c>
      <c r="P475" s="574">
        <v>0</v>
      </c>
      <c r="Q475" s="579">
        <v>0</v>
      </c>
      <c r="R475" s="577">
        <v>0</v>
      </c>
      <c r="S475" s="226">
        <v>0</v>
      </c>
      <c r="T475" s="226">
        <v>0</v>
      </c>
      <c r="U475" s="578">
        <v>0</v>
      </c>
      <c r="V475" s="170">
        <v>0</v>
      </c>
    </row>
    <row r="476" spans="1:22">
      <c r="A476" s="580"/>
      <c r="B476" s="581" t="s">
        <v>501</v>
      </c>
      <c r="C476" s="582">
        <v>-19.786396615331846</v>
      </c>
      <c r="D476" s="584">
        <v>0</v>
      </c>
      <c r="E476" s="584">
        <v>0.72892074453460043</v>
      </c>
      <c r="F476" s="584">
        <v>0</v>
      </c>
      <c r="G476" s="584">
        <v>0.962556900234386</v>
      </c>
      <c r="H476" s="585">
        <v>1.471753683568819</v>
      </c>
      <c r="I476" s="586">
        <v>-9.055223575354054</v>
      </c>
      <c r="J476" s="587">
        <v>-0.48678972349267374</v>
      </c>
      <c r="K476" s="584">
        <v>0</v>
      </c>
      <c r="L476" s="584">
        <v>0</v>
      </c>
      <c r="M476" s="584">
        <v>1.4166120516856946</v>
      </c>
      <c r="N476" s="584">
        <v>0.95870509533657122</v>
      </c>
      <c r="O476" s="588">
        <v>0</v>
      </c>
      <c r="P476" s="582">
        <v>0</v>
      </c>
      <c r="Q476" s="589">
        <v>0</v>
      </c>
      <c r="R476" s="587">
        <v>0</v>
      </c>
      <c r="S476" s="584">
        <v>0</v>
      </c>
      <c r="T476" s="584">
        <v>0</v>
      </c>
      <c r="U476" s="588">
        <v>0</v>
      </c>
      <c r="V476" s="170">
        <v>0</v>
      </c>
    </row>
    <row r="477" spans="1:22">
      <c r="A477" s="554"/>
      <c r="B477" s="556" t="s">
        <v>579</v>
      </c>
      <c r="C477" s="566">
        <v>0</v>
      </c>
      <c r="D477" s="94">
        <v>0</v>
      </c>
      <c r="E477" s="94">
        <v>0</v>
      </c>
      <c r="F477" s="94">
        <v>0</v>
      </c>
      <c r="G477" s="95">
        <v>0</v>
      </c>
      <c r="H477" s="567">
        <v>0</v>
      </c>
      <c r="I477" s="568">
        <v>0</v>
      </c>
      <c r="J477" s="569">
        <v>0</v>
      </c>
      <c r="K477" s="94">
        <v>0</v>
      </c>
      <c r="L477" s="94">
        <v>0</v>
      </c>
      <c r="M477" s="94">
        <v>0</v>
      </c>
      <c r="N477" s="570">
        <v>0</v>
      </c>
      <c r="O477" s="571">
        <v>0</v>
      </c>
      <c r="P477" s="566">
        <v>0</v>
      </c>
      <c r="Q477" s="572">
        <v>0</v>
      </c>
      <c r="R477" s="569">
        <v>0</v>
      </c>
      <c r="S477" s="570">
        <v>0</v>
      </c>
      <c r="T477" s="570">
        <v>0</v>
      </c>
      <c r="U477" s="571">
        <v>0</v>
      </c>
      <c r="V477" s="170">
        <v>0</v>
      </c>
    </row>
    <row r="478" spans="1:22">
      <c r="A478" s="554"/>
      <c r="B478" s="573" t="s">
        <v>581</v>
      </c>
      <c r="C478" s="574">
        <v>0</v>
      </c>
      <c r="D478" s="226">
        <v>0</v>
      </c>
      <c r="E478" s="226">
        <v>0</v>
      </c>
      <c r="F478" s="226">
        <v>0</v>
      </c>
      <c r="G478" s="226">
        <v>0</v>
      </c>
      <c r="H478" s="575">
        <v>0</v>
      </c>
      <c r="I478" s="576">
        <v>0</v>
      </c>
      <c r="J478" s="577">
        <v>0</v>
      </c>
      <c r="K478" s="226">
        <v>0</v>
      </c>
      <c r="L478" s="226">
        <v>0</v>
      </c>
      <c r="M478" s="226">
        <v>0</v>
      </c>
      <c r="N478" s="226">
        <v>0</v>
      </c>
      <c r="O478" s="578">
        <v>0</v>
      </c>
      <c r="P478" s="574">
        <v>0</v>
      </c>
      <c r="Q478" s="579">
        <v>0</v>
      </c>
      <c r="R478" s="577">
        <v>0</v>
      </c>
      <c r="S478" s="226">
        <v>0</v>
      </c>
      <c r="T478" s="226">
        <v>0</v>
      </c>
      <c r="U478" s="578">
        <v>0</v>
      </c>
      <c r="V478" s="170">
        <v>0</v>
      </c>
    </row>
    <row r="479" spans="1:22">
      <c r="A479" s="580"/>
      <c r="B479" s="581" t="s">
        <v>503</v>
      </c>
      <c r="C479" s="582">
        <v>0</v>
      </c>
      <c r="D479" s="584">
        <v>0</v>
      </c>
      <c r="E479" s="584">
        <v>0</v>
      </c>
      <c r="F479" s="584">
        <v>0</v>
      </c>
      <c r="G479" s="584">
        <v>0</v>
      </c>
      <c r="H479" s="585">
        <v>0</v>
      </c>
      <c r="I479" s="586">
        <v>0</v>
      </c>
      <c r="J479" s="587">
        <v>0</v>
      </c>
      <c r="K479" s="584">
        <v>0</v>
      </c>
      <c r="L479" s="584">
        <v>0</v>
      </c>
      <c r="M479" s="584">
        <v>0</v>
      </c>
      <c r="N479" s="584">
        <v>0</v>
      </c>
      <c r="O479" s="588">
        <v>0</v>
      </c>
      <c r="P479" s="582">
        <v>0</v>
      </c>
      <c r="Q479" s="589">
        <v>0</v>
      </c>
      <c r="R479" s="587">
        <v>0</v>
      </c>
      <c r="S479" s="584">
        <v>0</v>
      </c>
      <c r="T479" s="584">
        <v>0</v>
      </c>
      <c r="U479" s="588">
        <v>0</v>
      </c>
      <c r="V479" s="170">
        <v>0</v>
      </c>
    </row>
    <row r="480" spans="1:22">
      <c r="A480" s="554"/>
      <c r="B480" s="556" t="s">
        <v>583</v>
      </c>
      <c r="C480" s="566">
        <v>0</v>
      </c>
      <c r="D480" s="94">
        <v>0</v>
      </c>
      <c r="E480" s="94">
        <v>0</v>
      </c>
      <c r="F480" s="94">
        <v>0</v>
      </c>
      <c r="G480" s="95">
        <v>0</v>
      </c>
      <c r="H480" s="567">
        <v>0</v>
      </c>
      <c r="I480" s="568">
        <v>0</v>
      </c>
      <c r="J480" s="569">
        <v>0</v>
      </c>
      <c r="K480" s="94">
        <v>0</v>
      </c>
      <c r="L480" s="94">
        <v>0</v>
      </c>
      <c r="M480" s="94">
        <v>0</v>
      </c>
      <c r="N480" s="570">
        <v>0</v>
      </c>
      <c r="O480" s="571">
        <v>0</v>
      </c>
      <c r="P480" s="566">
        <v>0</v>
      </c>
      <c r="Q480" s="572">
        <v>0</v>
      </c>
      <c r="R480" s="569">
        <v>0</v>
      </c>
      <c r="S480" s="570">
        <v>0</v>
      </c>
      <c r="T480" s="570">
        <v>0</v>
      </c>
      <c r="U480" s="571">
        <v>0</v>
      </c>
      <c r="V480" s="170">
        <v>0</v>
      </c>
    </row>
    <row r="481" spans="1:22">
      <c r="A481" s="554"/>
      <c r="B481" s="573" t="s">
        <v>585</v>
      </c>
      <c r="C481" s="574">
        <v>0</v>
      </c>
      <c r="D481" s="226">
        <v>0</v>
      </c>
      <c r="E481" s="226">
        <v>0</v>
      </c>
      <c r="F481" s="226">
        <v>0</v>
      </c>
      <c r="G481" s="226">
        <v>0</v>
      </c>
      <c r="H481" s="575">
        <v>0</v>
      </c>
      <c r="I481" s="576">
        <v>0</v>
      </c>
      <c r="J481" s="577">
        <v>0</v>
      </c>
      <c r="K481" s="226">
        <v>0</v>
      </c>
      <c r="L481" s="226">
        <v>0</v>
      </c>
      <c r="M481" s="226">
        <v>0</v>
      </c>
      <c r="N481" s="226">
        <v>0</v>
      </c>
      <c r="O481" s="578">
        <v>0</v>
      </c>
      <c r="P481" s="574">
        <v>0</v>
      </c>
      <c r="Q481" s="579">
        <v>0</v>
      </c>
      <c r="R481" s="577">
        <v>0</v>
      </c>
      <c r="S481" s="226">
        <v>0</v>
      </c>
      <c r="T481" s="226">
        <v>0</v>
      </c>
      <c r="U481" s="578">
        <v>0</v>
      </c>
      <c r="V481" s="170">
        <v>0</v>
      </c>
    </row>
    <row r="482" spans="1:22">
      <c r="A482" s="580"/>
      <c r="B482" s="581" t="s">
        <v>694</v>
      </c>
      <c r="C482" s="582">
        <v>0</v>
      </c>
      <c r="D482" s="584">
        <v>0</v>
      </c>
      <c r="E482" s="584">
        <v>0</v>
      </c>
      <c r="F482" s="584">
        <v>0</v>
      </c>
      <c r="G482" s="584">
        <v>0</v>
      </c>
      <c r="H482" s="585">
        <v>0</v>
      </c>
      <c r="I482" s="586">
        <v>0</v>
      </c>
      <c r="J482" s="587">
        <v>0</v>
      </c>
      <c r="K482" s="584">
        <v>0</v>
      </c>
      <c r="L482" s="584">
        <v>0</v>
      </c>
      <c r="M482" s="584">
        <v>0</v>
      </c>
      <c r="N482" s="584">
        <v>0</v>
      </c>
      <c r="O482" s="588">
        <v>0</v>
      </c>
      <c r="P482" s="582">
        <v>0</v>
      </c>
      <c r="Q482" s="589">
        <v>0</v>
      </c>
      <c r="R482" s="587">
        <v>0</v>
      </c>
      <c r="S482" s="584">
        <v>0</v>
      </c>
      <c r="T482" s="584">
        <v>0</v>
      </c>
      <c r="U482" s="588">
        <v>0</v>
      </c>
      <c r="V482" s="170">
        <v>0</v>
      </c>
    </row>
    <row r="483" spans="1:22">
      <c r="A483" s="554"/>
      <c r="B483" s="556" t="s">
        <v>587</v>
      </c>
      <c r="C483" s="566">
        <v>16669.319473072865</v>
      </c>
      <c r="D483" s="94">
        <v>0</v>
      </c>
      <c r="E483" s="94">
        <v>15830.969669040511</v>
      </c>
      <c r="F483" s="94">
        <v>0</v>
      </c>
      <c r="G483" s="95">
        <v>15311.172209452056</v>
      </c>
      <c r="H483" s="567">
        <v>13429.105839263157</v>
      </c>
      <c r="I483" s="568">
        <v>15511.862567743632</v>
      </c>
      <c r="J483" s="569">
        <v>11231.722940314961</v>
      </c>
      <c r="K483" s="94">
        <v>0</v>
      </c>
      <c r="L483" s="94">
        <v>0</v>
      </c>
      <c r="M483" s="94">
        <v>12611.290497670587</v>
      </c>
      <c r="N483" s="570">
        <v>12283.804367232895</v>
      </c>
      <c r="O483" s="571">
        <v>0</v>
      </c>
      <c r="P483" s="566">
        <v>0</v>
      </c>
      <c r="Q483" s="572">
        <v>0</v>
      </c>
      <c r="R483" s="569">
        <v>0</v>
      </c>
      <c r="S483" s="570">
        <v>0</v>
      </c>
      <c r="T483" s="570">
        <v>0</v>
      </c>
      <c r="U483" s="571">
        <v>0</v>
      </c>
      <c r="V483" s="170">
        <v>0</v>
      </c>
    </row>
    <row r="484" spans="1:22">
      <c r="A484" s="554"/>
      <c r="B484" s="573" t="s">
        <v>589</v>
      </c>
      <c r="C484" s="574">
        <v>15845.099937062239</v>
      </c>
      <c r="D484" s="226">
        <v>0</v>
      </c>
      <c r="E484" s="226">
        <v>15098.434516858284</v>
      </c>
      <c r="F484" s="226">
        <v>0</v>
      </c>
      <c r="G484" s="226">
        <v>14328.063925769111</v>
      </c>
      <c r="H484" s="575">
        <v>12789.242891286834</v>
      </c>
      <c r="I484" s="576">
        <v>14731.66409625075</v>
      </c>
      <c r="J484" s="577">
        <v>11628.947955652631</v>
      </c>
      <c r="K484" s="226">
        <v>0</v>
      </c>
      <c r="L484" s="226">
        <v>0</v>
      </c>
      <c r="M484" s="226">
        <v>11628.130284761821</v>
      </c>
      <c r="N484" s="226">
        <v>11628.326231119436</v>
      </c>
      <c r="O484" s="578">
        <v>0</v>
      </c>
      <c r="P484" s="574">
        <v>0</v>
      </c>
      <c r="Q484" s="579">
        <v>0</v>
      </c>
      <c r="R484" s="577">
        <v>0</v>
      </c>
      <c r="S484" s="226">
        <v>0</v>
      </c>
      <c r="T484" s="226">
        <v>0</v>
      </c>
      <c r="U484" s="578">
        <v>0</v>
      </c>
      <c r="V484" s="170">
        <v>0</v>
      </c>
    </row>
    <row r="485" spans="1:22">
      <c r="A485" s="580"/>
      <c r="B485" s="581" t="s">
        <v>696</v>
      </c>
      <c r="C485" s="582">
        <v>-4.9445302031798333</v>
      </c>
      <c r="D485" s="584">
        <v>0</v>
      </c>
      <c r="E485" s="584">
        <v>-4.6272285747271251</v>
      </c>
      <c r="F485" s="584">
        <v>0</v>
      </c>
      <c r="G485" s="584">
        <v>-6.420855766196933</v>
      </c>
      <c r="H485" s="585">
        <v>-4.7647472261744479</v>
      </c>
      <c r="I485" s="586">
        <v>-5.0296891690832615</v>
      </c>
      <c r="J485" s="587">
        <v>3.5366347393762445</v>
      </c>
      <c r="K485" s="584">
        <v>0</v>
      </c>
      <c r="L485" s="584">
        <v>0</v>
      </c>
      <c r="M485" s="584">
        <v>-7.7958731748377694</v>
      </c>
      <c r="N485" s="584">
        <v>-5.336116699008576</v>
      </c>
      <c r="O485" s="588">
        <v>0</v>
      </c>
      <c r="P485" s="582">
        <v>0</v>
      </c>
      <c r="Q485" s="589">
        <v>0</v>
      </c>
      <c r="R485" s="587">
        <v>0</v>
      </c>
      <c r="S485" s="584">
        <v>0</v>
      </c>
      <c r="T485" s="584">
        <v>0</v>
      </c>
      <c r="U485" s="588">
        <v>0</v>
      </c>
      <c r="V485" s="170">
        <v>0</v>
      </c>
    </row>
    <row r="486" spans="1:22">
      <c r="A486" s="549" t="s">
        <v>727</v>
      </c>
      <c r="B486" s="556"/>
      <c r="C486" s="566">
        <v>9013.2788782985463</v>
      </c>
      <c r="D486" s="94">
        <v>8238.3516687383944</v>
      </c>
      <c r="E486" s="94">
        <v>6606.6417968829628</v>
      </c>
      <c r="F486" s="94">
        <v>7026.2205721189657</v>
      </c>
      <c r="G486" s="95">
        <v>6613.7150961613797</v>
      </c>
      <c r="H486" s="567">
        <v>5736.769776133985</v>
      </c>
      <c r="I486" s="568">
        <v>7886.0187178130091</v>
      </c>
      <c r="J486" s="569">
        <v>5090.4443990691489</v>
      </c>
      <c r="K486" s="94">
        <v>5051.6724433107456</v>
      </c>
      <c r="L486" s="94">
        <v>5035.7324051374553</v>
      </c>
      <c r="M486" s="94">
        <v>4891.3999432075543</v>
      </c>
      <c r="N486" s="570">
        <v>5029.7616616561481</v>
      </c>
      <c r="O486" s="571">
        <v>4159.8677170982628</v>
      </c>
      <c r="P486" s="566">
        <v>3811.3810170354909</v>
      </c>
      <c r="Q486" s="572">
        <v>6375.5269705882356</v>
      </c>
      <c r="R486" s="569">
        <v>4278.5220480046519</v>
      </c>
      <c r="S486" s="570">
        <v>6016.25</v>
      </c>
      <c r="T486" s="570">
        <v>6016.25</v>
      </c>
      <c r="U486" s="571">
        <v>6424.9731944725927</v>
      </c>
      <c r="V486" s="170">
        <v>6424.9731944725927</v>
      </c>
    </row>
    <row r="487" spans="1:22">
      <c r="A487" s="554" t="s">
        <v>729</v>
      </c>
      <c r="B487" s="573"/>
      <c r="C487" s="574">
        <v>9125.2274628544328</v>
      </c>
      <c r="D487" s="226">
        <v>7975.1396112455241</v>
      </c>
      <c r="E487" s="226">
        <v>6583.9163733568239</v>
      </c>
      <c r="F487" s="226">
        <v>6968.2714726930644</v>
      </c>
      <c r="G487" s="226">
        <v>6679.9845286476184</v>
      </c>
      <c r="H487" s="575">
        <v>5834.4204506224305</v>
      </c>
      <c r="I487" s="576">
        <v>7906.7300758041547</v>
      </c>
      <c r="J487" s="577">
        <v>5799.2816474847805</v>
      </c>
      <c r="K487" s="226">
        <v>5363.868704402631</v>
      </c>
      <c r="L487" s="226">
        <v>5348.9839544683255</v>
      </c>
      <c r="M487" s="226">
        <v>5094.6485663388803</v>
      </c>
      <c r="N487" s="226">
        <v>5357.6697373049883</v>
      </c>
      <c r="O487" s="578">
        <v>4396.7528202621324</v>
      </c>
      <c r="P487" s="574">
        <v>3805.0448756615178</v>
      </c>
      <c r="Q487" s="579">
        <v>6053.0626368098156</v>
      </c>
      <c r="R487" s="577">
        <v>4381.9397335680069</v>
      </c>
      <c r="S487" s="226">
        <v>5495.03125</v>
      </c>
      <c r="T487" s="226">
        <v>5495.03125</v>
      </c>
      <c r="U487" s="578">
        <v>6402.5762124887688</v>
      </c>
      <c r="V487" s="170">
        <v>6402.5762124887688</v>
      </c>
    </row>
    <row r="488" spans="1:22">
      <c r="A488" s="580" t="s">
        <v>496</v>
      </c>
      <c r="B488" s="581"/>
      <c r="C488" s="582">
        <v>1.2420406165998861</v>
      </c>
      <c r="D488" s="584">
        <v>-3.1949602065625125</v>
      </c>
      <c r="E488" s="584">
        <v>-0.34397844207114192</v>
      </c>
      <c r="F488" s="584">
        <v>-0.8247549138416107</v>
      </c>
      <c r="G488" s="584">
        <v>1.0020001092079343</v>
      </c>
      <c r="H488" s="585">
        <v>1.7021891813523735</v>
      </c>
      <c r="I488" s="586">
        <v>0.26263389337845006</v>
      </c>
      <c r="J488" s="587">
        <v>13.924859852024928</v>
      </c>
      <c r="K488" s="584">
        <v>6.1800574877986225</v>
      </c>
      <c r="L488" s="584">
        <v>6.2205757599687157</v>
      </c>
      <c r="M488" s="584">
        <v>4.1552239745508297</v>
      </c>
      <c r="N488" s="584">
        <v>6.5193561386538939</v>
      </c>
      <c r="O488" s="588">
        <v>5.6945345206580287</v>
      </c>
      <c r="P488" s="582">
        <v>-0.16624266494619205</v>
      </c>
      <c r="Q488" s="589">
        <v>-5.0578459673376299</v>
      </c>
      <c r="R488" s="587">
        <v>2.4171357399358331</v>
      </c>
      <c r="S488" s="584">
        <v>-8.6635154789112825</v>
      </c>
      <c r="T488" s="584">
        <v>-8.6635154789112825</v>
      </c>
      <c r="U488" s="588">
        <v>-0.34859261363287969</v>
      </c>
      <c r="V488" s="170">
        <v>-0.34859261363287969</v>
      </c>
    </row>
    <row r="489" spans="1:22">
      <c r="A489" s="554" t="s">
        <v>731</v>
      </c>
      <c r="B489" s="556"/>
      <c r="C489" s="566">
        <v>7051.3971735598725</v>
      </c>
      <c r="D489" s="94">
        <v>6330.4465540753172</v>
      </c>
      <c r="E489" s="94">
        <v>5859.1199834853733</v>
      </c>
      <c r="F489" s="94">
        <v>6124.8725184167815</v>
      </c>
      <c r="G489" s="95">
        <v>5532.5692497938999</v>
      </c>
      <c r="H489" s="567">
        <v>5855.2036441586279</v>
      </c>
      <c r="I489" s="568">
        <v>6468.602573675008</v>
      </c>
      <c r="J489" s="569">
        <v>5945.5083422080224</v>
      </c>
      <c r="K489" s="94">
        <v>5592.462792016915</v>
      </c>
      <c r="L489" s="94">
        <v>5973.281964500602</v>
      </c>
      <c r="M489" s="94">
        <v>5633.716738197425</v>
      </c>
      <c r="N489" s="570">
        <v>5747.4187687204494</v>
      </c>
      <c r="O489" s="571">
        <v>8376.9480914285723</v>
      </c>
      <c r="P489" s="566">
        <v>6309.0263861236799</v>
      </c>
      <c r="Q489" s="572">
        <v>6846.4369973190351</v>
      </c>
      <c r="R489" s="569">
        <v>7587.9638524818838</v>
      </c>
      <c r="S489" s="570">
        <v>7813.875</v>
      </c>
      <c r="T489" s="570">
        <v>7813.875</v>
      </c>
      <c r="U489" s="571">
        <v>6369</v>
      </c>
      <c r="V489" s="170">
        <v>6369</v>
      </c>
    </row>
    <row r="490" spans="1:22">
      <c r="A490" s="554" t="s">
        <v>733</v>
      </c>
      <c r="B490" s="573"/>
      <c r="C490" s="574">
        <v>7235.6616821180251</v>
      </c>
      <c r="D490" s="226">
        <v>6574.3970313473119</v>
      </c>
      <c r="E490" s="226">
        <v>6272.2764324365817</v>
      </c>
      <c r="F490" s="226">
        <v>6327.5562608912123</v>
      </c>
      <c r="G490" s="226">
        <v>5860.0708518368992</v>
      </c>
      <c r="H490" s="575">
        <v>5690.1779163609681</v>
      </c>
      <c r="I490" s="576">
        <v>6718.4359919814706</v>
      </c>
      <c r="J490" s="577">
        <v>6332.9498281786946</v>
      </c>
      <c r="K490" s="226">
        <v>5763.4143325235036</v>
      </c>
      <c r="L490" s="226">
        <v>6307.6767639453274</v>
      </c>
      <c r="M490" s="226">
        <v>5848.4225548902195</v>
      </c>
      <c r="N490" s="226">
        <v>5988.4408598309765</v>
      </c>
      <c r="O490" s="578">
        <v>11343.952164948454</v>
      </c>
      <c r="P490" s="574">
        <v>6651.3388737493233</v>
      </c>
      <c r="Q490" s="579">
        <v>5889.7950138504157</v>
      </c>
      <c r="R490" s="577">
        <v>9313.6908031989497</v>
      </c>
      <c r="S490" s="226">
        <v>7821.375</v>
      </c>
      <c r="T490" s="226">
        <v>7821.375</v>
      </c>
      <c r="U490" s="578">
        <v>6369</v>
      </c>
      <c r="V490" s="170">
        <v>6369</v>
      </c>
    </row>
    <row r="491" spans="1:22">
      <c r="A491" s="580" t="s">
        <v>498</v>
      </c>
      <c r="B491" s="581"/>
      <c r="C491" s="582">
        <v>2.6131630941039061</v>
      </c>
      <c r="D491" s="584">
        <v>3.8536061427601505</v>
      </c>
      <c r="E491" s="584">
        <v>7.0515102970367396</v>
      </c>
      <c r="F491" s="584">
        <v>3.309191201367609</v>
      </c>
      <c r="G491" s="584">
        <v>5.9195210625732253</v>
      </c>
      <c r="H491" s="585">
        <v>-2.8184455712705345</v>
      </c>
      <c r="I491" s="586">
        <v>3.8622471462878059</v>
      </c>
      <c r="J491" s="587">
        <v>6.5165409527755447</v>
      </c>
      <c r="K491" s="584">
        <v>3.0568203466747623</v>
      </c>
      <c r="L491" s="584">
        <v>5.5981753654363526</v>
      </c>
      <c r="M491" s="584">
        <v>3.81108647577287</v>
      </c>
      <c r="N491" s="584">
        <v>4.1935710761543472</v>
      </c>
      <c r="O491" s="588">
        <v>35.418675645797158</v>
      </c>
      <c r="P491" s="582">
        <v>5.4257577425660939</v>
      </c>
      <c r="Q491" s="589">
        <v>-13.97284432535093</v>
      </c>
      <c r="R491" s="587">
        <v>22.742951656953561</v>
      </c>
      <c r="S491" s="584">
        <v>9.5983106973172722E-2</v>
      </c>
      <c r="T491" s="584">
        <v>9.5983106973172722E-2</v>
      </c>
      <c r="U491" s="588">
        <v>0</v>
      </c>
      <c r="V491" s="170">
        <v>0</v>
      </c>
    </row>
    <row r="492" spans="1:22">
      <c r="A492" s="554" t="s">
        <v>735</v>
      </c>
      <c r="B492" s="556"/>
      <c r="C492" s="566">
        <v>323.94234049812349</v>
      </c>
      <c r="D492" s="94">
        <v>460.18044493271077</v>
      </c>
      <c r="E492" s="94">
        <v>282.67337050918729</v>
      </c>
      <c r="F492" s="94">
        <v>237.11246943765281</v>
      </c>
      <c r="G492" s="95">
        <v>229.8838821490468</v>
      </c>
      <c r="H492" s="567">
        <v>324.25649717514125</v>
      </c>
      <c r="I492" s="568">
        <v>314.39922493137414</v>
      </c>
      <c r="J492" s="569">
        <v>1287.484555984556</v>
      </c>
      <c r="K492" s="94">
        <v>319.75243546030202</v>
      </c>
      <c r="L492" s="94">
        <v>233.6549645390071</v>
      </c>
      <c r="M492" s="94">
        <v>185.63094034378159</v>
      </c>
      <c r="N492" s="570">
        <v>329.78865938272588</v>
      </c>
      <c r="O492" s="571">
        <v>0</v>
      </c>
      <c r="P492" s="566">
        <v>0</v>
      </c>
      <c r="Q492" s="572">
        <v>0</v>
      </c>
      <c r="R492" s="569">
        <v>0</v>
      </c>
      <c r="S492" s="570">
        <v>554.24242424242425</v>
      </c>
      <c r="T492" s="570">
        <v>554.24242424242425</v>
      </c>
      <c r="U492" s="571">
        <v>0</v>
      </c>
      <c r="V492" s="170">
        <v>0</v>
      </c>
    </row>
    <row r="493" spans="1:22">
      <c r="A493" s="554" t="s">
        <v>737</v>
      </c>
      <c r="B493" s="573"/>
      <c r="C493" s="574">
        <v>310.90476190476193</v>
      </c>
      <c r="D493" s="226">
        <v>266.85432432432435</v>
      </c>
      <c r="E493" s="226">
        <v>256.92795042545322</v>
      </c>
      <c r="F493" s="226">
        <v>211.17832167832168</v>
      </c>
      <c r="G493" s="226">
        <v>382.52153846153846</v>
      </c>
      <c r="H493" s="575">
        <v>325.20549450549453</v>
      </c>
      <c r="I493" s="576">
        <v>285.46738468442476</v>
      </c>
      <c r="J493" s="577">
        <v>254.03986135181975</v>
      </c>
      <c r="K493" s="226">
        <v>309.83895502645504</v>
      </c>
      <c r="L493" s="226">
        <v>223.13695434855049</v>
      </c>
      <c r="M493" s="226">
        <v>174.41929133858267</v>
      </c>
      <c r="N493" s="226">
        <v>278.37582321088831</v>
      </c>
      <c r="O493" s="578">
        <v>0</v>
      </c>
      <c r="P493" s="574">
        <v>0</v>
      </c>
      <c r="Q493" s="579">
        <v>0</v>
      </c>
      <c r="R493" s="577">
        <v>0</v>
      </c>
      <c r="S493" s="226">
        <v>359.27272727272725</v>
      </c>
      <c r="T493" s="226">
        <v>359.27272727272725</v>
      </c>
      <c r="U493" s="578">
        <v>0</v>
      </c>
      <c r="V493" s="170">
        <v>0</v>
      </c>
    </row>
    <row r="494" spans="1:22">
      <c r="A494" s="580" t="s">
        <v>500</v>
      </c>
      <c r="B494" s="581"/>
      <c r="C494" s="582">
        <v>-4.0246602445712352</v>
      </c>
      <c r="D494" s="584">
        <v>-42.010937826064129</v>
      </c>
      <c r="E494" s="584">
        <v>-9.1078335526824272</v>
      </c>
      <c r="F494" s="584">
        <v>-10.937487944365719</v>
      </c>
      <c r="G494" s="584">
        <v>66.397719964346166</v>
      </c>
      <c r="H494" s="585">
        <v>0.29266871708686093</v>
      </c>
      <c r="I494" s="586">
        <v>-9.2022619499982881</v>
      </c>
      <c r="J494" s="587">
        <v>-80.2685119467276</v>
      </c>
      <c r="K494" s="584">
        <v>-3.1003611964912667</v>
      </c>
      <c r="L494" s="584">
        <v>-4.501513679030217</v>
      </c>
      <c r="M494" s="584">
        <v>-6.0397523087667198</v>
      </c>
      <c r="N494" s="584">
        <v>-15.589631331795436</v>
      </c>
      <c r="O494" s="588">
        <v>0</v>
      </c>
      <c r="P494" s="582">
        <v>0</v>
      </c>
      <c r="Q494" s="589">
        <v>0</v>
      </c>
      <c r="R494" s="587">
        <v>0</v>
      </c>
      <c r="S494" s="584">
        <v>-35.17769272826682</v>
      </c>
      <c r="T494" s="584">
        <v>-35.17769272826682</v>
      </c>
      <c r="U494" s="588">
        <v>0</v>
      </c>
      <c r="V494" s="170">
        <v>0</v>
      </c>
    </row>
    <row r="495" spans="1:22">
      <c r="A495" s="554" t="s">
        <v>739</v>
      </c>
      <c r="B495" s="556"/>
      <c r="C495" s="566">
        <v>5688.1465618936081</v>
      </c>
      <c r="D495" s="94">
        <v>4853.4596143562921</v>
      </c>
      <c r="E495" s="94">
        <v>4578.3998103810218</v>
      </c>
      <c r="F495" s="94">
        <v>4236.5132827732778</v>
      </c>
      <c r="G495" s="95">
        <v>4328.7908899920258</v>
      </c>
      <c r="H495" s="567">
        <v>4269.6322164402645</v>
      </c>
      <c r="I495" s="568">
        <v>5075.4128610208627</v>
      </c>
      <c r="J495" s="569">
        <v>3880.1088117605877</v>
      </c>
      <c r="K495" s="94">
        <v>3556.7401280979743</v>
      </c>
      <c r="L495" s="94">
        <v>3538.5216364659013</v>
      </c>
      <c r="M495" s="94">
        <v>3373.9594446949868</v>
      </c>
      <c r="N495" s="570">
        <v>3551.0017058276535</v>
      </c>
      <c r="O495" s="571">
        <v>1442.2762158404955</v>
      </c>
      <c r="P495" s="566">
        <v>2768.3813092264031</v>
      </c>
      <c r="Q495" s="572">
        <v>594.48366499999997</v>
      </c>
      <c r="R495" s="569">
        <v>1754.8314126121409</v>
      </c>
      <c r="S495" s="570">
        <v>4240.030303030303</v>
      </c>
      <c r="T495" s="570">
        <v>4240.030303030303</v>
      </c>
      <c r="U495" s="571">
        <v>4375.3955084292957</v>
      </c>
      <c r="V495" s="170">
        <v>4375.3955084292957</v>
      </c>
    </row>
    <row r="496" spans="1:22">
      <c r="A496" s="554" t="s">
        <v>741</v>
      </c>
      <c r="B496" s="573"/>
      <c r="C496" s="574">
        <v>5650.0439107549009</v>
      </c>
      <c r="D496" s="226">
        <v>5047.6281518574751</v>
      </c>
      <c r="E496" s="226">
        <v>4604.4871336019114</v>
      </c>
      <c r="F496" s="226">
        <v>4316.3574652283314</v>
      </c>
      <c r="G496" s="226">
        <v>4394.5608327190503</v>
      </c>
      <c r="H496" s="575">
        <v>4148.4805229197418</v>
      </c>
      <c r="I496" s="576">
        <v>5090.1992677089884</v>
      </c>
      <c r="J496" s="577">
        <v>4124.3302895914594</v>
      </c>
      <c r="K496" s="226">
        <v>3503.2766897471656</v>
      </c>
      <c r="L496" s="226">
        <v>3563.8626341742247</v>
      </c>
      <c r="M496" s="226">
        <v>3424.0809509799396</v>
      </c>
      <c r="N496" s="226">
        <v>3560.4655666498365</v>
      </c>
      <c r="O496" s="578">
        <v>1455.820048584663</v>
      </c>
      <c r="P496" s="574">
        <v>2715.8135113893118</v>
      </c>
      <c r="Q496" s="579">
        <v>530.83645047619052</v>
      </c>
      <c r="R496" s="577">
        <v>1690.7738495341678</v>
      </c>
      <c r="S496" s="226">
        <v>4164.212121212121</v>
      </c>
      <c r="T496" s="226">
        <v>4164.212121212121</v>
      </c>
      <c r="U496" s="578">
        <v>4360.1797085354892</v>
      </c>
      <c r="V496" s="170">
        <v>4360.1797085354892</v>
      </c>
    </row>
    <row r="497" spans="1:22">
      <c r="A497" s="580" t="s">
        <v>570</v>
      </c>
      <c r="B497" s="581"/>
      <c r="C497" s="582">
        <v>-0.66986057275610456</v>
      </c>
      <c r="D497" s="584">
        <v>4.0006212666701106</v>
      </c>
      <c r="E497" s="584">
        <v>0.56979128737816809</v>
      </c>
      <c r="F497" s="584">
        <v>1.8846673461339085</v>
      </c>
      <c r="G497" s="584">
        <v>1.5193605881744419</v>
      </c>
      <c r="H497" s="585">
        <v>-2.8375205961306649</v>
      </c>
      <c r="I497" s="586">
        <v>0.29133406666648121</v>
      </c>
      <c r="J497" s="587">
        <v>6.2941914693381218</v>
      </c>
      <c r="K497" s="584">
        <v>-1.5031584098161019</v>
      </c>
      <c r="L497" s="584">
        <v>0.71614646769922485</v>
      </c>
      <c r="M497" s="584">
        <v>1.4855396784262154</v>
      </c>
      <c r="N497" s="584">
        <v>0.26651242680767034</v>
      </c>
      <c r="O497" s="588">
        <v>0.9390595640013899</v>
      </c>
      <c r="P497" s="582">
        <v>-1.8988640640613521</v>
      </c>
      <c r="Q497" s="589">
        <v>-10.70630166495987</v>
      </c>
      <c r="R497" s="587">
        <v>-3.6503542515585989</v>
      </c>
      <c r="S497" s="584">
        <v>-1.7881518857069387</v>
      </c>
      <c r="T497" s="584">
        <v>-1.7881518857069387</v>
      </c>
      <c r="U497" s="588">
        <v>-0.34775827384045305</v>
      </c>
      <c r="V497" s="170">
        <v>-0.34775827384045305</v>
      </c>
    </row>
    <row r="498" spans="1:22">
      <c r="A498" s="554" t="s">
        <v>566</v>
      </c>
      <c r="B498" s="556"/>
      <c r="C498" s="566">
        <v>93.600219605613574</v>
      </c>
      <c r="D498" s="94">
        <v>129.13258758107764</v>
      </c>
      <c r="E498" s="94">
        <v>89.444149645352255</v>
      </c>
      <c r="F498" s="94">
        <v>154.83922458062307</v>
      </c>
      <c r="G498" s="95">
        <v>137.97787864858654</v>
      </c>
      <c r="H498" s="567">
        <v>153.63892944038929</v>
      </c>
      <c r="I498" s="568">
        <v>105.70518913404845</v>
      </c>
      <c r="J498" s="569">
        <v>260.68870967741935</v>
      </c>
      <c r="K498" s="94">
        <v>170.23391551584078</v>
      </c>
      <c r="L498" s="94">
        <v>146.88449583017439</v>
      </c>
      <c r="M498" s="94">
        <v>207.29606112785191</v>
      </c>
      <c r="N498" s="570">
        <v>176.28042075319493</v>
      </c>
      <c r="O498" s="571">
        <v>97.983449716113029</v>
      </c>
      <c r="P498" s="566">
        <v>52</v>
      </c>
      <c r="Q498" s="572">
        <v>0</v>
      </c>
      <c r="R498" s="569">
        <v>97.36177171183931</v>
      </c>
      <c r="S498" s="570">
        <v>0</v>
      </c>
      <c r="T498" s="570">
        <v>0</v>
      </c>
      <c r="U498" s="571">
        <v>0</v>
      </c>
      <c r="V498" s="170">
        <v>0</v>
      </c>
    </row>
    <row r="499" spans="1:22">
      <c r="A499" s="554" t="s">
        <v>568</v>
      </c>
      <c r="B499" s="573"/>
      <c r="C499" s="574">
        <v>132.28114228399485</v>
      </c>
      <c r="D499" s="226">
        <v>148.28214374533698</v>
      </c>
      <c r="E499" s="226">
        <v>98.600191223832525</v>
      </c>
      <c r="F499" s="226">
        <v>197.46461640211641</v>
      </c>
      <c r="G499" s="226">
        <v>148.13494415317984</v>
      </c>
      <c r="H499" s="575">
        <v>163.02963719979562</v>
      </c>
      <c r="I499" s="576">
        <v>132.05943351817132</v>
      </c>
      <c r="J499" s="577">
        <v>347.69742310889444</v>
      </c>
      <c r="K499" s="226">
        <v>153.67276676542079</v>
      </c>
      <c r="L499" s="226">
        <v>179.77024550562649</v>
      </c>
      <c r="M499" s="226">
        <v>190.02946878635129</v>
      </c>
      <c r="N499" s="226">
        <v>182.84528121641523</v>
      </c>
      <c r="O499" s="578">
        <v>135.55684351315202</v>
      </c>
      <c r="P499" s="574">
        <v>108.20689655172414</v>
      </c>
      <c r="Q499" s="579">
        <v>0</v>
      </c>
      <c r="R499" s="577">
        <v>135.20774647887325</v>
      </c>
      <c r="S499" s="226">
        <v>0</v>
      </c>
      <c r="T499" s="226">
        <v>0</v>
      </c>
      <c r="U499" s="578">
        <v>0</v>
      </c>
      <c r="V499" s="170">
        <v>0</v>
      </c>
    </row>
    <row r="500" spans="1:22">
      <c r="A500" s="580" t="s">
        <v>38</v>
      </c>
      <c r="B500" s="581"/>
      <c r="C500" s="582">
        <v>41.325675133417562</v>
      </c>
      <c r="D500" s="584">
        <v>14.829375390806005</v>
      </c>
      <c r="E500" s="584">
        <v>10.236601963106752</v>
      </c>
      <c r="F500" s="584">
        <v>27.528807339963635</v>
      </c>
      <c r="G500" s="584">
        <v>7.3613724200399968</v>
      </c>
      <c r="H500" s="585">
        <v>6.1121929146543863</v>
      </c>
      <c r="I500" s="586">
        <v>24.931835986502161</v>
      </c>
      <c r="J500" s="587">
        <v>33.376479380001214</v>
      </c>
      <c r="K500" s="584">
        <v>-9.7284660933966016</v>
      </c>
      <c r="L500" s="584">
        <v>22.38885015711536</v>
      </c>
      <c r="M500" s="584">
        <v>-8.3294358067186263</v>
      </c>
      <c r="N500" s="584">
        <v>3.7241007453752162</v>
      </c>
      <c r="O500" s="588">
        <v>38.346673755517081</v>
      </c>
      <c r="P500" s="582">
        <v>108.09018567639259</v>
      </c>
      <c r="Q500" s="589">
        <v>0</v>
      </c>
      <c r="R500" s="587">
        <v>38.871493504705626</v>
      </c>
      <c r="S500" s="584">
        <v>0</v>
      </c>
      <c r="T500" s="584">
        <v>0</v>
      </c>
      <c r="U500" s="588">
        <v>0</v>
      </c>
      <c r="V500" s="170">
        <v>0</v>
      </c>
    </row>
    <row r="501" spans="1:22">
      <c r="A501" s="554" t="s">
        <v>572</v>
      </c>
      <c r="B501" s="556"/>
      <c r="C501" s="566">
        <v>200.46157656360856</v>
      </c>
      <c r="D501" s="94">
        <v>275.79240359775935</v>
      </c>
      <c r="E501" s="94">
        <v>207.72924320987653</v>
      </c>
      <c r="F501" s="94">
        <v>203.18735662319838</v>
      </c>
      <c r="G501" s="95">
        <v>288.39450943060501</v>
      </c>
      <c r="H501" s="567">
        <v>149.52413132673269</v>
      </c>
      <c r="I501" s="568">
        <v>213.02479815316747</v>
      </c>
      <c r="J501" s="569">
        <v>230.97046043313856</v>
      </c>
      <c r="K501" s="94">
        <v>152.8231090539756</v>
      </c>
      <c r="L501" s="94">
        <v>133.91801649506422</v>
      </c>
      <c r="M501" s="94">
        <v>139.97592414515006</v>
      </c>
      <c r="N501" s="570">
        <v>153.20569513353482</v>
      </c>
      <c r="O501" s="571">
        <v>58.352238888888891</v>
      </c>
      <c r="P501" s="566">
        <v>202.214</v>
      </c>
      <c r="Q501" s="572">
        <v>227.09548729281772</v>
      </c>
      <c r="R501" s="569">
        <v>145.77186860158312</v>
      </c>
      <c r="S501" s="570">
        <v>437.84848484848487</v>
      </c>
      <c r="T501" s="570">
        <v>437.84848484848487</v>
      </c>
      <c r="U501" s="571">
        <v>469.15139778903733</v>
      </c>
      <c r="V501" s="170">
        <v>469.15139778903733</v>
      </c>
    </row>
    <row r="502" spans="1:22">
      <c r="A502" s="554" t="s">
        <v>574</v>
      </c>
      <c r="B502" s="573"/>
      <c r="C502" s="574">
        <v>197.56224450471552</v>
      </c>
      <c r="D502" s="226">
        <v>201.62439509788319</v>
      </c>
      <c r="E502" s="226">
        <v>213.64323906867347</v>
      </c>
      <c r="F502" s="226">
        <v>228.49044990831806</v>
      </c>
      <c r="G502" s="226">
        <v>273.22659718719859</v>
      </c>
      <c r="H502" s="575">
        <v>148.61805665948791</v>
      </c>
      <c r="I502" s="576">
        <v>207.89201858139805</v>
      </c>
      <c r="J502" s="577">
        <v>227.37747959145528</v>
      </c>
      <c r="K502" s="226">
        <v>151.75416123203331</v>
      </c>
      <c r="L502" s="226">
        <v>211.87067521908986</v>
      </c>
      <c r="M502" s="226">
        <v>132.62515267357168</v>
      </c>
      <c r="N502" s="226">
        <v>173.6946745241822</v>
      </c>
      <c r="O502" s="578">
        <v>53.496596875000002</v>
      </c>
      <c r="P502" s="574">
        <v>1440.9314347826089</v>
      </c>
      <c r="Q502" s="579">
        <v>242.63261666666668</v>
      </c>
      <c r="R502" s="577">
        <v>221.7418219570406</v>
      </c>
      <c r="S502" s="226">
        <v>555.24242424242425</v>
      </c>
      <c r="T502" s="226">
        <v>555.24242424242425</v>
      </c>
      <c r="U502" s="578">
        <v>467.51220880503143</v>
      </c>
      <c r="V502" s="170">
        <v>467.51220880503143</v>
      </c>
    </row>
    <row r="503" spans="1:22">
      <c r="A503" s="580" t="s">
        <v>40</v>
      </c>
      <c r="B503" s="581"/>
      <c r="C503" s="582">
        <v>-1.4463280737358908</v>
      </c>
      <c r="D503" s="584">
        <v>-26.892694480464918</v>
      </c>
      <c r="E503" s="584">
        <v>2.8469731884700549</v>
      </c>
      <c r="F503" s="584">
        <v>12.453084535197284</v>
      </c>
      <c r="G503" s="584">
        <v>-5.2594316976954101</v>
      </c>
      <c r="H503" s="585">
        <v>-0.60597219940697822</v>
      </c>
      <c r="I503" s="586">
        <v>-2.4094751485594119</v>
      </c>
      <c r="J503" s="587">
        <v>-1.5556018873345794</v>
      </c>
      <c r="K503" s="584">
        <v>-0.69946739636395328</v>
      </c>
      <c r="L503" s="584">
        <v>58.20923932733033</v>
      </c>
      <c r="M503" s="584">
        <v>-5.2514541457543045</v>
      </c>
      <c r="N503" s="584">
        <v>13.373510281578692</v>
      </c>
      <c r="O503" s="588">
        <v>-8.3212608570765116</v>
      </c>
      <c r="P503" s="582">
        <v>612.57748463637972</v>
      </c>
      <c r="Q503" s="589">
        <v>6.8416724431936098</v>
      </c>
      <c r="R503" s="587">
        <v>52.115647610373308</v>
      </c>
      <c r="S503" s="584">
        <v>26.811544051491449</v>
      </c>
      <c r="T503" s="584">
        <v>26.811544051491449</v>
      </c>
      <c r="U503" s="588">
        <v>-0.34939445810688813</v>
      </c>
      <c r="V503" s="170">
        <v>-0.34939445810688813</v>
      </c>
    </row>
    <row r="504" spans="1:22">
      <c r="A504" s="554" t="s">
        <v>576</v>
      </c>
      <c r="B504" s="556"/>
      <c r="C504" s="566">
        <v>344.64356946212121</v>
      </c>
      <c r="D504" s="94">
        <v>395.37130377151215</v>
      </c>
      <c r="E504" s="94">
        <v>343.15770999733121</v>
      </c>
      <c r="F504" s="94">
        <v>493.58713861490031</v>
      </c>
      <c r="G504" s="95">
        <v>408.53370166249147</v>
      </c>
      <c r="H504" s="567">
        <v>394.85951418211118</v>
      </c>
      <c r="I504" s="568">
        <v>365.57337770636479</v>
      </c>
      <c r="J504" s="569">
        <v>360.02919278557113</v>
      </c>
      <c r="K504" s="94">
        <v>286.25278414661074</v>
      </c>
      <c r="L504" s="94">
        <v>291.98313496784567</v>
      </c>
      <c r="M504" s="94">
        <v>284.38897325676783</v>
      </c>
      <c r="N504" s="570">
        <v>294.80802995689652</v>
      </c>
      <c r="O504" s="571">
        <v>234.54931822228028</v>
      </c>
      <c r="P504" s="566">
        <v>140.12420000000003</v>
      </c>
      <c r="Q504" s="572">
        <v>0</v>
      </c>
      <c r="R504" s="569">
        <v>233.27272807055948</v>
      </c>
      <c r="S504" s="570">
        <v>0</v>
      </c>
      <c r="T504" s="570">
        <v>0</v>
      </c>
      <c r="U504" s="571">
        <v>0</v>
      </c>
      <c r="V504" s="170">
        <v>0</v>
      </c>
    </row>
    <row r="505" spans="1:22">
      <c r="A505" s="554" t="s">
        <v>578</v>
      </c>
      <c r="B505" s="573"/>
      <c r="C505" s="574">
        <v>362.54136845007861</v>
      </c>
      <c r="D505" s="226">
        <v>329.0217964620187</v>
      </c>
      <c r="E505" s="226">
        <v>352.20874374880555</v>
      </c>
      <c r="F505" s="226">
        <v>333.68879993287464</v>
      </c>
      <c r="G505" s="226">
        <v>408.0389024155487</v>
      </c>
      <c r="H505" s="575">
        <v>406.61315002305514</v>
      </c>
      <c r="I505" s="576">
        <v>358.32460109894203</v>
      </c>
      <c r="J505" s="577">
        <v>478.27686958985277</v>
      </c>
      <c r="K505" s="226">
        <v>274.83326806886527</v>
      </c>
      <c r="L505" s="226">
        <v>297.11173521351606</v>
      </c>
      <c r="M505" s="226">
        <v>259.53391433396411</v>
      </c>
      <c r="N505" s="226">
        <v>298.64476492594429</v>
      </c>
      <c r="O505" s="578">
        <v>265.6262542780749</v>
      </c>
      <c r="P505" s="574">
        <v>34.618324137931033</v>
      </c>
      <c r="Q505" s="579">
        <v>129.2756</v>
      </c>
      <c r="R505" s="577">
        <v>261.86231062527332</v>
      </c>
      <c r="S505" s="226">
        <v>0</v>
      </c>
      <c r="T505" s="226">
        <v>0</v>
      </c>
      <c r="U505" s="578">
        <v>0</v>
      </c>
      <c r="V505" s="170">
        <v>0</v>
      </c>
    </row>
    <row r="506" spans="1:22">
      <c r="A506" s="580" t="s">
        <v>502</v>
      </c>
      <c r="B506" s="581"/>
      <c r="C506" s="582">
        <v>5.1931330144619157</v>
      </c>
      <c r="D506" s="584">
        <v>-16.781568787763437</v>
      </c>
      <c r="E506" s="584">
        <v>2.6375726051863229</v>
      </c>
      <c r="F506" s="584">
        <v>-32.39515906567803</v>
      </c>
      <c r="G506" s="584">
        <v>-0.1211158944609026</v>
      </c>
      <c r="H506" s="585">
        <v>2.9766626911066707</v>
      </c>
      <c r="I506" s="586">
        <v>-1.9828513369606247</v>
      </c>
      <c r="J506" s="587">
        <v>32.843913541952269</v>
      </c>
      <c r="K506" s="584">
        <v>-3.9893117936965496</v>
      </c>
      <c r="L506" s="584">
        <v>1.7564713955945319</v>
      </c>
      <c r="M506" s="584">
        <v>-8.7398110546159238</v>
      </c>
      <c r="N506" s="584">
        <v>1.3014350286214158</v>
      </c>
      <c r="O506" s="588">
        <v>13.24963819606727</v>
      </c>
      <c r="P506" s="582">
        <v>-75.294542885575055</v>
      </c>
      <c r="Q506" s="589">
        <v>0</v>
      </c>
      <c r="R506" s="587">
        <v>12.2558615364871</v>
      </c>
      <c r="S506" s="584">
        <v>0</v>
      </c>
      <c r="T506" s="584">
        <v>0</v>
      </c>
      <c r="U506" s="588">
        <v>0</v>
      </c>
      <c r="V506" s="170">
        <v>0</v>
      </c>
    </row>
    <row r="507" spans="1:22">
      <c r="A507" s="554" t="s">
        <v>580</v>
      </c>
      <c r="B507" s="556"/>
      <c r="C507" s="566">
        <v>4692.3065502183408</v>
      </c>
      <c r="D507" s="94">
        <v>315.46521739130435</v>
      </c>
      <c r="E507" s="94">
        <v>1701.1609467455621</v>
      </c>
      <c r="F507" s="94">
        <v>1254.8928571428571</v>
      </c>
      <c r="G507" s="95">
        <v>2455.4942528735633</v>
      </c>
      <c r="H507" s="567">
        <v>917.71951219512198</v>
      </c>
      <c r="I507" s="568">
        <v>2389.8520217952396</v>
      </c>
      <c r="J507" s="569">
        <v>209.22077922077921</v>
      </c>
      <c r="K507" s="94">
        <v>369.07142857142856</v>
      </c>
      <c r="L507" s="94">
        <v>1001.8362499999999</v>
      </c>
      <c r="M507" s="94">
        <v>772.51821862348174</v>
      </c>
      <c r="N507" s="570">
        <v>570.22468588322249</v>
      </c>
      <c r="O507" s="571">
        <v>594.1875</v>
      </c>
      <c r="P507" s="566">
        <v>994</v>
      </c>
      <c r="Q507" s="572">
        <v>0</v>
      </c>
      <c r="R507" s="569">
        <v>617.70588235294122</v>
      </c>
      <c r="S507" s="570">
        <v>0</v>
      </c>
      <c r="T507" s="570">
        <v>0</v>
      </c>
      <c r="U507" s="571">
        <v>0</v>
      </c>
      <c r="V507" s="170">
        <v>0</v>
      </c>
    </row>
    <row r="508" spans="1:22">
      <c r="A508" s="554" t="s">
        <v>582</v>
      </c>
      <c r="B508" s="573"/>
      <c r="C508" s="574">
        <v>5190.8327841845139</v>
      </c>
      <c r="D508" s="226">
        <v>377.15317286652078</v>
      </c>
      <c r="E508" s="226">
        <v>2869.9449901768171</v>
      </c>
      <c r="F508" s="226">
        <v>1224.3870220162225</v>
      </c>
      <c r="G508" s="226">
        <v>2307.1222222222223</v>
      </c>
      <c r="H508" s="575">
        <v>591.48192771084337</v>
      </c>
      <c r="I508" s="576">
        <v>2875.6878109452737</v>
      </c>
      <c r="J508" s="577">
        <v>257.37376237623761</v>
      </c>
      <c r="K508" s="226">
        <v>413.23160961398395</v>
      </c>
      <c r="L508" s="226">
        <v>983.43086419753081</v>
      </c>
      <c r="M508" s="226">
        <v>1009.2692307692307</v>
      </c>
      <c r="N508" s="226">
        <v>600.30518783542038</v>
      </c>
      <c r="O508" s="578">
        <v>901</v>
      </c>
      <c r="P508" s="574">
        <v>480</v>
      </c>
      <c r="Q508" s="579">
        <v>0</v>
      </c>
      <c r="R508" s="577">
        <v>868.61538461538464</v>
      </c>
      <c r="S508" s="226">
        <v>0</v>
      </c>
      <c r="T508" s="226">
        <v>0</v>
      </c>
      <c r="U508" s="578">
        <v>0</v>
      </c>
      <c r="V508" s="170">
        <v>0</v>
      </c>
    </row>
    <row r="509" spans="1:22">
      <c r="A509" s="580" t="s">
        <v>693</v>
      </c>
      <c r="B509" s="581"/>
      <c r="C509" s="582">
        <v>10.6243321622492</v>
      </c>
      <c r="D509" s="584">
        <v>19.55459812189007</v>
      </c>
      <c r="E509" s="584">
        <v>68.705083176710545</v>
      </c>
      <c r="F509" s="584">
        <v>-2.4309513719035998</v>
      </c>
      <c r="G509" s="584">
        <v>-6.0424507399154912</v>
      </c>
      <c r="H509" s="585">
        <v>-35.54872487171388</v>
      </c>
      <c r="I509" s="586">
        <v>20.329115975351382</v>
      </c>
      <c r="J509" s="587">
        <v>23.015392321355041</v>
      </c>
      <c r="K509" s="584">
        <v>11.965212591363954</v>
      </c>
      <c r="L509" s="584">
        <v>-1.8371650858580075</v>
      </c>
      <c r="M509" s="584">
        <v>30.646657442928117</v>
      </c>
      <c r="N509" s="584">
        <v>5.2752016348794379</v>
      </c>
      <c r="O509" s="588">
        <v>51.635636899126958</v>
      </c>
      <c r="P509" s="582">
        <v>-51.710261569416495</v>
      </c>
      <c r="Q509" s="589">
        <v>0</v>
      </c>
      <c r="R509" s="587">
        <v>40.619574692520125</v>
      </c>
      <c r="S509" s="584">
        <v>0</v>
      </c>
      <c r="T509" s="584">
        <v>0</v>
      </c>
      <c r="U509" s="588">
        <v>0</v>
      </c>
      <c r="V509" s="170">
        <v>0</v>
      </c>
    </row>
    <row r="510" spans="1:22">
      <c r="A510" s="554" t="s">
        <v>584</v>
      </c>
      <c r="B510" s="556"/>
      <c r="C510" s="566">
        <v>1075.78</v>
      </c>
      <c r="D510" s="94">
        <v>534.10125000000005</v>
      </c>
      <c r="E510" s="94">
        <v>307.67368018362663</v>
      </c>
      <c r="F510" s="94">
        <v>0</v>
      </c>
      <c r="G510" s="95">
        <v>403.85516506922255</v>
      </c>
      <c r="H510" s="567">
        <v>277.02517162471395</v>
      </c>
      <c r="I510" s="568">
        <v>675.17505854800936</v>
      </c>
      <c r="J510" s="569">
        <v>35.681293302540418</v>
      </c>
      <c r="K510" s="94">
        <v>391.03674351585016</v>
      </c>
      <c r="L510" s="94">
        <v>420.31583264971289</v>
      </c>
      <c r="M510" s="94">
        <v>1293.5977564102564</v>
      </c>
      <c r="N510" s="570">
        <v>512.49426855895194</v>
      </c>
      <c r="O510" s="571">
        <v>4771.1222879684419</v>
      </c>
      <c r="P510" s="566">
        <v>2872.091697645601</v>
      </c>
      <c r="Q510" s="572">
        <v>0</v>
      </c>
      <c r="R510" s="569">
        <v>3604.8226788432266</v>
      </c>
      <c r="S510" s="570">
        <v>0</v>
      </c>
      <c r="T510" s="570">
        <v>0</v>
      </c>
      <c r="U510" s="571">
        <v>0</v>
      </c>
      <c r="V510" s="170">
        <v>0</v>
      </c>
    </row>
    <row r="511" spans="1:22">
      <c r="A511" s="554" t="s">
        <v>586</v>
      </c>
      <c r="B511" s="573"/>
      <c r="C511" s="574">
        <v>763.43892075632039</v>
      </c>
      <c r="D511" s="226">
        <v>384.7300469483568</v>
      </c>
      <c r="E511" s="226">
        <v>756.98663498663495</v>
      </c>
      <c r="F511" s="226">
        <v>0</v>
      </c>
      <c r="G511" s="226">
        <v>417.71382636655949</v>
      </c>
      <c r="H511" s="575">
        <v>268.0141509433962</v>
      </c>
      <c r="I511" s="576">
        <v>686.78552278820371</v>
      </c>
      <c r="J511" s="577">
        <v>36.465324384787472</v>
      </c>
      <c r="K511" s="226">
        <v>374.44981799271972</v>
      </c>
      <c r="L511" s="226">
        <v>358.78839348903045</v>
      </c>
      <c r="M511" s="226">
        <v>258.92624728850325</v>
      </c>
      <c r="N511" s="226">
        <v>321.0885956644675</v>
      </c>
      <c r="O511" s="578">
        <v>6864.6927592954989</v>
      </c>
      <c r="P511" s="574">
        <v>2958.9527458492976</v>
      </c>
      <c r="Q511" s="579">
        <v>0</v>
      </c>
      <c r="R511" s="577">
        <v>4501.3276661514683</v>
      </c>
      <c r="S511" s="226">
        <v>0</v>
      </c>
      <c r="T511" s="226">
        <v>0</v>
      </c>
      <c r="U511" s="578">
        <v>0</v>
      </c>
      <c r="V511" s="170">
        <v>0</v>
      </c>
    </row>
    <row r="512" spans="1:22">
      <c r="A512" s="580" t="s">
        <v>695</v>
      </c>
      <c r="B512" s="581"/>
      <c r="C512" s="582">
        <v>-29.03391764521367</v>
      </c>
      <c r="D512" s="584">
        <v>-27.96683270290853</v>
      </c>
      <c r="E512" s="584">
        <v>146.03555121609628</v>
      </c>
      <c r="F512" s="584">
        <v>0</v>
      </c>
      <c r="G512" s="584">
        <v>3.4315919408784832</v>
      </c>
      <c r="H512" s="585">
        <v>-3.2527804706227119</v>
      </c>
      <c r="I512" s="586">
        <v>1.7196227990357211</v>
      </c>
      <c r="J512" s="587">
        <v>2.1973168842263719</v>
      </c>
      <c r="K512" s="584">
        <v>-4.2417818269443819</v>
      </c>
      <c r="L512" s="584">
        <v>-14.638382468918035</v>
      </c>
      <c r="M512" s="584">
        <v>-79.984021616810352</v>
      </c>
      <c r="N512" s="584">
        <v>-37.347866042031093</v>
      </c>
      <c r="O512" s="588">
        <v>43.880042157093932</v>
      </c>
      <c r="P512" s="582">
        <v>3.0243131956720237</v>
      </c>
      <c r="Q512" s="589">
        <v>0</v>
      </c>
      <c r="R512" s="587">
        <v>24.869600176725655</v>
      </c>
      <c r="S512" s="584">
        <v>0</v>
      </c>
      <c r="T512" s="584">
        <v>0</v>
      </c>
      <c r="U512" s="588">
        <v>0</v>
      </c>
      <c r="V512" s="170">
        <v>0</v>
      </c>
    </row>
    <row r="513" spans="1:22">
      <c r="A513" s="554" t="s">
        <v>588</v>
      </c>
      <c r="B513" s="556"/>
      <c r="C513" s="566">
        <v>21900.720860270641</v>
      </c>
      <c r="D513" s="94">
        <v>19296.739584494633</v>
      </c>
      <c r="E513" s="94">
        <v>16899.306783776181</v>
      </c>
      <c r="F513" s="94">
        <v>17033.357532770206</v>
      </c>
      <c r="G513" s="95">
        <v>16903.631956009962</v>
      </c>
      <c r="H513" s="567">
        <v>16358.334977162258</v>
      </c>
      <c r="I513" s="568">
        <v>19433.075544171603</v>
      </c>
      <c r="J513" s="569">
        <v>14667.357014122077</v>
      </c>
      <c r="K513" s="94">
        <v>12949.176799877927</v>
      </c>
      <c r="L513" s="94">
        <v>13901.129530793418</v>
      </c>
      <c r="M513" s="94">
        <v>13717.398236313296</v>
      </c>
      <c r="N513" s="570">
        <v>13464.922267971971</v>
      </c>
      <c r="O513" s="571">
        <v>12394.062180934274</v>
      </c>
      <c r="P513" s="566">
        <v>11365.18865719229</v>
      </c>
      <c r="Q513" s="572">
        <v>11050.233081974789</v>
      </c>
      <c r="R513" s="569">
        <v>11938.055425779428</v>
      </c>
      <c r="S513" s="570">
        <v>18643.151515151516</v>
      </c>
      <c r="T513" s="570">
        <v>18643.151515151516</v>
      </c>
      <c r="U513" s="571">
        <v>17532.349692178723</v>
      </c>
      <c r="V513" s="170">
        <v>17532.349692178723</v>
      </c>
    </row>
    <row r="514" spans="1:22">
      <c r="A514" s="554" t="s">
        <v>590</v>
      </c>
      <c r="B514" s="573"/>
      <c r="C514" s="574">
        <v>21916.18014846597</v>
      </c>
      <c r="D514" s="226">
        <v>19343.807040232983</v>
      </c>
      <c r="E514" s="226">
        <v>17287.206412184685</v>
      </c>
      <c r="F514" s="226">
        <v>17223.209179919439</v>
      </c>
      <c r="G514" s="226">
        <v>17406.85121384907</v>
      </c>
      <c r="H514" s="575">
        <v>16196.959082658594</v>
      </c>
      <c r="I514" s="576">
        <v>19601.631658300503</v>
      </c>
      <c r="J514" s="577">
        <v>15987.252626112877</v>
      </c>
      <c r="K514" s="226">
        <v>13379.258675627541</v>
      </c>
      <c r="L514" s="226">
        <v>14641.723352204091</v>
      </c>
      <c r="M514" s="226">
        <v>14020.310513497838</v>
      </c>
      <c r="N514" s="226">
        <v>14032.998106035629</v>
      </c>
      <c r="O514" s="578">
        <v>14707.555477132817</v>
      </c>
      <c r="P514" s="574">
        <v>11880.80869900546</v>
      </c>
      <c r="Q514" s="579">
        <v>10022.070067811863</v>
      </c>
      <c r="R514" s="577">
        <v>13358.546976060086</v>
      </c>
      <c r="S514" s="226">
        <v>17991.60606060606</v>
      </c>
      <c r="T514" s="226">
        <v>17991.60606060606</v>
      </c>
      <c r="U514" s="578">
        <v>17504.046224240788</v>
      </c>
      <c r="V514" s="170">
        <v>17504.046224240788</v>
      </c>
    </row>
    <row r="515" spans="1:22">
      <c r="A515" s="580" t="s">
        <v>697</v>
      </c>
      <c r="B515" s="581"/>
      <c r="C515" s="582">
        <v>7.0588033580998369E-2</v>
      </c>
      <c r="D515" s="584">
        <v>0.24391403289791883</v>
      </c>
      <c r="E515" s="584">
        <v>2.2953582260598937</v>
      </c>
      <c r="F515" s="584">
        <v>1.1145873430061011</v>
      </c>
      <c r="G515" s="584">
        <v>2.9769889639616287</v>
      </c>
      <c r="H515" s="585">
        <v>-0.98650562376280915</v>
      </c>
      <c r="I515" s="586">
        <v>0.86736715321138935</v>
      </c>
      <c r="J515" s="587">
        <v>8.9988646947093009</v>
      </c>
      <c r="K515" s="584">
        <v>3.3213066930530202</v>
      </c>
      <c r="L515" s="584">
        <v>5.3275801780720746</v>
      </c>
      <c r="M515" s="584">
        <v>2.2082341852747174</v>
      </c>
      <c r="N515" s="584">
        <v>4.2189314335285735</v>
      </c>
      <c r="O515" s="588">
        <v>18.66614240291112</v>
      </c>
      <c r="P515" s="582">
        <v>4.5368366277568812</v>
      </c>
      <c r="Q515" s="589">
        <v>-9.3044463997784135</v>
      </c>
      <c r="R515" s="587">
        <v>11.89885202922749</v>
      </c>
      <c r="S515" s="584">
        <v>-3.4948246492334571</v>
      </c>
      <c r="T515" s="584">
        <v>-3.4948246492334571</v>
      </c>
      <c r="U515" s="588">
        <v>-0.16143567995658142</v>
      </c>
      <c r="V515" s="170">
        <v>-0.16143567995658142</v>
      </c>
    </row>
    <row r="518" spans="1:22">
      <c r="T518" s="590"/>
      <c r="U518" s="590"/>
    </row>
    <row r="521" spans="1:22">
      <c r="T521" s="590"/>
      <c r="U521" s="590"/>
    </row>
    <row r="524" spans="1:22">
      <c r="T524" s="590"/>
      <c r="U524" s="590"/>
    </row>
    <row r="527" spans="1:22">
      <c r="T527" s="590"/>
      <c r="U527" s="590"/>
    </row>
    <row r="530" spans="20:21">
      <c r="T530" s="590"/>
      <c r="U530" s="590"/>
    </row>
    <row r="533" spans="20:21">
      <c r="T533" s="590"/>
      <c r="U533" s="590"/>
    </row>
    <row r="536" spans="20:21">
      <c r="T536" s="590"/>
      <c r="U536" s="590"/>
    </row>
    <row r="539" spans="20:21">
      <c r="T539" s="590"/>
      <c r="U539" s="590"/>
    </row>
    <row r="542" spans="20:21">
      <c r="T542" s="590"/>
      <c r="U542" s="590"/>
    </row>
    <row r="545" spans="20:21">
      <c r="T545" s="590"/>
      <c r="U545" s="590"/>
    </row>
  </sheetData>
  <phoneticPr fontId="12" type="noConversion"/>
  <pageMargins left="0.5" right="0.5" top="1" bottom="1" header="0.5" footer="0.5"/>
  <pageSetup scale="75" fitToHeight="17" pageOrder="overThenDown" orientation="landscape" r:id="rId2"/>
  <headerFooter alignWithMargins="0">
    <oddHeader>&amp;L&amp;"Arial,Bold"&amp;10SREB-State Data Exchange&amp;C&amp;"Arial,Bold"&amp;10Preliminary Tables&amp;R&amp;"Arial,Bold"&amp;10Part 10: Benefits</oddHeader>
    <oddFooter>&amp;L&amp;"Arial,Bold"&amp;10For Agency Review Only&amp;R&amp;"Arial,Bold"&amp;10October 2009</oddFooter>
  </headerFooter>
  <rowBreaks count="15" manualBreakCount="15">
    <brk id="35" min="2" max="20" man="1"/>
    <brk id="65" min="2" max="20" man="1"/>
    <brk id="95" min="2" max="20" man="1"/>
    <brk id="125" min="2" max="20" man="1"/>
    <brk id="155" min="2" max="20" man="1"/>
    <brk id="185" min="2" max="20" man="1"/>
    <brk id="215" min="2" max="20" man="1"/>
    <brk id="245" min="2" max="20" man="1"/>
    <brk id="275" min="2" max="20" man="1"/>
    <brk id="305" min="2" max="20" man="1"/>
    <brk id="335" min="2" max="20" man="1"/>
    <brk id="365" min="2" max="20" man="1"/>
    <brk id="395" min="2" max="20" man="1"/>
    <brk id="425" min="2" max="20" man="1"/>
    <brk id="455" min="2" max="20" man="1"/>
  </rowBreaks>
</worksheet>
</file>

<file path=xl/worksheets/sheet8.xml><?xml version="1.0" encoding="utf-8"?>
<worksheet xmlns="http://schemas.openxmlformats.org/spreadsheetml/2006/main" xmlns:r="http://schemas.openxmlformats.org/officeDocument/2006/relationships">
  <sheetPr enableFormatConditionsCalculation="0">
    <tabColor indexed="18"/>
  </sheetPr>
  <dimension ref="A1:DA683"/>
  <sheetViews>
    <sheetView showZeros="0" zoomScale="90" zoomScaleNormal="90" workbookViewId="0">
      <pane xSplit="5" ySplit="7" topLeftCell="BY148" activePane="bottomRight" state="frozen"/>
      <selection pane="topRight" activeCell="E1" sqref="E1"/>
      <selection pane="bottomLeft" activeCell="A8" sqref="A8"/>
      <selection pane="bottomRight" activeCell="B661" sqref="B661"/>
    </sheetView>
  </sheetViews>
  <sheetFormatPr defaultColWidth="9" defaultRowHeight="12.75"/>
  <cols>
    <col min="1" max="1" width="6" style="163" customWidth="1"/>
    <col min="2" max="2" width="48.5" style="164" customWidth="1"/>
    <col min="3" max="3" width="36.75" style="164" customWidth="1"/>
    <col min="4" max="4" width="8.875" style="93" customWidth="1"/>
    <col min="5" max="5" width="5.5" style="88" customWidth="1"/>
    <col min="6" max="7" width="11.75" style="79" customWidth="1"/>
    <col min="8" max="9" width="11.75" style="92" customWidth="1"/>
    <col min="10" max="11" width="11.75" style="79" customWidth="1"/>
    <col min="12" max="13" width="11.75" style="92" customWidth="1"/>
    <col min="14" max="15" width="11.75" style="79" customWidth="1"/>
    <col min="16" max="17" width="11.75" style="92" customWidth="1"/>
    <col min="18" max="19" width="11.75" style="79" customWidth="1"/>
    <col min="20" max="20" width="11.75" style="92" customWidth="1"/>
    <col min="21" max="21" width="13.125" style="92" customWidth="1"/>
    <col min="22" max="23" width="11.75" style="79" customWidth="1"/>
    <col min="24" max="25" width="11.75" style="92" customWidth="1"/>
    <col min="26" max="27" width="11.75" style="79" customWidth="1"/>
    <col min="28" max="29" width="11.75" style="92" customWidth="1"/>
    <col min="30" max="31" width="11.75" style="79" customWidth="1"/>
    <col min="32" max="33" width="11.75" style="92" customWidth="1"/>
    <col min="34" max="35" width="11.75" style="79" customWidth="1"/>
    <col min="36" max="37" width="11.75" style="92" customWidth="1"/>
    <col min="38" max="39" width="11.75" style="79" customWidth="1"/>
    <col min="40" max="41" width="11.75" style="92" customWidth="1"/>
    <col min="42" max="43" width="11.75" style="79" customWidth="1"/>
    <col min="44" max="45" width="11.75" style="92" customWidth="1"/>
    <col min="46" max="47" width="11.75" style="79" customWidth="1"/>
    <col min="48" max="49" width="11.75" style="92" customWidth="1"/>
    <col min="50" max="51" width="11.75" style="79" customWidth="1"/>
    <col min="52" max="53" width="11.75" style="92" customWidth="1"/>
    <col min="54" max="55" width="11.75" style="79" customWidth="1"/>
    <col min="56" max="57" width="11.75" style="92" customWidth="1"/>
    <col min="58" max="59" width="11.75" style="79" customWidth="1"/>
    <col min="60" max="61" width="11.75" style="92" customWidth="1"/>
    <col min="62" max="63" width="11.75" style="79" customWidth="1"/>
    <col min="64" max="65" width="11.75" style="92" customWidth="1"/>
    <col min="66" max="67" width="11.75" style="79" customWidth="1"/>
    <col min="68" max="69" width="11.75" style="92" customWidth="1"/>
    <col min="70" max="71" width="11.75" style="79" customWidth="1"/>
    <col min="72" max="73" width="11.75" style="92" customWidth="1"/>
    <col min="74" max="75" width="11.75" style="79" customWidth="1"/>
    <col min="76" max="77" width="11.75" style="92" customWidth="1"/>
    <col min="78" max="79" width="11.75" style="79" customWidth="1"/>
    <col min="80" max="81" width="11.75" style="92" customWidth="1"/>
    <col min="82" max="83" width="11.75" style="79" customWidth="1"/>
    <col min="84" max="85" width="11.75" style="92" customWidth="1"/>
    <col min="86" max="16384" width="9" style="79"/>
  </cols>
  <sheetData>
    <row r="1" spans="1:105" s="80" customFormat="1" ht="15.75">
      <c r="A1" s="184"/>
      <c r="B1" s="185"/>
      <c r="C1" s="185"/>
      <c r="D1" s="186"/>
      <c r="E1" s="187"/>
      <c r="F1" s="188" t="s">
        <v>994</v>
      </c>
      <c r="G1" s="189"/>
      <c r="H1" s="190"/>
      <c r="I1" s="191"/>
      <c r="J1" s="188"/>
      <c r="K1" s="189"/>
      <c r="L1" s="190"/>
      <c r="M1" s="191"/>
      <c r="N1" s="188"/>
      <c r="O1" s="189"/>
      <c r="P1" s="190"/>
      <c r="Q1" s="191"/>
      <c r="R1" s="188"/>
      <c r="S1" s="189"/>
      <c r="T1" s="190"/>
      <c r="U1" s="191"/>
      <c r="V1" s="188"/>
      <c r="W1" s="189"/>
      <c r="X1" s="190"/>
      <c r="Y1" s="191"/>
      <c r="Z1" s="188"/>
      <c r="AA1" s="189"/>
      <c r="AB1" s="190"/>
      <c r="AC1" s="191"/>
      <c r="AD1" s="188"/>
      <c r="AE1" s="189"/>
      <c r="AF1" s="190"/>
      <c r="AG1" s="191"/>
      <c r="AH1" s="188"/>
      <c r="AI1" s="189"/>
      <c r="AJ1" s="190"/>
      <c r="AK1" s="191"/>
      <c r="AP1" s="611" t="s">
        <v>1299</v>
      </c>
      <c r="AQ1" s="615"/>
      <c r="AR1" s="616"/>
      <c r="AS1" s="616"/>
      <c r="AT1" s="188" t="s">
        <v>706</v>
      </c>
      <c r="AU1" s="189"/>
      <c r="AV1" s="190"/>
      <c r="AW1" s="191"/>
      <c r="AX1" s="188"/>
      <c r="AY1" s="189"/>
      <c r="AZ1" s="190"/>
      <c r="BA1" s="191"/>
      <c r="BB1" s="188"/>
      <c r="BC1" s="189"/>
      <c r="BD1" s="190"/>
      <c r="BE1" s="191"/>
      <c r="BF1" s="188"/>
      <c r="BG1" s="189"/>
      <c r="BH1" s="190"/>
      <c r="BI1" s="191"/>
      <c r="BJ1" s="188"/>
      <c r="BK1" s="189"/>
      <c r="BL1" s="190"/>
      <c r="BM1" s="191"/>
      <c r="BN1" s="188"/>
      <c r="BO1" s="189"/>
      <c r="BP1" s="190"/>
      <c r="BQ1" s="191"/>
      <c r="BR1" s="188"/>
      <c r="BS1" s="189"/>
      <c r="BT1" s="190"/>
      <c r="BU1" s="191"/>
      <c r="BV1" s="188"/>
      <c r="BW1" s="189"/>
      <c r="BX1" s="190"/>
      <c r="BY1" s="191"/>
      <c r="CD1" s="611" t="s">
        <v>1299</v>
      </c>
      <c r="CE1" s="615"/>
      <c r="CF1" s="616"/>
      <c r="CG1" s="616"/>
      <c r="CH1" s="1"/>
      <c r="CI1" s="1"/>
      <c r="CJ1" s="1"/>
      <c r="CK1" s="1"/>
      <c r="CL1" s="1"/>
      <c r="CM1" s="1"/>
      <c r="CN1" s="1"/>
      <c r="CO1" s="1"/>
      <c r="CP1" s="1"/>
      <c r="CQ1" s="1"/>
      <c r="CR1" s="1"/>
      <c r="CS1" s="1"/>
      <c r="CT1" s="1"/>
      <c r="CU1" s="1"/>
      <c r="CV1" s="1"/>
      <c r="CW1" s="1"/>
      <c r="CX1" s="1"/>
      <c r="CY1" s="1"/>
      <c r="CZ1" s="1"/>
      <c r="DA1" s="1"/>
    </row>
    <row r="2" spans="1:105">
      <c r="A2" s="196" t="s">
        <v>435</v>
      </c>
      <c r="B2" s="197" t="s">
        <v>436</v>
      </c>
      <c r="C2" s="205"/>
      <c r="D2" s="198"/>
      <c r="E2" s="199"/>
      <c r="F2" s="609"/>
      <c r="G2" s="610"/>
      <c r="H2" s="607"/>
      <c r="I2" s="608"/>
      <c r="J2" s="609"/>
      <c r="K2" s="610"/>
      <c r="L2" s="607"/>
      <c r="M2" s="608"/>
      <c r="N2" s="609"/>
      <c r="O2" s="610"/>
      <c r="P2" s="607"/>
      <c r="Q2" s="608"/>
      <c r="R2" s="609"/>
      <c r="S2" s="610"/>
      <c r="T2" s="607"/>
      <c r="U2" s="608"/>
      <c r="V2" s="609"/>
      <c r="W2" s="610"/>
      <c r="X2" s="607"/>
      <c r="Y2" s="608"/>
      <c r="Z2" s="609"/>
      <c r="AA2" s="610"/>
      <c r="AB2" s="607"/>
      <c r="AC2" s="608"/>
      <c r="AD2" s="609"/>
      <c r="AE2" s="610"/>
      <c r="AF2" s="607"/>
      <c r="AG2" s="608"/>
      <c r="AH2" s="609"/>
      <c r="AI2" s="610"/>
      <c r="AJ2" s="607"/>
      <c r="AK2" s="608"/>
      <c r="AL2" s="609"/>
      <c r="AM2" s="610"/>
      <c r="AN2" s="607"/>
      <c r="AO2" s="608"/>
      <c r="AP2" s="192" t="s">
        <v>19</v>
      </c>
      <c r="AQ2" s="193"/>
      <c r="AR2" s="194" t="s">
        <v>19</v>
      </c>
      <c r="AS2" s="195"/>
      <c r="AT2" s="609"/>
      <c r="AU2" s="610"/>
      <c r="AV2" s="607"/>
      <c r="AW2" s="608"/>
      <c r="AX2" s="609"/>
      <c r="AY2" s="610"/>
      <c r="AZ2" s="607"/>
      <c r="BA2" s="608"/>
      <c r="BB2" s="609"/>
      <c r="BC2" s="610"/>
      <c r="BD2" s="607"/>
      <c r="BE2" s="608"/>
      <c r="BF2" s="609"/>
      <c r="BG2" s="610"/>
      <c r="BH2" s="607"/>
      <c r="BI2" s="608"/>
      <c r="BJ2" s="609"/>
      <c r="BK2" s="610"/>
      <c r="BL2" s="607"/>
      <c r="BM2" s="608"/>
      <c r="BN2" s="609"/>
      <c r="BO2" s="610"/>
      <c r="BP2" s="607"/>
      <c r="BQ2" s="608"/>
      <c r="BR2" s="609"/>
      <c r="BS2" s="610"/>
      <c r="BT2" s="607"/>
      <c r="BU2" s="608"/>
      <c r="BV2" s="609"/>
      <c r="BW2" s="610"/>
      <c r="BX2" s="607"/>
      <c r="BY2" s="608"/>
      <c r="BZ2" s="609"/>
      <c r="CA2" s="610"/>
      <c r="CB2" s="607"/>
      <c r="CC2" s="608"/>
      <c r="CD2" s="192" t="s">
        <v>19</v>
      </c>
      <c r="CE2" s="193"/>
      <c r="CF2" s="194" t="s">
        <v>19</v>
      </c>
      <c r="CG2" s="195"/>
      <c r="CH2" s="1"/>
      <c r="CI2" s="1"/>
      <c r="CJ2" s="1"/>
      <c r="CK2" s="1"/>
      <c r="CL2" s="1"/>
      <c r="CM2" s="1"/>
      <c r="CN2" s="1"/>
      <c r="CO2" s="1"/>
      <c r="CP2" s="1"/>
      <c r="CQ2" s="1"/>
      <c r="CR2" s="1"/>
      <c r="CS2" s="1"/>
      <c r="CT2" s="1"/>
      <c r="CU2" s="1"/>
      <c r="CV2" s="1"/>
      <c r="CW2" s="1"/>
      <c r="CX2" s="1"/>
      <c r="CY2" s="1"/>
      <c r="CZ2" s="1"/>
      <c r="DA2" s="1"/>
    </row>
    <row r="3" spans="1:105" ht="15.75">
      <c r="A3" s="204" t="s">
        <v>437</v>
      </c>
      <c r="B3" s="205" t="s">
        <v>438</v>
      </c>
      <c r="C3" s="205"/>
      <c r="D3" s="198"/>
      <c r="E3" s="199"/>
      <c r="F3" s="611" t="s">
        <v>707</v>
      </c>
      <c r="G3" s="612"/>
      <c r="H3" s="613"/>
      <c r="I3" s="614"/>
      <c r="J3" s="611" t="s">
        <v>1298</v>
      </c>
      <c r="K3" s="612"/>
      <c r="L3" s="613"/>
      <c r="M3" s="614"/>
      <c r="N3" s="611" t="s">
        <v>709</v>
      </c>
      <c r="O3" s="612"/>
      <c r="P3" s="613"/>
      <c r="Q3" s="614"/>
      <c r="R3" s="611" t="s">
        <v>710</v>
      </c>
      <c r="S3" s="612"/>
      <c r="T3" s="613"/>
      <c r="U3" s="614"/>
      <c r="V3" s="611" t="s">
        <v>440</v>
      </c>
      <c r="W3" s="612"/>
      <c r="X3" s="613"/>
      <c r="Y3" s="614"/>
      <c r="Z3" s="611" t="s">
        <v>441</v>
      </c>
      <c r="AA3" s="612"/>
      <c r="AB3" s="613"/>
      <c r="AC3" s="614"/>
      <c r="AD3" s="611" t="s">
        <v>908</v>
      </c>
      <c r="AE3" s="612"/>
      <c r="AF3" s="613"/>
      <c r="AG3" s="614"/>
      <c r="AH3" s="611" t="s">
        <v>11</v>
      </c>
      <c r="AI3" s="612"/>
      <c r="AJ3" s="613"/>
      <c r="AK3" s="614"/>
      <c r="AL3" s="611" t="s">
        <v>701</v>
      </c>
      <c r="AM3" s="612"/>
      <c r="AN3" s="613"/>
      <c r="AO3" s="614"/>
      <c r="AP3" s="200"/>
      <c r="AQ3" s="201" t="s">
        <v>720</v>
      </c>
      <c r="AR3" s="202"/>
      <c r="AS3" s="203" t="s">
        <v>720</v>
      </c>
      <c r="AT3" s="611" t="s">
        <v>707</v>
      </c>
      <c r="AU3" s="612"/>
      <c r="AV3" s="613"/>
      <c r="AW3" s="614"/>
      <c r="AX3" s="611" t="s">
        <v>1298</v>
      </c>
      <c r="AY3" s="612"/>
      <c r="AZ3" s="613"/>
      <c r="BA3" s="614"/>
      <c r="BB3" s="611" t="s">
        <v>709</v>
      </c>
      <c r="BC3" s="612"/>
      <c r="BD3" s="613"/>
      <c r="BE3" s="614"/>
      <c r="BF3" s="611" t="s">
        <v>710</v>
      </c>
      <c r="BG3" s="612"/>
      <c r="BH3" s="613"/>
      <c r="BI3" s="614"/>
      <c r="BJ3" s="611" t="s">
        <v>440</v>
      </c>
      <c r="BK3" s="612"/>
      <c r="BL3" s="613"/>
      <c r="BM3" s="614"/>
      <c r="BN3" s="611" t="s">
        <v>441</v>
      </c>
      <c r="BO3" s="612"/>
      <c r="BP3" s="613"/>
      <c r="BQ3" s="614"/>
      <c r="BR3" s="611" t="s">
        <v>908</v>
      </c>
      <c r="BS3" s="612"/>
      <c r="BT3" s="613"/>
      <c r="BU3" s="614"/>
      <c r="BV3" s="611" t="s">
        <v>11</v>
      </c>
      <c r="BW3" s="612"/>
      <c r="BX3" s="613"/>
      <c r="BY3" s="614"/>
      <c r="BZ3" s="611" t="s">
        <v>701</v>
      </c>
      <c r="CA3" s="612"/>
      <c r="CB3" s="613"/>
      <c r="CC3" s="614"/>
      <c r="CD3" s="200"/>
      <c r="CE3" s="201" t="s">
        <v>720</v>
      </c>
      <c r="CF3" s="202"/>
      <c r="CG3" s="203" t="s">
        <v>720</v>
      </c>
      <c r="CH3" s="1"/>
      <c r="CI3" s="1"/>
      <c r="CJ3" s="1"/>
      <c r="CK3" s="1"/>
      <c r="CL3" s="1"/>
      <c r="CM3" s="1"/>
      <c r="CN3" s="1"/>
      <c r="CO3" s="1"/>
      <c r="CP3" s="1"/>
      <c r="CQ3" s="1"/>
      <c r="CR3" s="1"/>
      <c r="CS3" s="1"/>
      <c r="CT3" s="1"/>
      <c r="CU3" s="1"/>
      <c r="CV3" s="1"/>
      <c r="CW3" s="1"/>
      <c r="CX3" s="1"/>
      <c r="CY3" s="1"/>
      <c r="CZ3" s="1"/>
      <c r="DA3" s="1"/>
    </row>
    <row r="4" spans="1:105" s="80" customFormat="1">
      <c r="A4" s="184"/>
      <c r="B4" s="185"/>
      <c r="C4" s="185"/>
      <c r="D4" s="206"/>
      <c r="E4" s="207"/>
      <c r="F4" s="603" t="s">
        <v>20</v>
      </c>
      <c r="G4" s="604" t="s">
        <v>12</v>
      </c>
      <c r="H4" s="605" t="s">
        <v>20</v>
      </c>
      <c r="I4" s="606" t="s">
        <v>12</v>
      </c>
      <c r="J4" s="603" t="s">
        <v>20</v>
      </c>
      <c r="K4" s="604" t="s">
        <v>12</v>
      </c>
      <c r="L4" s="605" t="s">
        <v>20</v>
      </c>
      <c r="M4" s="606" t="s">
        <v>12</v>
      </c>
      <c r="N4" s="603" t="s">
        <v>20</v>
      </c>
      <c r="O4" s="604" t="s">
        <v>12</v>
      </c>
      <c r="P4" s="605" t="s">
        <v>20</v>
      </c>
      <c r="Q4" s="606" t="s">
        <v>12</v>
      </c>
      <c r="R4" s="603" t="s">
        <v>20</v>
      </c>
      <c r="S4" s="604" t="s">
        <v>12</v>
      </c>
      <c r="T4" s="605" t="s">
        <v>20</v>
      </c>
      <c r="U4" s="606" t="s">
        <v>12</v>
      </c>
      <c r="V4" s="603" t="s">
        <v>20</v>
      </c>
      <c r="W4" s="604" t="s">
        <v>12</v>
      </c>
      <c r="X4" s="605" t="s">
        <v>20</v>
      </c>
      <c r="Y4" s="606" t="s">
        <v>12</v>
      </c>
      <c r="Z4" s="603" t="s">
        <v>20</v>
      </c>
      <c r="AA4" s="604" t="s">
        <v>12</v>
      </c>
      <c r="AB4" s="605" t="s">
        <v>20</v>
      </c>
      <c r="AC4" s="606" t="s">
        <v>12</v>
      </c>
      <c r="AD4" s="603" t="s">
        <v>20</v>
      </c>
      <c r="AE4" s="604" t="s">
        <v>12</v>
      </c>
      <c r="AF4" s="605" t="s">
        <v>20</v>
      </c>
      <c r="AG4" s="606" t="s">
        <v>12</v>
      </c>
      <c r="AH4" s="603" t="s">
        <v>20</v>
      </c>
      <c r="AI4" s="604" t="s">
        <v>12</v>
      </c>
      <c r="AJ4" s="605" t="s">
        <v>20</v>
      </c>
      <c r="AK4" s="606" t="s">
        <v>12</v>
      </c>
      <c r="AL4" s="603" t="s">
        <v>20</v>
      </c>
      <c r="AM4" s="604" t="s">
        <v>12</v>
      </c>
      <c r="AN4" s="605" t="s">
        <v>20</v>
      </c>
      <c r="AO4" s="606" t="s">
        <v>12</v>
      </c>
      <c r="AP4" s="200" t="s">
        <v>439</v>
      </c>
      <c r="AQ4" s="201"/>
      <c r="AR4" s="202" t="s">
        <v>995</v>
      </c>
      <c r="AS4" s="203"/>
      <c r="AT4" s="603" t="s">
        <v>20</v>
      </c>
      <c r="AU4" s="604" t="s">
        <v>12</v>
      </c>
      <c r="AV4" s="605" t="s">
        <v>20</v>
      </c>
      <c r="AW4" s="606" t="s">
        <v>12</v>
      </c>
      <c r="AX4" s="603" t="s">
        <v>20</v>
      </c>
      <c r="AY4" s="604" t="s">
        <v>12</v>
      </c>
      <c r="AZ4" s="605" t="s">
        <v>20</v>
      </c>
      <c r="BA4" s="606" t="s">
        <v>12</v>
      </c>
      <c r="BB4" s="603" t="s">
        <v>20</v>
      </c>
      <c r="BC4" s="604" t="s">
        <v>12</v>
      </c>
      <c r="BD4" s="605" t="s">
        <v>20</v>
      </c>
      <c r="BE4" s="606" t="s">
        <v>12</v>
      </c>
      <c r="BF4" s="603" t="s">
        <v>20</v>
      </c>
      <c r="BG4" s="604" t="s">
        <v>12</v>
      </c>
      <c r="BH4" s="605" t="s">
        <v>20</v>
      </c>
      <c r="BI4" s="606" t="s">
        <v>12</v>
      </c>
      <c r="BJ4" s="603" t="s">
        <v>20</v>
      </c>
      <c r="BK4" s="604" t="s">
        <v>12</v>
      </c>
      <c r="BL4" s="605" t="s">
        <v>20</v>
      </c>
      <c r="BM4" s="606" t="s">
        <v>12</v>
      </c>
      <c r="BN4" s="603" t="s">
        <v>20</v>
      </c>
      <c r="BO4" s="604" t="s">
        <v>12</v>
      </c>
      <c r="BP4" s="605" t="s">
        <v>20</v>
      </c>
      <c r="BQ4" s="606" t="s">
        <v>12</v>
      </c>
      <c r="BR4" s="603" t="s">
        <v>20</v>
      </c>
      <c r="BS4" s="604" t="s">
        <v>12</v>
      </c>
      <c r="BT4" s="605" t="s">
        <v>20</v>
      </c>
      <c r="BU4" s="606" t="s">
        <v>12</v>
      </c>
      <c r="BV4" s="603" t="s">
        <v>20</v>
      </c>
      <c r="BW4" s="604" t="s">
        <v>12</v>
      </c>
      <c r="BX4" s="605" t="s">
        <v>20</v>
      </c>
      <c r="BY4" s="606" t="s">
        <v>12</v>
      </c>
      <c r="BZ4" s="603" t="s">
        <v>20</v>
      </c>
      <c r="CA4" s="604" t="s">
        <v>12</v>
      </c>
      <c r="CB4" s="605" t="s">
        <v>20</v>
      </c>
      <c r="CC4" s="606" t="s">
        <v>12</v>
      </c>
      <c r="CD4" s="200" t="s">
        <v>439</v>
      </c>
      <c r="CE4" s="201"/>
      <c r="CF4" s="202" t="s">
        <v>995</v>
      </c>
      <c r="CG4" s="203"/>
      <c r="CH4" s="1"/>
      <c r="CI4" s="1"/>
      <c r="CJ4" s="1"/>
      <c r="CK4" s="1"/>
      <c r="CL4" s="1"/>
      <c r="CM4" s="1"/>
      <c r="CN4" s="1"/>
      <c r="CO4" s="1"/>
      <c r="CP4" s="1"/>
      <c r="CQ4" s="1"/>
      <c r="CR4" s="1"/>
      <c r="CS4" s="1"/>
      <c r="CT4" s="1"/>
      <c r="CU4" s="1"/>
      <c r="CV4" s="1"/>
      <c r="CW4" s="1"/>
      <c r="CX4" s="1"/>
      <c r="CY4" s="1"/>
      <c r="CZ4" s="1"/>
      <c r="DA4" s="1"/>
    </row>
    <row r="5" spans="1:105" ht="13.5" thickBot="1">
      <c r="A5" s="208" t="s">
        <v>705</v>
      </c>
      <c r="B5" s="209" t="s">
        <v>702</v>
      </c>
      <c r="C5" s="209" t="s">
        <v>1183</v>
      </c>
      <c r="D5" s="210" t="s">
        <v>703</v>
      </c>
      <c r="E5" s="211" t="s">
        <v>704</v>
      </c>
      <c r="F5" s="599" t="s">
        <v>995</v>
      </c>
      <c r="G5" s="600" t="s">
        <v>995</v>
      </c>
      <c r="H5" s="601" t="s">
        <v>1297</v>
      </c>
      <c r="I5" s="602" t="s">
        <v>1297</v>
      </c>
      <c r="J5" s="599" t="s">
        <v>995</v>
      </c>
      <c r="K5" s="600" t="s">
        <v>995</v>
      </c>
      <c r="L5" s="601" t="s">
        <v>1297</v>
      </c>
      <c r="M5" s="602" t="s">
        <v>1297</v>
      </c>
      <c r="N5" s="599" t="s">
        <v>995</v>
      </c>
      <c r="O5" s="600" t="s">
        <v>995</v>
      </c>
      <c r="P5" s="601" t="s">
        <v>1297</v>
      </c>
      <c r="Q5" s="602" t="s">
        <v>1297</v>
      </c>
      <c r="R5" s="599" t="s">
        <v>995</v>
      </c>
      <c r="S5" s="600" t="s">
        <v>995</v>
      </c>
      <c r="T5" s="601" t="s">
        <v>1297</v>
      </c>
      <c r="U5" s="602" t="s">
        <v>1297</v>
      </c>
      <c r="V5" s="599" t="s">
        <v>995</v>
      </c>
      <c r="W5" s="600" t="s">
        <v>995</v>
      </c>
      <c r="X5" s="601" t="s">
        <v>1297</v>
      </c>
      <c r="Y5" s="602" t="s">
        <v>1297</v>
      </c>
      <c r="Z5" s="599" t="s">
        <v>995</v>
      </c>
      <c r="AA5" s="600" t="s">
        <v>995</v>
      </c>
      <c r="AB5" s="601" t="s">
        <v>1297</v>
      </c>
      <c r="AC5" s="602" t="s">
        <v>1297</v>
      </c>
      <c r="AD5" s="599" t="s">
        <v>995</v>
      </c>
      <c r="AE5" s="600" t="s">
        <v>995</v>
      </c>
      <c r="AF5" s="601" t="s">
        <v>1297</v>
      </c>
      <c r="AG5" s="602" t="s">
        <v>1297</v>
      </c>
      <c r="AH5" s="599" t="s">
        <v>995</v>
      </c>
      <c r="AI5" s="600" t="s">
        <v>995</v>
      </c>
      <c r="AJ5" s="601" t="s">
        <v>1297</v>
      </c>
      <c r="AK5" s="602" t="s">
        <v>1297</v>
      </c>
      <c r="AL5" s="599" t="s">
        <v>995</v>
      </c>
      <c r="AM5" s="600" t="s">
        <v>995</v>
      </c>
      <c r="AN5" s="601" t="s">
        <v>1297</v>
      </c>
      <c r="AO5" s="602" t="s">
        <v>1297</v>
      </c>
      <c r="AP5" s="212" t="s">
        <v>20</v>
      </c>
      <c r="AQ5" s="213" t="s">
        <v>12</v>
      </c>
      <c r="AR5" s="214" t="s">
        <v>20</v>
      </c>
      <c r="AS5" s="215" t="s">
        <v>12</v>
      </c>
      <c r="AT5" s="599" t="s">
        <v>995</v>
      </c>
      <c r="AU5" s="600" t="s">
        <v>995</v>
      </c>
      <c r="AV5" s="601" t="s">
        <v>1297</v>
      </c>
      <c r="AW5" s="602" t="s">
        <v>1297</v>
      </c>
      <c r="AX5" s="599" t="s">
        <v>995</v>
      </c>
      <c r="AY5" s="600" t="s">
        <v>995</v>
      </c>
      <c r="AZ5" s="601" t="s">
        <v>1297</v>
      </c>
      <c r="BA5" s="602" t="s">
        <v>1297</v>
      </c>
      <c r="BB5" s="599" t="s">
        <v>995</v>
      </c>
      <c r="BC5" s="600" t="s">
        <v>995</v>
      </c>
      <c r="BD5" s="601" t="s">
        <v>1297</v>
      </c>
      <c r="BE5" s="602" t="s">
        <v>1297</v>
      </c>
      <c r="BF5" s="599" t="s">
        <v>995</v>
      </c>
      <c r="BG5" s="600" t="s">
        <v>995</v>
      </c>
      <c r="BH5" s="601" t="s">
        <v>1297</v>
      </c>
      <c r="BI5" s="602" t="s">
        <v>1297</v>
      </c>
      <c r="BJ5" s="599" t="s">
        <v>995</v>
      </c>
      <c r="BK5" s="600" t="s">
        <v>995</v>
      </c>
      <c r="BL5" s="601" t="s">
        <v>1297</v>
      </c>
      <c r="BM5" s="602" t="s">
        <v>1297</v>
      </c>
      <c r="BN5" s="599" t="s">
        <v>995</v>
      </c>
      <c r="BO5" s="600" t="s">
        <v>995</v>
      </c>
      <c r="BP5" s="601" t="s">
        <v>1297</v>
      </c>
      <c r="BQ5" s="602" t="s">
        <v>1297</v>
      </c>
      <c r="BR5" s="599" t="s">
        <v>995</v>
      </c>
      <c r="BS5" s="600" t="s">
        <v>995</v>
      </c>
      <c r="BT5" s="601" t="s">
        <v>1297</v>
      </c>
      <c r="BU5" s="602" t="s">
        <v>1297</v>
      </c>
      <c r="BV5" s="599" t="s">
        <v>995</v>
      </c>
      <c r="BW5" s="600" t="s">
        <v>995</v>
      </c>
      <c r="BX5" s="601" t="s">
        <v>1297</v>
      </c>
      <c r="BY5" s="602" t="s">
        <v>1297</v>
      </c>
      <c r="BZ5" s="599" t="s">
        <v>995</v>
      </c>
      <c r="CA5" s="600" t="s">
        <v>995</v>
      </c>
      <c r="CB5" s="601" t="s">
        <v>1297</v>
      </c>
      <c r="CC5" s="602" t="s">
        <v>1297</v>
      </c>
      <c r="CD5" s="212" t="s">
        <v>20</v>
      </c>
      <c r="CE5" s="213" t="s">
        <v>12</v>
      </c>
      <c r="CF5" s="214" t="s">
        <v>20</v>
      </c>
      <c r="CG5" s="215" t="s">
        <v>12</v>
      </c>
      <c r="CH5" s="1"/>
      <c r="CI5" s="1"/>
      <c r="CJ5" s="1"/>
      <c r="CK5" s="1"/>
      <c r="CL5" s="1"/>
      <c r="CM5" s="1"/>
      <c r="CN5" s="1"/>
      <c r="CO5" s="1"/>
      <c r="CP5" s="1"/>
      <c r="CQ5" s="1"/>
      <c r="CR5" s="1"/>
      <c r="CS5" s="1"/>
      <c r="CT5" s="1"/>
      <c r="CU5" s="1"/>
      <c r="CV5" s="1"/>
      <c r="CW5" s="1"/>
      <c r="CX5" s="1"/>
      <c r="CY5" s="1"/>
      <c r="CZ5" s="1"/>
      <c r="DA5" s="1"/>
    </row>
    <row r="6" spans="1:105" s="162" customFormat="1" ht="12.75" customHeight="1" thickTop="1">
      <c r="A6" s="216" t="s">
        <v>705</v>
      </c>
      <c r="B6" s="217" t="s">
        <v>702</v>
      </c>
      <c r="C6" s="217" t="s">
        <v>1183</v>
      </c>
      <c r="D6" s="218" t="s">
        <v>703</v>
      </c>
      <c r="E6" s="219" t="s">
        <v>704</v>
      </c>
      <c r="F6" s="220" t="s">
        <v>21</v>
      </c>
      <c r="G6" s="220" t="s">
        <v>22</v>
      </c>
      <c r="H6" s="220" t="s">
        <v>24</v>
      </c>
      <c r="I6" s="220" t="s">
        <v>23</v>
      </c>
      <c r="J6" s="220" t="s">
        <v>25</v>
      </c>
      <c r="K6" s="220" t="s">
        <v>26</v>
      </c>
      <c r="L6" s="220" t="s">
        <v>27</v>
      </c>
      <c r="M6" s="220" t="s">
        <v>28</v>
      </c>
      <c r="N6" s="220" t="s">
        <v>29</v>
      </c>
      <c r="O6" s="220" t="s">
        <v>30</v>
      </c>
      <c r="P6" s="220" t="s">
        <v>32</v>
      </c>
      <c r="Q6" s="220" t="s">
        <v>33</v>
      </c>
      <c r="R6" s="220" t="s">
        <v>34</v>
      </c>
      <c r="S6" s="220" t="s">
        <v>35</v>
      </c>
      <c r="T6" s="220" t="s">
        <v>594</v>
      </c>
      <c r="U6" s="220" t="s">
        <v>595</v>
      </c>
      <c r="V6" s="220" t="s">
        <v>596</v>
      </c>
      <c r="W6" s="220" t="s">
        <v>597</v>
      </c>
      <c r="X6" s="220" t="s">
        <v>598</v>
      </c>
      <c r="Y6" s="220" t="s">
        <v>599</v>
      </c>
      <c r="Z6" s="220" t="s">
        <v>688</v>
      </c>
      <c r="AA6" s="220" t="s">
        <v>689</v>
      </c>
      <c r="AB6" s="220" t="s">
        <v>601</v>
      </c>
      <c r="AC6" s="220" t="s">
        <v>602</v>
      </c>
      <c r="AD6" s="220" t="s">
        <v>603</v>
      </c>
      <c r="AE6" s="220" t="s">
        <v>604</v>
      </c>
      <c r="AF6" s="220" t="s">
        <v>605</v>
      </c>
      <c r="AG6" s="220" t="s">
        <v>606</v>
      </c>
      <c r="AH6" s="220" t="s">
        <v>607</v>
      </c>
      <c r="AI6" s="220" t="s">
        <v>608</v>
      </c>
      <c r="AJ6" s="220" t="s">
        <v>609</v>
      </c>
      <c r="AK6" s="220" t="s">
        <v>610</v>
      </c>
      <c r="AL6" s="220" t="s">
        <v>611</v>
      </c>
      <c r="AM6" s="220" t="s">
        <v>612</v>
      </c>
      <c r="AN6" s="220" t="s">
        <v>613</v>
      </c>
      <c r="AO6" s="220" t="s">
        <v>659</v>
      </c>
      <c r="AP6" s="221" t="s">
        <v>614</v>
      </c>
      <c r="AQ6" s="221" t="s">
        <v>615</v>
      </c>
      <c r="AR6" s="221" t="s">
        <v>616</v>
      </c>
      <c r="AS6" s="221" t="s">
        <v>617</v>
      </c>
      <c r="AT6" s="220" t="s">
        <v>656</v>
      </c>
      <c r="AU6" s="220" t="s">
        <v>618</v>
      </c>
      <c r="AV6" s="220" t="s">
        <v>619</v>
      </c>
      <c r="AW6" s="220" t="s">
        <v>620</v>
      </c>
      <c r="AX6" s="220" t="s">
        <v>621</v>
      </c>
      <c r="AY6" s="220" t="s">
        <v>622</v>
      </c>
      <c r="AZ6" s="220" t="s">
        <v>623</v>
      </c>
      <c r="BA6" s="220" t="s">
        <v>624</v>
      </c>
      <c r="BB6" s="220" t="s">
        <v>625</v>
      </c>
      <c r="BC6" s="220" t="s">
        <v>626</v>
      </c>
      <c r="BD6" s="220" t="s">
        <v>627</v>
      </c>
      <c r="BE6" s="220" t="s">
        <v>628</v>
      </c>
      <c r="BF6" s="220" t="s">
        <v>629</v>
      </c>
      <c r="BG6" s="220" t="s">
        <v>630</v>
      </c>
      <c r="BH6" s="220" t="s">
        <v>631</v>
      </c>
      <c r="BI6" s="220" t="s">
        <v>632</v>
      </c>
      <c r="BJ6" s="220" t="s">
        <v>633</v>
      </c>
      <c r="BK6" s="220" t="s">
        <v>634</v>
      </c>
      <c r="BL6" s="220" t="s">
        <v>635</v>
      </c>
      <c r="BM6" s="220" t="s">
        <v>636</v>
      </c>
      <c r="BN6" s="220" t="s">
        <v>637</v>
      </c>
      <c r="BO6" s="220" t="s">
        <v>638</v>
      </c>
      <c r="BP6" s="220" t="s">
        <v>639</v>
      </c>
      <c r="BQ6" s="220" t="s">
        <v>640</v>
      </c>
      <c r="BR6" s="220" t="s">
        <v>641</v>
      </c>
      <c r="BS6" s="220" t="s">
        <v>642</v>
      </c>
      <c r="BT6" s="220" t="s">
        <v>643</v>
      </c>
      <c r="BU6" s="220" t="s">
        <v>644</v>
      </c>
      <c r="BV6" s="220" t="s">
        <v>645</v>
      </c>
      <c r="BW6" s="220" t="s">
        <v>646</v>
      </c>
      <c r="BX6" s="220" t="s">
        <v>647</v>
      </c>
      <c r="BY6" s="220" t="s">
        <v>648</v>
      </c>
      <c r="BZ6" s="220" t="s">
        <v>649</v>
      </c>
      <c r="CA6" s="220" t="s">
        <v>650</v>
      </c>
      <c r="CB6" s="220" t="s">
        <v>651</v>
      </c>
      <c r="CC6" s="220" t="s">
        <v>658</v>
      </c>
      <c r="CD6" s="221" t="s">
        <v>652</v>
      </c>
      <c r="CE6" s="221" t="s">
        <v>653</v>
      </c>
      <c r="CF6" s="221" t="s">
        <v>654</v>
      </c>
      <c r="CG6" s="221" t="s">
        <v>655</v>
      </c>
      <c r="CH6" s="1"/>
      <c r="CI6" s="1"/>
      <c r="CJ6" s="1"/>
      <c r="CK6" s="1"/>
      <c r="CL6" s="1"/>
      <c r="CM6" s="1"/>
      <c r="CN6" s="1"/>
      <c r="CO6" s="1"/>
      <c r="CP6" s="1"/>
      <c r="CQ6" s="1"/>
      <c r="CR6" s="1"/>
      <c r="CS6" s="1"/>
      <c r="CT6" s="1"/>
      <c r="CU6" s="1"/>
      <c r="CV6" s="1"/>
      <c r="CW6" s="1"/>
      <c r="CX6" s="1"/>
      <c r="CY6" s="1"/>
      <c r="CZ6" s="1"/>
      <c r="DA6" s="1"/>
    </row>
    <row r="7" spans="1:105" s="263" customFormat="1" ht="12.75" customHeight="1">
      <c r="A7" s="248" t="s">
        <v>115</v>
      </c>
      <c r="B7" s="249" t="s">
        <v>116</v>
      </c>
      <c r="C7" s="249"/>
      <c r="D7" s="250">
        <v>100858</v>
      </c>
      <c r="E7" s="251">
        <v>1</v>
      </c>
      <c r="F7" s="252">
        <v>856</v>
      </c>
      <c r="G7" s="253">
        <v>9338137</v>
      </c>
      <c r="H7" s="254">
        <v>850</v>
      </c>
      <c r="I7" s="254">
        <v>9197033</v>
      </c>
      <c r="J7" s="252">
        <v>749</v>
      </c>
      <c r="K7" s="253">
        <v>3998291</v>
      </c>
      <c r="L7" s="254">
        <v>751</v>
      </c>
      <c r="M7" s="254">
        <v>4253980</v>
      </c>
      <c r="N7" s="252">
        <v>807</v>
      </c>
      <c r="O7" s="253">
        <v>82746</v>
      </c>
      <c r="P7" s="254">
        <v>791</v>
      </c>
      <c r="Q7" s="254">
        <v>81338</v>
      </c>
      <c r="R7" s="252">
        <v>857</v>
      </c>
      <c r="S7" s="253">
        <v>4934641</v>
      </c>
      <c r="T7" s="254">
        <v>855</v>
      </c>
      <c r="U7" s="254">
        <v>4863884</v>
      </c>
      <c r="V7" s="252">
        <v>857</v>
      </c>
      <c r="W7" s="253">
        <v>33398</v>
      </c>
      <c r="X7" s="254">
        <v>855</v>
      </c>
      <c r="Y7" s="254">
        <v>46110</v>
      </c>
      <c r="Z7" s="252">
        <v>854</v>
      </c>
      <c r="AA7" s="253">
        <v>35737</v>
      </c>
      <c r="AB7" s="254">
        <v>852</v>
      </c>
      <c r="AC7" s="254">
        <v>35638</v>
      </c>
      <c r="AD7" s="252">
        <v>857</v>
      </c>
      <c r="AE7" s="253">
        <v>105203</v>
      </c>
      <c r="AF7" s="254">
        <v>855</v>
      </c>
      <c r="AG7" s="254">
        <v>103748</v>
      </c>
      <c r="AH7" s="252"/>
      <c r="AI7" s="253"/>
      <c r="AJ7" s="254"/>
      <c r="AK7" s="254"/>
      <c r="AL7" s="252"/>
      <c r="AM7" s="253"/>
      <c r="AN7" s="254">
        <v>1016</v>
      </c>
      <c r="AO7" s="254">
        <v>2526863</v>
      </c>
      <c r="AP7" s="255">
        <f t="shared" ref="AP7" si="0">MAX(AL7,AH7,AD7,Z7,V7,R7,N7,J7,F7)</f>
        <v>857</v>
      </c>
      <c r="AQ7" s="256">
        <f t="shared" ref="AQ7" si="1">SUM(AM7,AI7,AE7,AA7,W7,S7,O7,K7,G7)</f>
        <v>18528153</v>
      </c>
      <c r="AR7" s="257">
        <f t="shared" ref="AR7" si="2">MAX(AN7,AJ7,AF7,AB7,X7,T7,P7,L7,H7)</f>
        <v>1016</v>
      </c>
      <c r="AS7" s="258">
        <f t="shared" ref="AS7" si="3">SUM(AO7,AK7,AG7,AC7,Y7,U7,Q7,M7,I7)</f>
        <v>21108594</v>
      </c>
      <c r="AT7" s="259">
        <v>327</v>
      </c>
      <c r="AU7" s="253">
        <v>5266868</v>
      </c>
      <c r="AV7" s="260">
        <v>340</v>
      </c>
      <c r="AW7" s="260">
        <v>5501554</v>
      </c>
      <c r="AX7" s="252">
        <v>287</v>
      </c>
      <c r="AY7" s="253">
        <v>1552237</v>
      </c>
      <c r="AZ7" s="260">
        <v>298</v>
      </c>
      <c r="BA7" s="260">
        <v>1690319</v>
      </c>
      <c r="BB7" s="252">
        <v>317</v>
      </c>
      <c r="BC7" s="253">
        <v>44990</v>
      </c>
      <c r="BD7" s="260">
        <v>324</v>
      </c>
      <c r="BE7" s="260">
        <v>46146</v>
      </c>
      <c r="BF7" s="252">
        <v>327</v>
      </c>
      <c r="BG7" s="253">
        <v>2376837</v>
      </c>
      <c r="BH7" s="260">
        <v>341</v>
      </c>
      <c r="BI7" s="260">
        <v>2467030</v>
      </c>
      <c r="BJ7" s="252">
        <v>316</v>
      </c>
      <c r="BK7" s="253">
        <v>17319</v>
      </c>
      <c r="BL7" s="260">
        <v>330</v>
      </c>
      <c r="BM7" s="260">
        <v>25306</v>
      </c>
      <c r="BN7" s="252">
        <v>327</v>
      </c>
      <c r="BO7" s="253">
        <v>13733</v>
      </c>
      <c r="BP7" s="260">
        <v>340</v>
      </c>
      <c r="BQ7" s="260">
        <v>14279</v>
      </c>
      <c r="BR7" s="252">
        <v>327</v>
      </c>
      <c r="BS7" s="253">
        <v>56170</v>
      </c>
      <c r="BT7" s="260">
        <v>341</v>
      </c>
      <c r="BU7" s="260">
        <v>58510</v>
      </c>
      <c r="BV7" s="252"/>
      <c r="BW7" s="253"/>
      <c r="BX7" s="260"/>
      <c r="BY7" s="260"/>
      <c r="BZ7" s="252"/>
      <c r="CA7" s="253"/>
      <c r="CB7" s="260"/>
      <c r="CC7" s="260"/>
      <c r="CD7" s="255">
        <f t="shared" ref="CD7" si="4">MAX(BZ7,BV7,BR7,BN7,BJ7,BF7,BB7,AX7,AT7)</f>
        <v>327</v>
      </c>
      <c r="CE7" s="256">
        <f t="shared" ref="CE7" si="5">SUM(CA7,BW7,BS7,BO7,BK7,BG7,BC7,AY7,AU7)</f>
        <v>9328154</v>
      </c>
      <c r="CF7" s="257">
        <f t="shared" ref="CF7" si="6">MAX(CB7,BX7,BT7,BP7,BL7,BH7,BD7,AZ7,AV7)</f>
        <v>341</v>
      </c>
      <c r="CG7" s="261">
        <f t="shared" ref="CG7" si="7">SUM(CC7,BY7,BU7,BQ7,BM7,BI7,BE7,BA7,AW7)</f>
        <v>9803144</v>
      </c>
      <c r="CH7" s="262"/>
      <c r="CI7" s="262"/>
      <c r="CJ7" s="262"/>
      <c r="CK7" s="262"/>
      <c r="CL7" s="262"/>
      <c r="CM7" s="262"/>
      <c r="CN7" s="262"/>
      <c r="CO7" s="262"/>
      <c r="CP7" s="262"/>
      <c r="CQ7" s="262"/>
      <c r="CR7" s="262"/>
      <c r="CS7" s="262"/>
      <c r="CT7" s="262"/>
      <c r="CU7" s="262"/>
      <c r="CV7" s="262"/>
      <c r="CW7" s="262"/>
      <c r="CX7" s="262"/>
      <c r="CY7" s="262"/>
      <c r="CZ7" s="262"/>
      <c r="DA7" s="262"/>
    </row>
    <row r="8" spans="1:105" s="263" customFormat="1" ht="12.75" customHeight="1">
      <c r="A8" s="248" t="s">
        <v>115</v>
      </c>
      <c r="B8" s="249" t="s">
        <v>117</v>
      </c>
      <c r="C8" s="249"/>
      <c r="D8" s="250">
        <v>100751</v>
      </c>
      <c r="E8" s="251">
        <v>1</v>
      </c>
      <c r="F8" s="252">
        <v>944</v>
      </c>
      <c r="G8" s="253">
        <v>12598322</v>
      </c>
      <c r="H8" s="254">
        <v>998</v>
      </c>
      <c r="I8" s="254">
        <v>13598259</v>
      </c>
      <c r="J8" s="252">
        <v>914</v>
      </c>
      <c r="K8" s="253">
        <v>4316084</v>
      </c>
      <c r="L8" s="254">
        <v>964</v>
      </c>
      <c r="M8" s="254">
        <v>5017900</v>
      </c>
      <c r="N8" s="252">
        <v>933</v>
      </c>
      <c r="O8" s="253">
        <v>434910</v>
      </c>
      <c r="P8" s="254">
        <v>984</v>
      </c>
      <c r="Q8" s="254">
        <v>472213</v>
      </c>
      <c r="R8" s="252">
        <v>954</v>
      </c>
      <c r="S8" s="253">
        <v>5815779</v>
      </c>
      <c r="T8" s="254">
        <v>1016</v>
      </c>
      <c r="U8" s="254">
        <v>6342887</v>
      </c>
      <c r="V8" s="252">
        <v>954</v>
      </c>
      <c r="W8" s="253">
        <v>38012</v>
      </c>
      <c r="X8" s="254">
        <v>1016</v>
      </c>
      <c r="Y8" s="254">
        <v>41457</v>
      </c>
      <c r="Z8" s="252">
        <v>932</v>
      </c>
      <c r="AA8" s="253">
        <v>156082</v>
      </c>
      <c r="AB8" s="254">
        <v>983</v>
      </c>
      <c r="AC8" s="254">
        <v>169977</v>
      </c>
      <c r="AD8" s="252">
        <v>954</v>
      </c>
      <c r="AE8" s="253">
        <v>1597</v>
      </c>
      <c r="AF8" s="254">
        <v>1016</v>
      </c>
      <c r="AG8" s="254">
        <v>1741</v>
      </c>
      <c r="AH8" s="252">
        <v>315</v>
      </c>
      <c r="AI8" s="253">
        <v>1483620</v>
      </c>
      <c r="AJ8" s="254">
        <v>333</v>
      </c>
      <c r="AK8" s="254">
        <v>1773794</v>
      </c>
      <c r="AL8" s="252">
        <v>954</v>
      </c>
      <c r="AM8" s="253">
        <v>3172468</v>
      </c>
      <c r="AN8" s="254"/>
      <c r="AO8" s="254"/>
      <c r="AP8" s="255">
        <f t="shared" ref="AP8:AP71" si="8">MAX(AL8,AH8,AD8,Z8,V8,R8,N8,J8,F8)</f>
        <v>954</v>
      </c>
      <c r="AQ8" s="256">
        <f t="shared" ref="AQ8:AQ71" si="9">SUM(AM8,AI8,AE8,AA8,W8,S8,O8,K8,G8)</f>
        <v>28016874</v>
      </c>
      <c r="AR8" s="257">
        <f t="shared" ref="AR8:AR71" si="10">MAX(AN8,AJ8,AF8,AB8,X8,T8,P8,L8,H8)</f>
        <v>1016</v>
      </c>
      <c r="AS8" s="258">
        <f t="shared" ref="AS8:AS71" si="11">SUM(AO8,AK8,AG8,AC8,Y8,U8,Q8,M8,I8)</f>
        <v>27418228</v>
      </c>
      <c r="AT8" s="259">
        <v>152</v>
      </c>
      <c r="AU8" s="253">
        <v>1947670</v>
      </c>
      <c r="AV8" s="260">
        <v>156</v>
      </c>
      <c r="AW8" s="260">
        <v>2109135</v>
      </c>
      <c r="AX8" s="252">
        <v>147</v>
      </c>
      <c r="AY8" s="253">
        <v>707299</v>
      </c>
      <c r="AZ8" s="260">
        <v>152</v>
      </c>
      <c r="BA8" s="260">
        <v>801728</v>
      </c>
      <c r="BB8" s="252">
        <v>150</v>
      </c>
      <c r="BC8" s="253">
        <v>52881</v>
      </c>
      <c r="BD8" s="260">
        <v>155</v>
      </c>
      <c r="BE8" s="260">
        <v>57455</v>
      </c>
      <c r="BF8" s="252">
        <v>152</v>
      </c>
      <c r="BG8" s="253">
        <v>932501</v>
      </c>
      <c r="BH8" s="260">
        <v>159</v>
      </c>
      <c r="BI8" s="260">
        <v>1011876</v>
      </c>
      <c r="BJ8" s="252">
        <v>152</v>
      </c>
      <c r="BK8" s="253">
        <v>6095</v>
      </c>
      <c r="BL8" s="260">
        <v>159</v>
      </c>
      <c r="BM8" s="260">
        <v>6614</v>
      </c>
      <c r="BN8" s="252">
        <v>150</v>
      </c>
      <c r="BO8" s="253">
        <v>25721</v>
      </c>
      <c r="BP8" s="260">
        <v>155</v>
      </c>
      <c r="BQ8" s="260">
        <v>28117</v>
      </c>
      <c r="BR8" s="252">
        <v>152</v>
      </c>
      <c r="BS8" s="253">
        <v>256</v>
      </c>
      <c r="BT8" s="260">
        <v>159</v>
      </c>
      <c r="BU8" s="260">
        <v>278</v>
      </c>
      <c r="BV8" s="252">
        <v>57</v>
      </c>
      <c r="BW8" s="253">
        <v>235152</v>
      </c>
      <c r="BX8" s="260">
        <v>51</v>
      </c>
      <c r="BY8" s="260">
        <v>277592</v>
      </c>
      <c r="BZ8" s="252">
        <v>152</v>
      </c>
      <c r="CA8" s="253">
        <v>502831</v>
      </c>
      <c r="CB8" s="260">
        <v>159</v>
      </c>
      <c r="CC8" s="260">
        <v>395444</v>
      </c>
      <c r="CD8" s="255">
        <f t="shared" ref="CD8:CD71" si="12">MAX(BZ8,BV8,BR8,BN8,BJ8,BF8,BB8,AX8,AT8)</f>
        <v>152</v>
      </c>
      <c r="CE8" s="256">
        <f t="shared" ref="CE8:CE71" si="13">SUM(CA8,BW8,BS8,BO8,BK8,BG8,BC8,AY8,AU8)</f>
        <v>4410406</v>
      </c>
      <c r="CF8" s="257">
        <f t="shared" ref="CF8:CF71" si="14">MAX(CB8,BX8,BT8,BP8,BL8,BH8,BD8,AZ8,AV8)</f>
        <v>159</v>
      </c>
      <c r="CG8" s="261">
        <f t="shared" ref="CG8:CG71" si="15">SUM(CC8,BY8,BU8,BQ8,BM8,BI8,BE8,BA8,AW8)</f>
        <v>4688239</v>
      </c>
    </row>
    <row r="9" spans="1:105" s="263" customFormat="1" ht="12.75" customHeight="1">
      <c r="A9" s="248" t="s">
        <v>115</v>
      </c>
      <c r="B9" s="266" t="s">
        <v>118</v>
      </c>
      <c r="C9" s="467" t="s">
        <v>1184</v>
      </c>
      <c r="D9" s="250">
        <v>100663</v>
      </c>
      <c r="E9" s="251">
        <v>1</v>
      </c>
      <c r="F9" s="252">
        <v>370</v>
      </c>
      <c r="G9" s="253">
        <v>4492680</v>
      </c>
      <c r="H9" s="254">
        <v>381</v>
      </c>
      <c r="I9" s="254">
        <v>4903682</v>
      </c>
      <c r="J9" s="252">
        <v>370</v>
      </c>
      <c r="K9" s="253">
        <v>4077030</v>
      </c>
      <c r="L9" s="254">
        <v>381</v>
      </c>
      <c r="M9" s="254">
        <v>4320540</v>
      </c>
      <c r="N9" s="252">
        <v>370</v>
      </c>
      <c r="O9" s="253">
        <v>112120</v>
      </c>
      <c r="P9" s="254">
        <v>381</v>
      </c>
      <c r="Q9" s="254">
        <v>95217</v>
      </c>
      <c r="R9" s="252">
        <v>370</v>
      </c>
      <c r="S9" s="253">
        <v>2013415</v>
      </c>
      <c r="T9" s="254">
        <v>381</v>
      </c>
      <c r="U9" s="254">
        <v>2142385</v>
      </c>
      <c r="V9" s="252">
        <v>370</v>
      </c>
      <c r="W9" s="253">
        <v>21055</v>
      </c>
      <c r="X9" s="254">
        <v>381</v>
      </c>
      <c r="Y9" s="254">
        <v>50409</v>
      </c>
      <c r="Z9" s="252">
        <v>370</v>
      </c>
      <c r="AA9" s="253">
        <v>45795</v>
      </c>
      <c r="AB9" s="254">
        <v>381</v>
      </c>
      <c r="AC9" s="254">
        <v>48729</v>
      </c>
      <c r="AD9" s="252"/>
      <c r="AE9" s="253"/>
      <c r="AF9" s="254"/>
      <c r="AG9" s="254"/>
      <c r="AH9" s="252"/>
      <c r="AI9" s="253"/>
      <c r="AJ9" s="254"/>
      <c r="AK9" s="254"/>
      <c r="AL9" s="252"/>
      <c r="AM9" s="253"/>
      <c r="AN9" s="254"/>
      <c r="AO9" s="254"/>
      <c r="AP9" s="255">
        <f t="shared" si="8"/>
        <v>370</v>
      </c>
      <c r="AQ9" s="256">
        <f t="shared" si="9"/>
        <v>10762095</v>
      </c>
      <c r="AR9" s="257">
        <f t="shared" si="10"/>
        <v>381</v>
      </c>
      <c r="AS9" s="258">
        <f t="shared" si="11"/>
        <v>11560962</v>
      </c>
      <c r="AT9" s="259">
        <v>462</v>
      </c>
      <c r="AU9" s="253">
        <v>8518534</v>
      </c>
      <c r="AV9" s="260">
        <v>480</v>
      </c>
      <c r="AW9" s="260">
        <v>9499116</v>
      </c>
      <c r="AX9" s="252">
        <v>462</v>
      </c>
      <c r="AY9" s="253">
        <v>5090778</v>
      </c>
      <c r="AZ9" s="260">
        <v>480</v>
      </c>
      <c r="BA9" s="260">
        <v>5443200</v>
      </c>
      <c r="BB9" s="252">
        <v>462</v>
      </c>
      <c r="BC9" s="253">
        <v>212589</v>
      </c>
      <c r="BD9" s="260">
        <v>480</v>
      </c>
      <c r="BE9" s="260">
        <v>184449</v>
      </c>
      <c r="BF9" s="252">
        <v>462</v>
      </c>
      <c r="BG9" s="253">
        <v>3412866</v>
      </c>
      <c r="BH9" s="260">
        <v>480</v>
      </c>
      <c r="BI9" s="260">
        <v>3621577</v>
      </c>
      <c r="BJ9" s="252">
        <v>462</v>
      </c>
      <c r="BK9" s="253">
        <v>39923</v>
      </c>
      <c r="BL9" s="260">
        <v>480</v>
      </c>
      <c r="BM9" s="260">
        <v>97649</v>
      </c>
      <c r="BN9" s="252">
        <v>462</v>
      </c>
      <c r="BO9" s="253">
        <v>86832</v>
      </c>
      <c r="BP9" s="260">
        <v>480</v>
      </c>
      <c r="BQ9" s="260">
        <v>94394</v>
      </c>
      <c r="BR9" s="252">
        <v>0</v>
      </c>
      <c r="BS9" s="253">
        <v>0</v>
      </c>
      <c r="BT9" s="260">
        <v>0</v>
      </c>
      <c r="BU9" s="260">
        <v>0</v>
      </c>
      <c r="BV9" s="252"/>
      <c r="BW9" s="253"/>
      <c r="BX9" s="260"/>
      <c r="BY9" s="260"/>
      <c r="BZ9" s="252"/>
      <c r="CA9" s="253"/>
      <c r="CB9" s="260"/>
      <c r="CC9" s="260"/>
      <c r="CD9" s="255">
        <f t="shared" si="12"/>
        <v>462</v>
      </c>
      <c r="CE9" s="256">
        <f t="shared" si="13"/>
        <v>17361522</v>
      </c>
      <c r="CF9" s="257">
        <f t="shared" si="14"/>
        <v>480</v>
      </c>
      <c r="CG9" s="261">
        <f t="shared" si="15"/>
        <v>18940385</v>
      </c>
    </row>
    <row r="10" spans="1:105" s="263" customFormat="1" ht="12.75" customHeight="1">
      <c r="A10" s="248" t="s">
        <v>115</v>
      </c>
      <c r="B10" s="266" t="s">
        <v>119</v>
      </c>
      <c r="C10" s="467" t="s">
        <v>1185</v>
      </c>
      <c r="D10" s="250">
        <v>100706</v>
      </c>
      <c r="E10" s="251">
        <v>2</v>
      </c>
      <c r="F10" s="252">
        <v>265</v>
      </c>
      <c r="G10" s="253">
        <v>3506304</v>
      </c>
      <c r="H10" s="254">
        <v>266</v>
      </c>
      <c r="I10" s="254">
        <v>3319924</v>
      </c>
      <c r="J10" s="252">
        <v>187</v>
      </c>
      <c r="K10" s="253">
        <v>890273</v>
      </c>
      <c r="L10" s="254">
        <v>226</v>
      </c>
      <c r="M10" s="254">
        <v>1228124</v>
      </c>
      <c r="N10" s="252">
        <v>265</v>
      </c>
      <c r="O10" s="253">
        <v>100908</v>
      </c>
      <c r="P10" s="254">
        <v>266</v>
      </c>
      <c r="Q10" s="254">
        <v>97466</v>
      </c>
      <c r="R10" s="252">
        <v>265</v>
      </c>
      <c r="S10" s="253">
        <v>1285622</v>
      </c>
      <c r="T10" s="254">
        <v>266</v>
      </c>
      <c r="U10" s="254">
        <v>1506142</v>
      </c>
      <c r="V10" s="252">
        <v>265</v>
      </c>
      <c r="W10" s="253">
        <v>6866</v>
      </c>
      <c r="X10" s="254">
        <v>266</v>
      </c>
      <c r="Y10" s="254">
        <v>23698</v>
      </c>
      <c r="Z10" s="252">
        <v>265</v>
      </c>
      <c r="AA10" s="253">
        <v>56803</v>
      </c>
      <c r="AB10" s="254">
        <v>266</v>
      </c>
      <c r="AC10" s="254">
        <v>56811</v>
      </c>
      <c r="AD10" s="252"/>
      <c r="AE10" s="253"/>
      <c r="AF10" s="254"/>
      <c r="AG10" s="254"/>
      <c r="AH10" s="252">
        <v>11</v>
      </c>
      <c r="AI10" s="253">
        <v>16767</v>
      </c>
      <c r="AJ10" s="254">
        <v>18</v>
      </c>
      <c r="AK10" s="254">
        <v>26163</v>
      </c>
      <c r="AL10" s="252"/>
      <c r="AM10" s="253"/>
      <c r="AN10" s="254"/>
      <c r="AO10" s="254"/>
      <c r="AP10" s="255">
        <f t="shared" si="8"/>
        <v>265</v>
      </c>
      <c r="AQ10" s="256">
        <f t="shared" si="9"/>
        <v>5863543</v>
      </c>
      <c r="AR10" s="257">
        <f t="shared" si="10"/>
        <v>266</v>
      </c>
      <c r="AS10" s="258">
        <f t="shared" si="11"/>
        <v>6258328</v>
      </c>
      <c r="AT10" s="259">
        <v>38</v>
      </c>
      <c r="AU10" s="253">
        <v>664958</v>
      </c>
      <c r="AV10" s="260">
        <v>37</v>
      </c>
      <c r="AW10" s="260">
        <v>688631</v>
      </c>
      <c r="AX10" s="252">
        <v>31</v>
      </c>
      <c r="AY10" s="253">
        <v>157990</v>
      </c>
      <c r="AZ10" s="260">
        <v>31</v>
      </c>
      <c r="BA10" s="260">
        <v>179127</v>
      </c>
      <c r="BB10" s="252">
        <v>38</v>
      </c>
      <c r="BC10" s="253">
        <v>13090</v>
      </c>
      <c r="BD10" s="260">
        <v>37</v>
      </c>
      <c r="BE10" s="260">
        <v>13072</v>
      </c>
      <c r="BF10" s="252">
        <v>38</v>
      </c>
      <c r="BG10" s="253">
        <v>183492</v>
      </c>
      <c r="BH10" s="260">
        <v>37</v>
      </c>
      <c r="BI10" s="260">
        <v>253332</v>
      </c>
      <c r="BJ10" s="252">
        <v>38</v>
      </c>
      <c r="BK10" s="253">
        <v>1174</v>
      </c>
      <c r="BL10" s="260">
        <v>37</v>
      </c>
      <c r="BM10" s="260">
        <v>4479</v>
      </c>
      <c r="BN10" s="252">
        <v>38</v>
      </c>
      <c r="BO10" s="253">
        <v>7759</v>
      </c>
      <c r="BP10" s="260">
        <v>37</v>
      </c>
      <c r="BQ10" s="260">
        <v>8057</v>
      </c>
      <c r="BR10" s="252"/>
      <c r="BS10" s="253"/>
      <c r="BT10" s="260"/>
      <c r="BU10" s="260"/>
      <c r="BV10" s="252">
        <v>1</v>
      </c>
      <c r="BW10" s="253">
        <v>1493</v>
      </c>
      <c r="BX10" s="260">
        <v>1</v>
      </c>
      <c r="BY10" s="260">
        <v>1718</v>
      </c>
      <c r="BZ10" s="252"/>
      <c r="CA10" s="253"/>
      <c r="CB10" s="260"/>
      <c r="CC10" s="260"/>
      <c r="CD10" s="255">
        <f t="shared" si="12"/>
        <v>38</v>
      </c>
      <c r="CE10" s="256">
        <f t="shared" si="13"/>
        <v>1029956</v>
      </c>
      <c r="CF10" s="257">
        <f t="shared" si="14"/>
        <v>37</v>
      </c>
      <c r="CG10" s="261">
        <f t="shared" si="15"/>
        <v>1148416</v>
      </c>
    </row>
    <row r="11" spans="1:105" s="263" customFormat="1" ht="12.75" customHeight="1">
      <c r="A11" s="248" t="s">
        <v>115</v>
      </c>
      <c r="B11" s="249" t="s">
        <v>120</v>
      </c>
      <c r="C11" s="249"/>
      <c r="D11" s="250">
        <v>100654</v>
      </c>
      <c r="E11" s="251">
        <v>3</v>
      </c>
      <c r="F11" s="252">
        <v>277</v>
      </c>
      <c r="G11" s="253">
        <v>2016190</v>
      </c>
      <c r="H11" s="254">
        <v>193</v>
      </c>
      <c r="I11" s="254">
        <v>1201359</v>
      </c>
      <c r="J11" s="252">
        <v>223</v>
      </c>
      <c r="K11" s="253">
        <v>953342</v>
      </c>
      <c r="L11" s="254">
        <v>160</v>
      </c>
      <c r="M11" s="254">
        <v>781953</v>
      </c>
      <c r="N11" s="252"/>
      <c r="O11" s="253"/>
      <c r="P11" s="254"/>
      <c r="Q11" s="254"/>
      <c r="R11" s="252">
        <v>277</v>
      </c>
      <c r="S11" s="253">
        <v>882538</v>
      </c>
      <c r="T11" s="254">
        <v>205</v>
      </c>
      <c r="U11" s="254">
        <v>706941</v>
      </c>
      <c r="V11" s="252">
        <v>43</v>
      </c>
      <c r="W11" s="253">
        <v>109</v>
      </c>
      <c r="X11" s="254">
        <v>53</v>
      </c>
      <c r="Y11" s="254">
        <v>80</v>
      </c>
      <c r="Z11" s="252">
        <v>277</v>
      </c>
      <c r="AA11" s="253">
        <v>54227</v>
      </c>
      <c r="AB11" s="254">
        <v>166</v>
      </c>
      <c r="AC11" s="254">
        <v>27782</v>
      </c>
      <c r="AD11" s="252"/>
      <c r="AE11" s="253"/>
      <c r="AF11" s="254"/>
      <c r="AG11" s="254"/>
      <c r="AH11" s="252"/>
      <c r="AI11" s="253"/>
      <c r="AJ11" s="254"/>
      <c r="AK11" s="254"/>
      <c r="AL11" s="252"/>
      <c r="AM11" s="253"/>
      <c r="AN11" s="254"/>
      <c r="AO11" s="254"/>
      <c r="AP11" s="255">
        <f t="shared" si="8"/>
        <v>277</v>
      </c>
      <c r="AQ11" s="256">
        <f t="shared" si="9"/>
        <v>3906406</v>
      </c>
      <c r="AR11" s="257">
        <f t="shared" si="10"/>
        <v>205</v>
      </c>
      <c r="AS11" s="258">
        <f t="shared" si="11"/>
        <v>2718115</v>
      </c>
      <c r="AT11" s="259">
        <v>34</v>
      </c>
      <c r="AU11" s="253">
        <v>433861</v>
      </c>
      <c r="AV11" s="260">
        <v>31</v>
      </c>
      <c r="AW11" s="260">
        <v>374118</v>
      </c>
      <c r="AX11" s="252">
        <v>27</v>
      </c>
      <c r="AY11" s="253">
        <v>166404</v>
      </c>
      <c r="AZ11" s="260">
        <v>22</v>
      </c>
      <c r="BA11" s="260">
        <v>142560</v>
      </c>
      <c r="BB11" s="252"/>
      <c r="BC11" s="253"/>
      <c r="BD11" s="260"/>
      <c r="BE11" s="260"/>
      <c r="BF11" s="252">
        <v>34</v>
      </c>
      <c r="BG11" s="253">
        <v>196351</v>
      </c>
      <c r="BH11" s="260">
        <v>31</v>
      </c>
      <c r="BI11" s="260">
        <v>183386</v>
      </c>
      <c r="BJ11" s="252">
        <v>7</v>
      </c>
      <c r="BK11" s="253">
        <v>41</v>
      </c>
      <c r="BL11" s="260">
        <v>31</v>
      </c>
      <c r="BM11" s="260">
        <v>68</v>
      </c>
      <c r="BN11" s="252">
        <v>34</v>
      </c>
      <c r="BO11" s="253">
        <v>13724</v>
      </c>
      <c r="BP11" s="260">
        <v>31</v>
      </c>
      <c r="BQ11" s="260">
        <v>13344</v>
      </c>
      <c r="BR11" s="252"/>
      <c r="BS11" s="253"/>
      <c r="BT11" s="260"/>
      <c r="BU11" s="260"/>
      <c r="BV11" s="252"/>
      <c r="BW11" s="253"/>
      <c r="BX11" s="260"/>
      <c r="BY11" s="260"/>
      <c r="BZ11" s="252"/>
      <c r="CA11" s="253"/>
      <c r="CB11" s="260"/>
      <c r="CC11" s="260"/>
      <c r="CD11" s="255">
        <f t="shared" si="12"/>
        <v>34</v>
      </c>
      <c r="CE11" s="256">
        <f t="shared" si="13"/>
        <v>810381</v>
      </c>
      <c r="CF11" s="257">
        <f t="shared" si="14"/>
        <v>31</v>
      </c>
      <c r="CG11" s="261">
        <f t="shared" si="15"/>
        <v>713476</v>
      </c>
    </row>
    <row r="12" spans="1:105" s="263" customFormat="1" ht="12.75" customHeight="1">
      <c r="A12" s="248" t="s">
        <v>115</v>
      </c>
      <c r="B12" s="249" t="s">
        <v>121</v>
      </c>
      <c r="C12" s="249"/>
      <c r="D12" s="250">
        <v>101480</v>
      </c>
      <c r="E12" s="251">
        <v>3</v>
      </c>
      <c r="F12" s="252">
        <v>289</v>
      </c>
      <c r="G12" s="253">
        <v>2942311</v>
      </c>
      <c r="H12" s="254">
        <v>296</v>
      </c>
      <c r="I12" s="254">
        <v>3016151</v>
      </c>
      <c r="J12" s="252">
        <v>289</v>
      </c>
      <c r="K12" s="253">
        <v>2607936</v>
      </c>
      <c r="L12" s="254">
        <v>296</v>
      </c>
      <c r="M12" s="254">
        <v>2671104</v>
      </c>
      <c r="N12" s="252">
        <v>289</v>
      </c>
      <c r="O12" s="253">
        <v>79481</v>
      </c>
      <c r="P12" s="254">
        <v>296</v>
      </c>
      <c r="Q12" s="254">
        <v>81476</v>
      </c>
      <c r="R12" s="252">
        <v>289</v>
      </c>
      <c r="S12" s="253">
        <v>1041824</v>
      </c>
      <c r="T12" s="254">
        <v>296</v>
      </c>
      <c r="U12" s="254">
        <v>1067969</v>
      </c>
      <c r="V12" s="252">
        <v>289</v>
      </c>
      <c r="W12" s="253">
        <v>11763</v>
      </c>
      <c r="X12" s="254">
        <v>296</v>
      </c>
      <c r="Y12" s="254">
        <v>15503</v>
      </c>
      <c r="Z12" s="252">
        <v>289</v>
      </c>
      <c r="AA12" s="253">
        <v>64526</v>
      </c>
      <c r="AB12" s="254">
        <v>296</v>
      </c>
      <c r="AC12" s="254">
        <v>66145</v>
      </c>
      <c r="AD12" s="252"/>
      <c r="AE12" s="253"/>
      <c r="AF12" s="254"/>
      <c r="AG12" s="254"/>
      <c r="AH12" s="252"/>
      <c r="AI12" s="253"/>
      <c r="AJ12" s="254"/>
      <c r="AK12" s="254"/>
      <c r="AL12" s="252"/>
      <c r="AM12" s="253"/>
      <c r="AN12" s="254">
        <v>99</v>
      </c>
      <c r="AO12" s="254">
        <v>4453</v>
      </c>
      <c r="AP12" s="255">
        <f t="shared" si="8"/>
        <v>289</v>
      </c>
      <c r="AQ12" s="256">
        <f t="shared" si="9"/>
        <v>6747841</v>
      </c>
      <c r="AR12" s="257">
        <f t="shared" si="10"/>
        <v>296</v>
      </c>
      <c r="AS12" s="258">
        <f t="shared" si="11"/>
        <v>6922801</v>
      </c>
      <c r="AT12" s="259">
        <v>33</v>
      </c>
      <c r="AU12" s="253">
        <v>534700</v>
      </c>
      <c r="AV12" s="260">
        <v>30</v>
      </c>
      <c r="AW12" s="260">
        <v>490228</v>
      </c>
      <c r="AX12" s="252">
        <v>33</v>
      </c>
      <c r="AY12" s="253">
        <v>297792</v>
      </c>
      <c r="AZ12" s="260">
        <v>30</v>
      </c>
      <c r="BA12" s="260">
        <v>270720</v>
      </c>
      <c r="BB12" s="252">
        <v>33</v>
      </c>
      <c r="BC12" s="253">
        <v>14444</v>
      </c>
      <c r="BD12" s="260">
        <v>30</v>
      </c>
      <c r="BE12" s="260">
        <v>13243</v>
      </c>
      <c r="BF12" s="252">
        <v>33</v>
      </c>
      <c r="BG12" s="253">
        <v>189329</v>
      </c>
      <c r="BH12" s="260">
        <v>30</v>
      </c>
      <c r="BI12" s="260">
        <v>173582</v>
      </c>
      <c r="BJ12" s="252">
        <v>33</v>
      </c>
      <c r="BK12" s="253">
        <v>2138</v>
      </c>
      <c r="BL12" s="260">
        <v>30</v>
      </c>
      <c r="BM12" s="260">
        <v>2520</v>
      </c>
      <c r="BN12" s="252">
        <v>33</v>
      </c>
      <c r="BO12" s="253">
        <v>11726</v>
      </c>
      <c r="BP12" s="260">
        <v>30</v>
      </c>
      <c r="BQ12" s="260">
        <v>10751</v>
      </c>
      <c r="BR12" s="252"/>
      <c r="BS12" s="253"/>
      <c r="BT12" s="260"/>
      <c r="BU12" s="260"/>
      <c r="BV12" s="252"/>
      <c r="BW12" s="253"/>
      <c r="BX12" s="260"/>
      <c r="BY12" s="260"/>
      <c r="BZ12" s="252"/>
      <c r="CA12" s="253"/>
      <c r="CB12" s="260"/>
      <c r="CC12" s="260"/>
      <c r="CD12" s="255">
        <f t="shared" si="12"/>
        <v>33</v>
      </c>
      <c r="CE12" s="256">
        <f t="shared" si="13"/>
        <v>1050129</v>
      </c>
      <c r="CF12" s="257">
        <f t="shared" si="14"/>
        <v>30</v>
      </c>
      <c r="CG12" s="261">
        <f t="shared" si="15"/>
        <v>961044</v>
      </c>
    </row>
    <row r="13" spans="1:105" s="263" customFormat="1" ht="12.75" customHeight="1">
      <c r="A13" s="248" t="s">
        <v>115</v>
      </c>
      <c r="B13" s="264" t="s">
        <v>122</v>
      </c>
      <c r="C13" s="264"/>
      <c r="D13" s="265">
        <v>102368</v>
      </c>
      <c r="E13" s="265">
        <v>3</v>
      </c>
      <c r="F13" s="252">
        <v>261</v>
      </c>
      <c r="G13" s="253">
        <v>1689239</v>
      </c>
      <c r="H13" s="254">
        <v>294</v>
      </c>
      <c r="I13" s="254">
        <v>1957276</v>
      </c>
      <c r="J13" s="252">
        <v>194</v>
      </c>
      <c r="K13" s="253">
        <v>873310</v>
      </c>
      <c r="L13" s="254">
        <v>229</v>
      </c>
      <c r="M13" s="254">
        <v>1088717</v>
      </c>
      <c r="N13" s="252">
        <v>261</v>
      </c>
      <c r="O13" s="253">
        <v>17868</v>
      </c>
      <c r="P13" s="254">
        <v>294</v>
      </c>
      <c r="Q13" s="254">
        <v>19253</v>
      </c>
      <c r="R13" s="252">
        <v>261</v>
      </c>
      <c r="S13" s="253">
        <v>964490</v>
      </c>
      <c r="T13" s="254">
        <v>294</v>
      </c>
      <c r="U13" s="254">
        <v>1114522</v>
      </c>
      <c r="V13" s="252">
        <v>261</v>
      </c>
      <c r="W13" s="253">
        <v>18866</v>
      </c>
      <c r="X13" s="254">
        <v>294</v>
      </c>
      <c r="Y13" s="254">
        <v>21957</v>
      </c>
      <c r="Z13" s="252">
        <v>261</v>
      </c>
      <c r="AA13" s="253">
        <v>71780</v>
      </c>
      <c r="AB13" s="254">
        <v>294</v>
      </c>
      <c r="AC13" s="254">
        <v>71976</v>
      </c>
      <c r="AD13" s="252">
        <v>0</v>
      </c>
      <c r="AE13" s="253">
        <v>0</v>
      </c>
      <c r="AF13" s="254"/>
      <c r="AG13" s="254"/>
      <c r="AH13" s="252">
        <v>28</v>
      </c>
      <c r="AI13" s="253">
        <v>163081</v>
      </c>
      <c r="AJ13" s="254">
        <v>26</v>
      </c>
      <c r="AK13" s="254">
        <v>140811</v>
      </c>
      <c r="AL13" s="252">
        <v>76</v>
      </c>
      <c r="AM13" s="253">
        <v>3420</v>
      </c>
      <c r="AN13" s="254"/>
      <c r="AO13" s="254"/>
      <c r="AP13" s="255">
        <f t="shared" si="8"/>
        <v>261</v>
      </c>
      <c r="AQ13" s="256">
        <f t="shared" si="9"/>
        <v>3802054</v>
      </c>
      <c r="AR13" s="257">
        <f t="shared" si="10"/>
        <v>294</v>
      </c>
      <c r="AS13" s="258">
        <f t="shared" si="11"/>
        <v>4414512</v>
      </c>
      <c r="AT13" s="259">
        <v>124</v>
      </c>
      <c r="AU13" s="253">
        <v>780979</v>
      </c>
      <c r="AV13" s="260">
        <v>137</v>
      </c>
      <c r="AW13" s="260">
        <v>974598</v>
      </c>
      <c r="AX13" s="252">
        <v>66</v>
      </c>
      <c r="AY13" s="253">
        <v>356049</v>
      </c>
      <c r="AZ13" s="260">
        <v>83</v>
      </c>
      <c r="BA13" s="260">
        <v>481509</v>
      </c>
      <c r="BB13" s="252">
        <v>124</v>
      </c>
      <c r="BC13" s="253">
        <v>8795</v>
      </c>
      <c r="BD13" s="260">
        <v>137</v>
      </c>
      <c r="BE13" s="260">
        <v>10696</v>
      </c>
      <c r="BF13" s="252">
        <v>124</v>
      </c>
      <c r="BG13" s="253">
        <v>442700</v>
      </c>
      <c r="BH13" s="260">
        <v>137</v>
      </c>
      <c r="BI13" s="260">
        <v>521011</v>
      </c>
      <c r="BJ13" s="252">
        <v>124</v>
      </c>
      <c r="BK13" s="253">
        <v>8753</v>
      </c>
      <c r="BL13" s="260">
        <v>137</v>
      </c>
      <c r="BM13" s="260">
        <v>10998</v>
      </c>
      <c r="BN13" s="252">
        <v>124</v>
      </c>
      <c r="BO13" s="253">
        <v>38960</v>
      </c>
      <c r="BP13" s="260">
        <v>137</v>
      </c>
      <c r="BQ13" s="260">
        <v>33495</v>
      </c>
      <c r="BR13" s="252">
        <v>0</v>
      </c>
      <c r="BS13" s="253">
        <v>0</v>
      </c>
      <c r="BT13" s="260">
        <v>0</v>
      </c>
      <c r="BU13" s="260">
        <v>0</v>
      </c>
      <c r="BV13" s="252">
        <v>8</v>
      </c>
      <c r="BW13" s="253">
        <v>48455</v>
      </c>
      <c r="BX13" s="260">
        <v>6</v>
      </c>
      <c r="BY13" s="260">
        <v>30378</v>
      </c>
      <c r="BZ13" s="252">
        <v>28</v>
      </c>
      <c r="CA13" s="253">
        <v>1458</v>
      </c>
      <c r="CB13" s="260">
        <v>44</v>
      </c>
      <c r="CC13" s="260">
        <v>2268</v>
      </c>
      <c r="CD13" s="255">
        <f t="shared" si="12"/>
        <v>124</v>
      </c>
      <c r="CE13" s="256">
        <f t="shared" si="13"/>
        <v>1686149</v>
      </c>
      <c r="CF13" s="257">
        <f t="shared" si="14"/>
        <v>137</v>
      </c>
      <c r="CG13" s="261">
        <f t="shared" si="15"/>
        <v>2064953</v>
      </c>
    </row>
    <row r="14" spans="1:105" s="263" customFormat="1" ht="12.75" customHeight="1">
      <c r="A14" s="248" t="s">
        <v>115</v>
      </c>
      <c r="B14" s="249" t="s">
        <v>123</v>
      </c>
      <c r="C14" s="249"/>
      <c r="D14" s="250">
        <v>102094</v>
      </c>
      <c r="E14" s="251">
        <v>3</v>
      </c>
      <c r="F14" s="252">
        <v>328</v>
      </c>
      <c r="G14" s="253">
        <v>1950244</v>
      </c>
      <c r="H14" s="254">
        <v>328</v>
      </c>
      <c r="I14" s="254">
        <v>1941173</v>
      </c>
      <c r="J14" s="252">
        <v>265</v>
      </c>
      <c r="K14" s="253">
        <v>1437120</v>
      </c>
      <c r="L14" s="254">
        <v>289</v>
      </c>
      <c r="M14" s="254">
        <v>3246804</v>
      </c>
      <c r="N14" s="252">
        <v>331</v>
      </c>
      <c r="O14" s="253">
        <v>168240</v>
      </c>
      <c r="P14" s="254">
        <v>328</v>
      </c>
      <c r="Q14" s="254">
        <v>162912</v>
      </c>
      <c r="R14" s="252">
        <v>331</v>
      </c>
      <c r="S14" s="253">
        <v>1621961</v>
      </c>
      <c r="T14" s="254">
        <v>328</v>
      </c>
      <c r="U14" s="254">
        <v>1586536</v>
      </c>
      <c r="V14" s="252"/>
      <c r="W14" s="253"/>
      <c r="X14" s="254"/>
      <c r="Y14" s="254"/>
      <c r="Z14" s="252">
        <v>313</v>
      </c>
      <c r="AA14" s="253">
        <v>41430</v>
      </c>
      <c r="AB14" s="254">
        <v>328</v>
      </c>
      <c r="AC14" s="254">
        <v>42865</v>
      </c>
      <c r="AD14" s="252"/>
      <c r="AE14" s="253"/>
      <c r="AF14" s="254"/>
      <c r="AG14" s="254"/>
      <c r="AH14" s="252"/>
      <c r="AI14" s="253"/>
      <c r="AJ14" s="254"/>
      <c r="AK14" s="254"/>
      <c r="AL14" s="252"/>
      <c r="AM14" s="253"/>
      <c r="AN14" s="254"/>
      <c r="AO14" s="254"/>
      <c r="AP14" s="255">
        <f t="shared" si="8"/>
        <v>331</v>
      </c>
      <c r="AQ14" s="256">
        <f t="shared" si="9"/>
        <v>5218995</v>
      </c>
      <c r="AR14" s="257">
        <f t="shared" si="10"/>
        <v>328</v>
      </c>
      <c r="AS14" s="258">
        <f t="shared" si="11"/>
        <v>6980290</v>
      </c>
      <c r="AT14" s="259">
        <v>171</v>
      </c>
      <c r="AU14" s="253">
        <v>1422823</v>
      </c>
      <c r="AV14" s="260">
        <v>186</v>
      </c>
      <c r="AW14" s="260">
        <v>1465310</v>
      </c>
      <c r="AX14" s="252">
        <v>134</v>
      </c>
      <c r="AY14" s="253">
        <v>714624</v>
      </c>
      <c r="AZ14" s="260">
        <v>162</v>
      </c>
      <c r="BA14" s="260">
        <v>1830120</v>
      </c>
      <c r="BB14" s="252">
        <v>172</v>
      </c>
      <c r="BC14" s="253">
        <v>119530</v>
      </c>
      <c r="BD14" s="260">
        <v>186</v>
      </c>
      <c r="BE14" s="260">
        <v>124240</v>
      </c>
      <c r="BF14" s="252">
        <v>172</v>
      </c>
      <c r="BG14" s="253">
        <v>1176479</v>
      </c>
      <c r="BH14" s="260">
        <v>186</v>
      </c>
      <c r="BI14" s="260">
        <v>1197609</v>
      </c>
      <c r="BJ14" s="252"/>
      <c r="BK14" s="253"/>
      <c r="BL14" s="260"/>
      <c r="BM14" s="260"/>
      <c r="BN14" s="252">
        <v>164</v>
      </c>
      <c r="BO14" s="253">
        <v>26185</v>
      </c>
      <c r="BP14" s="260">
        <v>186</v>
      </c>
      <c r="BQ14" s="260">
        <v>29278</v>
      </c>
      <c r="BR14" s="252"/>
      <c r="BS14" s="253"/>
      <c r="BT14" s="260"/>
      <c r="BU14" s="260"/>
      <c r="BV14" s="252"/>
      <c r="BW14" s="253"/>
      <c r="BX14" s="260"/>
      <c r="BY14" s="260"/>
      <c r="BZ14" s="252"/>
      <c r="CA14" s="253"/>
      <c r="CB14" s="260"/>
      <c r="CC14" s="260"/>
      <c r="CD14" s="255">
        <f t="shared" si="12"/>
        <v>172</v>
      </c>
      <c r="CE14" s="256">
        <f t="shared" si="13"/>
        <v>3459641</v>
      </c>
      <c r="CF14" s="257">
        <f t="shared" si="14"/>
        <v>186</v>
      </c>
      <c r="CG14" s="261">
        <f t="shared" si="15"/>
        <v>4646557</v>
      </c>
    </row>
    <row r="15" spans="1:105" s="263" customFormat="1">
      <c r="A15" s="248" t="s">
        <v>115</v>
      </c>
      <c r="B15" s="266" t="s">
        <v>124</v>
      </c>
      <c r="C15" s="266"/>
      <c r="D15" s="250">
        <v>100724</v>
      </c>
      <c r="E15" s="251">
        <v>4</v>
      </c>
      <c r="F15" s="252">
        <v>225</v>
      </c>
      <c r="G15" s="253">
        <v>1776200</v>
      </c>
      <c r="H15" s="254">
        <v>242</v>
      </c>
      <c r="I15" s="254">
        <v>1939214</v>
      </c>
      <c r="J15" s="252">
        <v>225</v>
      </c>
      <c r="K15" s="253">
        <v>916998</v>
      </c>
      <c r="L15" s="254">
        <v>242</v>
      </c>
      <c r="M15" s="254">
        <v>1156074</v>
      </c>
      <c r="N15" s="252">
        <v>225</v>
      </c>
      <c r="O15" s="253">
        <v>24137</v>
      </c>
      <c r="P15" s="254">
        <v>242</v>
      </c>
      <c r="Q15" s="254">
        <v>26352</v>
      </c>
      <c r="R15" s="252">
        <v>225</v>
      </c>
      <c r="S15" s="253">
        <v>1086166</v>
      </c>
      <c r="T15" s="254">
        <v>242</v>
      </c>
      <c r="U15" s="254">
        <v>1185851</v>
      </c>
      <c r="V15" s="252"/>
      <c r="W15" s="253"/>
      <c r="X15" s="254"/>
      <c r="Y15" s="254"/>
      <c r="Z15" s="252">
        <v>225</v>
      </c>
      <c r="AA15" s="253">
        <v>10638</v>
      </c>
      <c r="AB15" s="254">
        <v>242</v>
      </c>
      <c r="AC15" s="254">
        <v>11442</v>
      </c>
      <c r="AD15" s="252"/>
      <c r="AE15" s="253"/>
      <c r="AF15" s="254"/>
      <c r="AG15" s="254"/>
      <c r="AH15" s="252">
        <v>5</v>
      </c>
      <c r="AI15" s="253">
        <v>7725</v>
      </c>
      <c r="AJ15" s="254">
        <v>5</v>
      </c>
      <c r="AK15" s="254">
        <v>9468</v>
      </c>
      <c r="AL15" s="252"/>
      <c r="AM15" s="253"/>
      <c r="AN15" s="254"/>
      <c r="AO15" s="254"/>
      <c r="AP15" s="255">
        <f t="shared" si="8"/>
        <v>225</v>
      </c>
      <c r="AQ15" s="256">
        <f t="shared" si="9"/>
        <v>3821864</v>
      </c>
      <c r="AR15" s="257">
        <f t="shared" si="10"/>
        <v>242</v>
      </c>
      <c r="AS15" s="258">
        <f t="shared" si="11"/>
        <v>4328401</v>
      </c>
      <c r="AT15" s="259">
        <v>16</v>
      </c>
      <c r="AU15" s="253">
        <v>132199</v>
      </c>
      <c r="AV15" s="260">
        <v>11</v>
      </c>
      <c r="AW15" s="260">
        <v>85050</v>
      </c>
      <c r="AX15" s="252">
        <v>16</v>
      </c>
      <c r="AY15" s="253">
        <v>64884</v>
      </c>
      <c r="AZ15" s="260">
        <v>11</v>
      </c>
      <c r="BA15" s="260">
        <v>52528</v>
      </c>
      <c r="BB15" s="252">
        <v>16</v>
      </c>
      <c r="BC15" s="253">
        <v>1796</v>
      </c>
      <c r="BD15" s="260">
        <v>11</v>
      </c>
      <c r="BE15" s="260">
        <v>1156</v>
      </c>
      <c r="BF15" s="252">
        <v>16</v>
      </c>
      <c r="BG15" s="253">
        <v>80394</v>
      </c>
      <c r="BH15" s="260">
        <v>11</v>
      </c>
      <c r="BI15" s="260">
        <v>52009</v>
      </c>
      <c r="BJ15" s="252"/>
      <c r="BK15" s="253"/>
      <c r="BL15" s="260"/>
      <c r="BM15" s="260"/>
      <c r="BN15" s="252">
        <v>16</v>
      </c>
      <c r="BO15" s="253">
        <v>756</v>
      </c>
      <c r="BP15" s="260">
        <v>11</v>
      </c>
      <c r="BQ15" s="260">
        <v>520</v>
      </c>
      <c r="BR15" s="252"/>
      <c r="BS15" s="253"/>
      <c r="BT15" s="260"/>
      <c r="BU15" s="260"/>
      <c r="BV15" s="252"/>
      <c r="BW15" s="253"/>
      <c r="BX15" s="260"/>
      <c r="BY15" s="260"/>
      <c r="BZ15" s="252"/>
      <c r="CA15" s="253"/>
      <c r="CB15" s="260"/>
      <c r="CC15" s="260"/>
      <c r="CD15" s="255">
        <f t="shared" si="12"/>
        <v>16</v>
      </c>
      <c r="CE15" s="256">
        <f t="shared" si="13"/>
        <v>280029</v>
      </c>
      <c r="CF15" s="257">
        <f t="shared" si="14"/>
        <v>11</v>
      </c>
      <c r="CG15" s="261">
        <f t="shared" si="15"/>
        <v>191263</v>
      </c>
    </row>
    <row r="16" spans="1:105" s="263" customFormat="1">
      <c r="A16" s="248" t="s">
        <v>115</v>
      </c>
      <c r="B16" s="249" t="s">
        <v>125</v>
      </c>
      <c r="C16" s="249"/>
      <c r="D16" s="250">
        <v>100830</v>
      </c>
      <c r="E16" s="251">
        <v>4</v>
      </c>
      <c r="F16" s="252">
        <v>156</v>
      </c>
      <c r="G16" s="253">
        <v>1425466</v>
      </c>
      <c r="H16" s="254">
        <v>143</v>
      </c>
      <c r="I16" s="254">
        <v>1285398</v>
      </c>
      <c r="J16" s="252">
        <v>122</v>
      </c>
      <c r="K16" s="253">
        <v>626971</v>
      </c>
      <c r="L16" s="254">
        <v>111</v>
      </c>
      <c r="M16" s="254">
        <v>604244</v>
      </c>
      <c r="N16" s="252">
        <v>140</v>
      </c>
      <c r="O16" s="253">
        <v>11788</v>
      </c>
      <c r="P16" s="254">
        <v>129</v>
      </c>
      <c r="Q16" s="254">
        <v>10915</v>
      </c>
      <c r="R16" s="252">
        <v>156</v>
      </c>
      <c r="S16" s="253">
        <v>613086</v>
      </c>
      <c r="T16" s="254">
        <v>142</v>
      </c>
      <c r="U16" s="254">
        <v>551655</v>
      </c>
      <c r="V16" s="252">
        <v>156</v>
      </c>
      <c r="W16" s="253">
        <v>10984</v>
      </c>
      <c r="X16" s="254">
        <v>143</v>
      </c>
      <c r="Y16" s="254">
        <v>18974</v>
      </c>
      <c r="Z16" s="252">
        <v>156</v>
      </c>
      <c r="AA16" s="253">
        <v>6546</v>
      </c>
      <c r="AB16" s="254">
        <v>142</v>
      </c>
      <c r="AC16" s="254">
        <v>5950</v>
      </c>
      <c r="AD16" s="252">
        <v>156</v>
      </c>
      <c r="AE16" s="253">
        <v>15727</v>
      </c>
      <c r="AF16" s="254">
        <v>143</v>
      </c>
      <c r="AG16" s="254">
        <v>14230</v>
      </c>
      <c r="AH16" s="252"/>
      <c r="AI16" s="253"/>
      <c r="AJ16" s="254"/>
      <c r="AK16" s="254"/>
      <c r="AL16" s="252"/>
      <c r="AM16" s="253"/>
      <c r="AN16" s="254"/>
      <c r="AO16" s="254"/>
      <c r="AP16" s="255">
        <f t="shared" si="8"/>
        <v>156</v>
      </c>
      <c r="AQ16" s="256">
        <f t="shared" si="9"/>
        <v>2710568</v>
      </c>
      <c r="AR16" s="257">
        <f t="shared" si="10"/>
        <v>143</v>
      </c>
      <c r="AS16" s="258">
        <f t="shared" si="11"/>
        <v>2491366</v>
      </c>
      <c r="AT16" s="259">
        <v>29</v>
      </c>
      <c r="AU16" s="253">
        <v>370246</v>
      </c>
      <c r="AV16" s="260">
        <v>36</v>
      </c>
      <c r="AW16" s="260">
        <v>393548</v>
      </c>
      <c r="AX16" s="252">
        <v>24</v>
      </c>
      <c r="AY16" s="253">
        <v>132507</v>
      </c>
      <c r="AZ16" s="260">
        <v>29</v>
      </c>
      <c r="BA16" s="260">
        <v>164124</v>
      </c>
      <c r="BB16" s="252">
        <v>27</v>
      </c>
      <c r="BC16" s="253">
        <v>30163</v>
      </c>
      <c r="BD16" s="260">
        <v>32</v>
      </c>
      <c r="BE16" s="260">
        <v>3275</v>
      </c>
      <c r="BF16" s="252">
        <v>29</v>
      </c>
      <c r="BG16" s="253">
        <v>27107</v>
      </c>
      <c r="BH16" s="260">
        <v>36</v>
      </c>
      <c r="BI16" s="260">
        <v>171675</v>
      </c>
      <c r="BJ16" s="252">
        <v>29</v>
      </c>
      <c r="BK16" s="253">
        <v>2892</v>
      </c>
      <c r="BL16" s="260">
        <v>36</v>
      </c>
      <c r="BM16" s="260">
        <v>5914</v>
      </c>
      <c r="BN16" s="252">
        <v>29</v>
      </c>
      <c r="BO16" s="253">
        <v>1260</v>
      </c>
      <c r="BP16" s="260">
        <v>36</v>
      </c>
      <c r="BQ16" s="260">
        <v>1512</v>
      </c>
      <c r="BR16" s="252">
        <v>29</v>
      </c>
      <c r="BS16" s="253">
        <v>4145</v>
      </c>
      <c r="BT16" s="260">
        <v>36</v>
      </c>
      <c r="BU16" s="260">
        <v>4435</v>
      </c>
      <c r="BV16" s="252"/>
      <c r="BW16" s="253"/>
      <c r="BX16" s="260"/>
      <c r="BY16" s="260"/>
      <c r="BZ16" s="252"/>
      <c r="CA16" s="253"/>
      <c r="CB16" s="260"/>
      <c r="CC16" s="260"/>
      <c r="CD16" s="255">
        <f t="shared" si="12"/>
        <v>29</v>
      </c>
      <c r="CE16" s="256">
        <f t="shared" si="13"/>
        <v>568320</v>
      </c>
      <c r="CF16" s="257">
        <f t="shared" si="14"/>
        <v>36</v>
      </c>
      <c r="CG16" s="261">
        <f t="shared" si="15"/>
        <v>744483</v>
      </c>
    </row>
    <row r="17" spans="1:85" s="263" customFormat="1">
      <c r="A17" s="248" t="s">
        <v>115</v>
      </c>
      <c r="B17" s="249" t="s">
        <v>126</v>
      </c>
      <c r="C17" s="249"/>
      <c r="D17" s="250">
        <v>101879</v>
      </c>
      <c r="E17" s="251">
        <v>4</v>
      </c>
      <c r="F17" s="252">
        <v>226</v>
      </c>
      <c r="G17" s="253">
        <v>1774399</v>
      </c>
      <c r="H17" s="254">
        <v>229</v>
      </c>
      <c r="I17" s="254">
        <v>1877607</v>
      </c>
      <c r="J17" s="252">
        <v>226</v>
      </c>
      <c r="K17" s="253">
        <v>1073789</v>
      </c>
      <c r="L17" s="254">
        <v>229</v>
      </c>
      <c r="M17" s="254">
        <v>1181475</v>
      </c>
      <c r="N17" s="252">
        <v>226</v>
      </c>
      <c r="O17" s="253">
        <v>45388</v>
      </c>
      <c r="P17" s="254">
        <v>229</v>
      </c>
      <c r="Q17" s="254">
        <v>48028</v>
      </c>
      <c r="R17" s="252">
        <v>226</v>
      </c>
      <c r="S17" s="253">
        <v>1085064</v>
      </c>
      <c r="T17" s="254">
        <v>229</v>
      </c>
      <c r="U17" s="254">
        <v>1148177</v>
      </c>
      <c r="V17" s="252"/>
      <c r="W17" s="253"/>
      <c r="X17" s="254"/>
      <c r="Y17" s="254"/>
      <c r="Z17" s="252">
        <v>226</v>
      </c>
      <c r="AA17" s="253">
        <v>51062</v>
      </c>
      <c r="AB17" s="254">
        <v>229</v>
      </c>
      <c r="AC17" s="254">
        <v>54032</v>
      </c>
      <c r="AD17" s="252"/>
      <c r="AE17" s="253"/>
      <c r="AF17" s="267"/>
      <c r="AG17" s="268"/>
      <c r="AH17" s="252">
        <v>226</v>
      </c>
      <c r="AI17" s="253">
        <v>226444</v>
      </c>
      <c r="AJ17" s="254">
        <v>229</v>
      </c>
      <c r="AK17" s="254">
        <v>254190</v>
      </c>
      <c r="AL17" s="252"/>
      <c r="AM17" s="253"/>
      <c r="AN17" s="254"/>
      <c r="AO17" s="254"/>
      <c r="AP17" s="255">
        <f t="shared" si="8"/>
        <v>226</v>
      </c>
      <c r="AQ17" s="256">
        <f t="shared" si="9"/>
        <v>4256146</v>
      </c>
      <c r="AR17" s="257">
        <f t="shared" si="10"/>
        <v>229</v>
      </c>
      <c r="AS17" s="258">
        <f t="shared" si="11"/>
        <v>4563509</v>
      </c>
      <c r="AT17" s="259">
        <v>9</v>
      </c>
      <c r="AU17" s="253">
        <v>89034</v>
      </c>
      <c r="AV17" s="260">
        <v>9</v>
      </c>
      <c r="AW17" s="260">
        <v>89803</v>
      </c>
      <c r="AX17" s="252">
        <v>9</v>
      </c>
      <c r="AY17" s="253">
        <v>42761</v>
      </c>
      <c r="AZ17" s="260">
        <v>9</v>
      </c>
      <c r="BA17" s="260">
        <v>46434</v>
      </c>
      <c r="BB17" s="252">
        <v>9</v>
      </c>
      <c r="BC17" s="253">
        <v>2278</v>
      </c>
      <c r="BD17" s="260">
        <v>9</v>
      </c>
      <c r="BE17" s="260">
        <v>2297</v>
      </c>
      <c r="BF17" s="252">
        <v>9</v>
      </c>
      <c r="BG17" s="253">
        <v>54445</v>
      </c>
      <c r="BH17" s="260">
        <v>9</v>
      </c>
      <c r="BI17" s="260">
        <v>54915</v>
      </c>
      <c r="BJ17" s="252"/>
      <c r="BK17" s="253"/>
      <c r="BL17" s="260"/>
      <c r="BM17" s="260"/>
      <c r="BN17" s="252">
        <v>9</v>
      </c>
      <c r="BO17" s="253">
        <v>2563</v>
      </c>
      <c r="BP17" s="260">
        <v>9</v>
      </c>
      <c r="BQ17" s="260">
        <v>2584</v>
      </c>
      <c r="BR17" s="252"/>
      <c r="BS17" s="253"/>
      <c r="BT17" s="267"/>
      <c r="BU17" s="268"/>
      <c r="BV17" s="252">
        <v>9</v>
      </c>
      <c r="BW17" s="253">
        <v>9018</v>
      </c>
      <c r="BX17" s="260">
        <v>9</v>
      </c>
      <c r="BY17" s="260">
        <v>9990</v>
      </c>
      <c r="BZ17" s="252"/>
      <c r="CA17" s="253"/>
      <c r="CB17" s="260"/>
      <c r="CC17" s="260"/>
      <c r="CD17" s="255">
        <f t="shared" si="12"/>
        <v>9</v>
      </c>
      <c r="CE17" s="256">
        <f t="shared" si="13"/>
        <v>200099</v>
      </c>
      <c r="CF17" s="257">
        <f t="shared" si="14"/>
        <v>9</v>
      </c>
      <c r="CG17" s="261">
        <f t="shared" si="15"/>
        <v>206023</v>
      </c>
    </row>
    <row r="18" spans="1:85" s="263" customFormat="1">
      <c r="A18" s="248" t="s">
        <v>115</v>
      </c>
      <c r="B18" s="249" t="s">
        <v>127</v>
      </c>
      <c r="C18" s="249"/>
      <c r="D18" s="250">
        <v>101709</v>
      </c>
      <c r="E18" s="251">
        <v>5</v>
      </c>
      <c r="F18" s="252">
        <v>137</v>
      </c>
      <c r="G18" s="253">
        <v>1013836</v>
      </c>
      <c r="H18" s="254">
        <v>131</v>
      </c>
      <c r="I18" s="254">
        <v>976508</v>
      </c>
      <c r="J18" s="252">
        <v>121</v>
      </c>
      <c r="K18" s="253">
        <v>51331</v>
      </c>
      <c r="L18" s="254">
        <v>118</v>
      </c>
      <c r="M18" s="254">
        <v>52206</v>
      </c>
      <c r="N18" s="252">
        <v>137</v>
      </c>
      <c r="O18" s="253">
        <v>16208</v>
      </c>
      <c r="P18" s="254">
        <v>131</v>
      </c>
      <c r="Q18" s="254">
        <v>15612</v>
      </c>
      <c r="R18" s="252">
        <v>137</v>
      </c>
      <c r="S18" s="253">
        <v>619972</v>
      </c>
      <c r="T18" s="254">
        <v>131</v>
      </c>
      <c r="U18" s="254">
        <v>597145</v>
      </c>
      <c r="V18" s="252">
        <v>137</v>
      </c>
      <c r="W18" s="253">
        <v>4052</v>
      </c>
      <c r="X18" s="254">
        <v>131</v>
      </c>
      <c r="Y18" s="254">
        <v>3903</v>
      </c>
      <c r="Z18" s="252">
        <v>137</v>
      </c>
      <c r="AA18" s="253">
        <v>21844</v>
      </c>
      <c r="AB18" s="254">
        <v>131</v>
      </c>
      <c r="AC18" s="254">
        <v>21086</v>
      </c>
      <c r="AD18" s="252"/>
      <c r="AE18" s="253"/>
      <c r="AF18" s="267"/>
      <c r="AG18" s="268"/>
      <c r="AH18" s="252">
        <v>17</v>
      </c>
      <c r="AI18" s="253">
        <v>59030</v>
      </c>
      <c r="AJ18" s="254">
        <v>15</v>
      </c>
      <c r="AK18" s="254">
        <v>53588</v>
      </c>
      <c r="AL18" s="252">
        <v>17</v>
      </c>
      <c r="AM18" s="253">
        <v>59030</v>
      </c>
      <c r="AN18" s="254"/>
      <c r="AO18" s="254"/>
      <c r="AP18" s="255">
        <f t="shared" si="8"/>
        <v>137</v>
      </c>
      <c r="AQ18" s="256">
        <f t="shared" si="9"/>
        <v>1845303</v>
      </c>
      <c r="AR18" s="257">
        <f t="shared" si="10"/>
        <v>131</v>
      </c>
      <c r="AS18" s="258">
        <f t="shared" si="11"/>
        <v>1720048</v>
      </c>
      <c r="AT18" s="259">
        <v>0</v>
      </c>
      <c r="AU18" s="253"/>
      <c r="AV18" s="260"/>
      <c r="AW18" s="260"/>
      <c r="AX18" s="252"/>
      <c r="AY18" s="253"/>
      <c r="AZ18" s="260"/>
      <c r="BA18" s="260"/>
      <c r="BB18" s="252"/>
      <c r="BC18" s="253"/>
      <c r="BD18" s="260"/>
      <c r="BE18" s="260"/>
      <c r="BF18" s="252"/>
      <c r="BG18" s="253"/>
      <c r="BH18" s="260"/>
      <c r="BI18" s="260"/>
      <c r="BJ18" s="252"/>
      <c r="BK18" s="253"/>
      <c r="BL18" s="260"/>
      <c r="BM18" s="260"/>
      <c r="BN18" s="252"/>
      <c r="BO18" s="253"/>
      <c r="BP18" s="260"/>
      <c r="BQ18" s="260"/>
      <c r="BR18" s="252"/>
      <c r="BS18" s="253"/>
      <c r="BT18" s="267"/>
      <c r="BU18" s="268"/>
      <c r="BV18" s="252"/>
      <c r="BW18" s="253"/>
      <c r="BX18" s="260"/>
      <c r="BY18" s="260"/>
      <c r="BZ18" s="252"/>
      <c r="CA18" s="253"/>
      <c r="CB18" s="260"/>
      <c r="CC18" s="260"/>
      <c r="CD18" s="255">
        <f t="shared" si="12"/>
        <v>0</v>
      </c>
      <c r="CE18" s="256">
        <f t="shared" si="13"/>
        <v>0</v>
      </c>
      <c r="CF18" s="257">
        <f t="shared" si="14"/>
        <v>0</v>
      </c>
      <c r="CG18" s="261">
        <f t="shared" si="15"/>
        <v>0</v>
      </c>
    </row>
    <row r="19" spans="1:85" s="263" customFormat="1">
      <c r="A19" s="248" t="s">
        <v>115</v>
      </c>
      <c r="B19" s="249" t="s">
        <v>128</v>
      </c>
      <c r="C19" s="249"/>
      <c r="D19" s="250">
        <v>101587</v>
      </c>
      <c r="E19" s="251">
        <v>5</v>
      </c>
      <c r="F19" s="252">
        <v>112</v>
      </c>
      <c r="G19" s="253">
        <v>719263</v>
      </c>
      <c r="H19" s="254">
        <v>110</v>
      </c>
      <c r="I19" s="254">
        <v>742399</v>
      </c>
      <c r="J19" s="252">
        <v>112</v>
      </c>
      <c r="K19" s="253">
        <v>524076</v>
      </c>
      <c r="L19" s="254">
        <v>110</v>
      </c>
      <c r="M19" s="254">
        <v>613721</v>
      </c>
      <c r="N19" s="252">
        <v>112</v>
      </c>
      <c r="O19" s="253">
        <v>42310</v>
      </c>
      <c r="P19" s="254">
        <v>110</v>
      </c>
      <c r="Q19" s="254">
        <v>42135</v>
      </c>
      <c r="R19" s="252">
        <v>112</v>
      </c>
      <c r="S19" s="253">
        <v>455871</v>
      </c>
      <c r="T19" s="254">
        <v>110</v>
      </c>
      <c r="U19" s="254">
        <v>453985</v>
      </c>
      <c r="V19" s="252">
        <v>112</v>
      </c>
      <c r="W19" s="253">
        <v>8939</v>
      </c>
      <c r="X19" s="254">
        <v>6</v>
      </c>
      <c r="Y19" s="254">
        <v>12600</v>
      </c>
      <c r="Z19" s="252">
        <v>112</v>
      </c>
      <c r="AA19" s="253">
        <v>1919</v>
      </c>
      <c r="AB19" s="254">
        <v>110</v>
      </c>
      <c r="AC19" s="254">
        <v>1665</v>
      </c>
      <c r="AD19" s="252"/>
      <c r="AE19" s="253"/>
      <c r="AF19" s="267"/>
      <c r="AG19" s="268"/>
      <c r="AH19" s="252">
        <v>12</v>
      </c>
      <c r="AI19" s="253">
        <v>38328</v>
      </c>
      <c r="AJ19" s="254">
        <v>20</v>
      </c>
      <c r="AK19" s="254">
        <v>41981</v>
      </c>
      <c r="AL19" s="252">
        <v>0</v>
      </c>
      <c r="AM19" s="253">
        <v>0</v>
      </c>
      <c r="AN19" s="254">
        <v>8</v>
      </c>
      <c r="AO19" s="254">
        <v>39104</v>
      </c>
      <c r="AP19" s="255">
        <f t="shared" si="8"/>
        <v>112</v>
      </c>
      <c r="AQ19" s="256">
        <f t="shared" si="9"/>
        <v>1790706</v>
      </c>
      <c r="AR19" s="257">
        <f t="shared" si="10"/>
        <v>110</v>
      </c>
      <c r="AS19" s="258">
        <f t="shared" si="11"/>
        <v>1947590</v>
      </c>
      <c r="AT19" s="259">
        <v>3</v>
      </c>
      <c r="AU19" s="253">
        <v>9603</v>
      </c>
      <c r="AV19" s="260">
        <v>3</v>
      </c>
      <c r="AW19" s="260">
        <v>11634</v>
      </c>
      <c r="AX19" s="252">
        <v>3</v>
      </c>
      <c r="AY19" s="253">
        <v>13353</v>
      </c>
      <c r="AZ19" s="260">
        <v>3</v>
      </c>
      <c r="BA19" s="260">
        <v>16738</v>
      </c>
      <c r="BB19" s="252">
        <v>3</v>
      </c>
      <c r="BC19" s="253">
        <v>624</v>
      </c>
      <c r="BD19" s="260">
        <v>3</v>
      </c>
      <c r="BE19" s="260">
        <v>660</v>
      </c>
      <c r="BF19" s="252">
        <v>3</v>
      </c>
      <c r="BG19" s="253">
        <v>6252</v>
      </c>
      <c r="BH19" s="260">
        <v>3</v>
      </c>
      <c r="BI19" s="260">
        <v>7115</v>
      </c>
      <c r="BJ19" s="252">
        <v>3</v>
      </c>
      <c r="BK19" s="253">
        <v>132</v>
      </c>
      <c r="BL19" s="260">
        <v>0</v>
      </c>
      <c r="BM19" s="260">
        <v>0</v>
      </c>
      <c r="BN19" s="252">
        <v>3</v>
      </c>
      <c r="BO19" s="253">
        <v>31</v>
      </c>
      <c r="BP19" s="260">
        <v>3</v>
      </c>
      <c r="BQ19" s="260">
        <v>30</v>
      </c>
      <c r="BR19" s="252"/>
      <c r="BS19" s="253"/>
      <c r="BT19" s="267"/>
      <c r="BU19" s="268"/>
      <c r="BV19" s="252">
        <v>0</v>
      </c>
      <c r="BW19" s="253">
        <v>0</v>
      </c>
      <c r="BX19" s="260"/>
      <c r="BY19" s="260"/>
      <c r="BZ19" s="252">
        <v>0</v>
      </c>
      <c r="CA19" s="253">
        <v>0</v>
      </c>
      <c r="CB19" s="260"/>
      <c r="CC19" s="260"/>
      <c r="CD19" s="255">
        <f t="shared" si="12"/>
        <v>3</v>
      </c>
      <c r="CE19" s="256">
        <f t="shared" si="13"/>
        <v>29995</v>
      </c>
      <c r="CF19" s="257">
        <f t="shared" si="14"/>
        <v>3</v>
      </c>
      <c r="CG19" s="261">
        <f t="shared" si="15"/>
        <v>36177</v>
      </c>
    </row>
    <row r="20" spans="1:85" s="263" customFormat="1">
      <c r="A20" s="248" t="s">
        <v>115</v>
      </c>
      <c r="B20" s="249" t="s">
        <v>129</v>
      </c>
      <c r="C20" s="249"/>
      <c r="D20" s="269">
        <v>100812</v>
      </c>
      <c r="E20" s="251">
        <v>6</v>
      </c>
      <c r="F20" s="252">
        <v>67</v>
      </c>
      <c r="G20" s="253">
        <v>575498</v>
      </c>
      <c r="H20" s="254">
        <v>74</v>
      </c>
      <c r="I20" s="254">
        <v>631532</v>
      </c>
      <c r="J20" s="252">
        <v>67</v>
      </c>
      <c r="K20" s="253">
        <v>604608</v>
      </c>
      <c r="L20" s="254">
        <v>74</v>
      </c>
      <c r="M20" s="254">
        <v>667776</v>
      </c>
      <c r="N20" s="252"/>
      <c r="O20" s="253"/>
      <c r="P20" s="267"/>
      <c r="Q20" s="268"/>
      <c r="R20" s="252">
        <v>67</v>
      </c>
      <c r="S20" s="253">
        <v>351923</v>
      </c>
      <c r="T20" s="254">
        <v>74</v>
      </c>
      <c r="U20" s="254">
        <v>386189</v>
      </c>
      <c r="V20" s="252"/>
      <c r="W20" s="253"/>
      <c r="X20" s="254"/>
      <c r="Y20" s="254"/>
      <c r="Z20" s="252"/>
      <c r="AA20" s="253"/>
      <c r="AB20" s="267"/>
      <c r="AC20" s="268"/>
      <c r="AD20" s="252"/>
      <c r="AE20" s="253"/>
      <c r="AF20" s="267"/>
      <c r="AG20" s="268"/>
      <c r="AH20" s="252"/>
      <c r="AI20" s="253"/>
      <c r="AJ20" s="254"/>
      <c r="AK20" s="254"/>
      <c r="AL20" s="252">
        <v>6</v>
      </c>
      <c r="AM20" s="253">
        <v>43616</v>
      </c>
      <c r="AN20" s="254"/>
      <c r="AO20" s="254"/>
      <c r="AP20" s="255">
        <f t="shared" si="8"/>
        <v>67</v>
      </c>
      <c r="AQ20" s="256">
        <f t="shared" si="9"/>
        <v>1575645</v>
      </c>
      <c r="AR20" s="257">
        <f t="shared" si="10"/>
        <v>74</v>
      </c>
      <c r="AS20" s="258">
        <f t="shared" si="11"/>
        <v>1685497</v>
      </c>
      <c r="AT20" s="259">
        <v>15</v>
      </c>
      <c r="AU20" s="253">
        <v>154699</v>
      </c>
      <c r="AV20" s="260">
        <v>12</v>
      </c>
      <c r="AW20" s="260">
        <v>131829</v>
      </c>
      <c r="AX20" s="252">
        <v>15</v>
      </c>
      <c r="AY20" s="253">
        <v>135360</v>
      </c>
      <c r="AZ20" s="260">
        <v>12</v>
      </c>
      <c r="BA20" s="260">
        <v>108288</v>
      </c>
      <c r="BB20" s="252"/>
      <c r="BC20" s="253"/>
      <c r="BD20" s="260"/>
      <c r="BE20" s="260"/>
      <c r="BF20" s="252">
        <v>15</v>
      </c>
      <c r="BG20" s="253">
        <v>94468</v>
      </c>
      <c r="BH20" s="260">
        <v>12</v>
      </c>
      <c r="BI20" s="260">
        <v>80477</v>
      </c>
      <c r="BJ20" s="252"/>
      <c r="BK20" s="253"/>
      <c r="BL20" s="260">
        <v>0</v>
      </c>
      <c r="BM20" s="260">
        <v>0</v>
      </c>
      <c r="BN20" s="252"/>
      <c r="BO20" s="253"/>
      <c r="BP20" s="267"/>
      <c r="BQ20" s="268"/>
      <c r="BR20" s="252"/>
      <c r="BS20" s="253"/>
      <c r="BT20" s="267"/>
      <c r="BU20" s="268"/>
      <c r="BV20" s="252">
        <v>0</v>
      </c>
      <c r="BW20" s="253">
        <v>0</v>
      </c>
      <c r="BX20" s="260"/>
      <c r="BY20" s="260"/>
      <c r="BZ20" s="252">
        <v>3</v>
      </c>
      <c r="CA20" s="253">
        <v>22560</v>
      </c>
      <c r="CB20" s="260">
        <v>2</v>
      </c>
      <c r="CC20" s="260">
        <v>12032</v>
      </c>
      <c r="CD20" s="255">
        <f t="shared" si="12"/>
        <v>15</v>
      </c>
      <c r="CE20" s="256">
        <f t="shared" si="13"/>
        <v>407087</v>
      </c>
      <c r="CF20" s="257">
        <f t="shared" si="14"/>
        <v>12</v>
      </c>
      <c r="CG20" s="261">
        <f t="shared" si="15"/>
        <v>332626</v>
      </c>
    </row>
    <row r="21" spans="1:85" s="263" customFormat="1">
      <c r="A21" s="248" t="s">
        <v>115</v>
      </c>
      <c r="B21" s="264" t="s">
        <v>130</v>
      </c>
      <c r="C21" s="264"/>
      <c r="D21" s="250">
        <v>101505</v>
      </c>
      <c r="E21" s="251">
        <v>8</v>
      </c>
      <c r="F21" s="252">
        <v>128</v>
      </c>
      <c r="G21" s="253">
        <v>850716</v>
      </c>
      <c r="H21" s="254">
        <v>120</v>
      </c>
      <c r="I21" s="254">
        <v>798212</v>
      </c>
      <c r="J21" s="252">
        <v>128</v>
      </c>
      <c r="K21" s="253">
        <v>1155072</v>
      </c>
      <c r="L21" s="254">
        <v>120</v>
      </c>
      <c r="M21" s="254">
        <v>1082880</v>
      </c>
      <c r="N21" s="252"/>
      <c r="O21" s="253"/>
      <c r="P21" s="267"/>
      <c r="Q21" s="268"/>
      <c r="R21" s="252">
        <v>128</v>
      </c>
      <c r="S21" s="253">
        <v>520222</v>
      </c>
      <c r="T21" s="254">
        <v>120</v>
      </c>
      <c r="U21" s="254">
        <v>488115</v>
      </c>
      <c r="V21" s="252">
        <v>128</v>
      </c>
      <c r="W21" s="253">
        <v>2040</v>
      </c>
      <c r="X21" s="254">
        <v>120</v>
      </c>
      <c r="Y21" s="254">
        <v>19780</v>
      </c>
      <c r="Z21" s="252"/>
      <c r="AA21" s="253"/>
      <c r="AB21" s="267"/>
      <c r="AC21" s="268"/>
      <c r="AD21" s="252"/>
      <c r="AE21" s="253"/>
      <c r="AF21" s="267"/>
      <c r="AG21" s="268"/>
      <c r="AH21" s="252">
        <v>10</v>
      </c>
      <c r="AI21" s="253">
        <v>6672</v>
      </c>
      <c r="AJ21" s="254">
        <v>7</v>
      </c>
      <c r="AK21" s="254">
        <v>10415</v>
      </c>
      <c r="AL21" s="252"/>
      <c r="AM21" s="253"/>
      <c r="AN21" s="254"/>
      <c r="AO21" s="254"/>
      <c r="AP21" s="255">
        <f t="shared" si="8"/>
        <v>128</v>
      </c>
      <c r="AQ21" s="256">
        <f t="shared" si="9"/>
        <v>2534722</v>
      </c>
      <c r="AR21" s="257">
        <f t="shared" si="10"/>
        <v>120</v>
      </c>
      <c r="AS21" s="258">
        <f t="shared" si="11"/>
        <v>2399402</v>
      </c>
      <c r="AT21" s="259">
        <v>26</v>
      </c>
      <c r="AU21" s="253">
        <v>219746</v>
      </c>
      <c r="AV21" s="260">
        <v>16</v>
      </c>
      <c r="AW21" s="260">
        <v>120914</v>
      </c>
      <c r="AX21" s="252">
        <v>26</v>
      </c>
      <c r="AY21" s="253">
        <v>234624</v>
      </c>
      <c r="AZ21" s="260">
        <v>16</v>
      </c>
      <c r="BA21" s="260">
        <v>144384</v>
      </c>
      <c r="BB21" s="252"/>
      <c r="BC21" s="253"/>
      <c r="BD21" s="260"/>
      <c r="BE21" s="260"/>
      <c r="BF21" s="252">
        <v>26</v>
      </c>
      <c r="BG21" s="253">
        <v>134377</v>
      </c>
      <c r="BH21" s="260">
        <v>16</v>
      </c>
      <c r="BI21" s="260">
        <v>73940</v>
      </c>
      <c r="BJ21" s="252">
        <v>26</v>
      </c>
      <c r="BK21" s="253">
        <v>527</v>
      </c>
      <c r="BL21" s="260">
        <v>16</v>
      </c>
      <c r="BM21" s="260">
        <v>2996</v>
      </c>
      <c r="BN21" s="252"/>
      <c r="BO21" s="253"/>
      <c r="BP21" s="267"/>
      <c r="BQ21" s="268"/>
      <c r="BR21" s="252"/>
      <c r="BS21" s="253"/>
      <c r="BT21" s="267"/>
      <c r="BU21" s="268"/>
      <c r="BV21" s="252">
        <v>2</v>
      </c>
      <c r="BW21" s="253">
        <v>1633</v>
      </c>
      <c r="BX21" s="260">
        <v>2</v>
      </c>
      <c r="BY21" s="260">
        <v>2800</v>
      </c>
      <c r="BZ21" s="252"/>
      <c r="CA21" s="253"/>
      <c r="CB21" s="267"/>
      <c r="CC21" s="268"/>
      <c r="CD21" s="255">
        <f t="shared" si="12"/>
        <v>26</v>
      </c>
      <c r="CE21" s="256">
        <f t="shared" si="13"/>
        <v>590907</v>
      </c>
      <c r="CF21" s="257">
        <f t="shared" si="14"/>
        <v>16</v>
      </c>
      <c r="CG21" s="261">
        <f t="shared" si="15"/>
        <v>345034</v>
      </c>
    </row>
    <row r="22" spans="1:85" s="263" customFormat="1">
      <c r="A22" s="248" t="s">
        <v>115</v>
      </c>
      <c r="B22" s="249" t="s">
        <v>131</v>
      </c>
      <c r="C22" s="249"/>
      <c r="D22" s="250">
        <v>101514</v>
      </c>
      <c r="E22" s="251">
        <v>8</v>
      </c>
      <c r="F22" s="252">
        <v>141</v>
      </c>
      <c r="G22" s="253">
        <v>958318</v>
      </c>
      <c r="H22" s="254">
        <v>145</v>
      </c>
      <c r="I22" s="254">
        <v>982024</v>
      </c>
      <c r="J22" s="252">
        <v>141</v>
      </c>
      <c r="K22" s="253">
        <v>1272384</v>
      </c>
      <c r="L22" s="254">
        <v>145</v>
      </c>
      <c r="M22" s="254">
        <v>1308480</v>
      </c>
      <c r="N22" s="252"/>
      <c r="O22" s="253"/>
      <c r="P22" s="267"/>
      <c r="Q22" s="268"/>
      <c r="R22" s="252">
        <v>141</v>
      </c>
      <c r="S22" s="253">
        <v>586022</v>
      </c>
      <c r="T22" s="254">
        <v>145</v>
      </c>
      <c r="U22" s="254">
        <v>600518</v>
      </c>
      <c r="V22" s="252"/>
      <c r="W22" s="253"/>
      <c r="X22" s="254"/>
      <c r="Y22" s="254"/>
      <c r="Z22" s="252"/>
      <c r="AA22" s="253"/>
      <c r="AB22" s="267"/>
      <c r="AC22" s="268"/>
      <c r="AD22" s="252"/>
      <c r="AE22" s="253"/>
      <c r="AF22" s="267"/>
      <c r="AG22" s="268"/>
      <c r="AH22" s="252">
        <v>16</v>
      </c>
      <c r="AI22" s="253">
        <v>10724</v>
      </c>
      <c r="AJ22" s="254">
        <v>14</v>
      </c>
      <c r="AK22" s="254">
        <v>16039</v>
      </c>
      <c r="AL22" s="252">
        <v>0</v>
      </c>
      <c r="AM22" s="253">
        <v>0</v>
      </c>
      <c r="AN22" s="254"/>
      <c r="AO22" s="254"/>
      <c r="AP22" s="255">
        <f t="shared" si="8"/>
        <v>141</v>
      </c>
      <c r="AQ22" s="256">
        <f t="shared" si="9"/>
        <v>2827448</v>
      </c>
      <c r="AR22" s="257">
        <f t="shared" si="10"/>
        <v>145</v>
      </c>
      <c r="AS22" s="258">
        <f t="shared" si="11"/>
        <v>2907061</v>
      </c>
      <c r="AT22" s="259">
        <v>0</v>
      </c>
      <c r="AU22" s="253"/>
      <c r="AV22" s="260"/>
      <c r="AW22" s="260"/>
      <c r="AX22" s="252"/>
      <c r="AY22" s="253"/>
      <c r="AZ22" s="260"/>
      <c r="BA22" s="260"/>
      <c r="BB22" s="252"/>
      <c r="BC22" s="253"/>
      <c r="BD22" s="260"/>
      <c r="BE22" s="260"/>
      <c r="BF22" s="252"/>
      <c r="BG22" s="253"/>
      <c r="BH22" s="260"/>
      <c r="BI22" s="260"/>
      <c r="BJ22" s="252"/>
      <c r="BK22" s="253"/>
      <c r="BL22" s="260"/>
      <c r="BM22" s="260"/>
      <c r="BN22" s="252"/>
      <c r="BO22" s="253"/>
      <c r="BP22" s="267"/>
      <c r="BQ22" s="268"/>
      <c r="BR22" s="252"/>
      <c r="BS22" s="253"/>
      <c r="BT22" s="267"/>
      <c r="BU22" s="268"/>
      <c r="BV22" s="252"/>
      <c r="BW22" s="253"/>
      <c r="BX22" s="260"/>
      <c r="BY22" s="260"/>
      <c r="BZ22" s="252"/>
      <c r="CA22" s="253"/>
      <c r="CB22" s="267"/>
      <c r="CC22" s="268"/>
      <c r="CD22" s="255">
        <f t="shared" si="12"/>
        <v>0</v>
      </c>
      <c r="CE22" s="256">
        <f t="shared" si="13"/>
        <v>0</v>
      </c>
      <c r="CF22" s="257">
        <f t="shared" si="14"/>
        <v>0</v>
      </c>
      <c r="CG22" s="261">
        <f t="shared" si="15"/>
        <v>0</v>
      </c>
    </row>
    <row r="23" spans="1:85" s="263" customFormat="1">
      <c r="A23" s="248" t="s">
        <v>115</v>
      </c>
      <c r="B23" s="249" t="s">
        <v>132</v>
      </c>
      <c r="C23" s="249"/>
      <c r="D23" s="250">
        <v>102429</v>
      </c>
      <c r="E23" s="251">
        <v>9</v>
      </c>
      <c r="F23" s="252">
        <v>112</v>
      </c>
      <c r="G23" s="253">
        <v>790511</v>
      </c>
      <c r="H23" s="254">
        <v>114</v>
      </c>
      <c r="I23" s="254">
        <v>802008</v>
      </c>
      <c r="J23" s="252">
        <v>112</v>
      </c>
      <c r="K23" s="253">
        <v>1010688</v>
      </c>
      <c r="L23" s="254">
        <v>114</v>
      </c>
      <c r="M23" s="254">
        <v>1037760</v>
      </c>
      <c r="N23" s="252"/>
      <c r="O23" s="253"/>
      <c r="P23" s="267"/>
      <c r="Q23" s="268"/>
      <c r="R23" s="252">
        <v>112</v>
      </c>
      <c r="S23" s="253">
        <v>483406</v>
      </c>
      <c r="T23" s="254">
        <v>114</v>
      </c>
      <c r="U23" s="254">
        <v>490437</v>
      </c>
      <c r="V23" s="252">
        <v>112</v>
      </c>
      <c r="W23" s="253">
        <v>20221</v>
      </c>
      <c r="X23" s="254">
        <v>114</v>
      </c>
      <c r="Y23" s="254">
        <v>64109</v>
      </c>
      <c r="Z23" s="252"/>
      <c r="AA23" s="253"/>
      <c r="AB23" s="267"/>
      <c r="AC23" s="268"/>
      <c r="AD23" s="252"/>
      <c r="AE23" s="253"/>
      <c r="AF23" s="267"/>
      <c r="AG23" s="268"/>
      <c r="AH23" s="252">
        <v>28</v>
      </c>
      <c r="AI23" s="253">
        <v>16369</v>
      </c>
      <c r="AJ23" s="254">
        <v>28</v>
      </c>
      <c r="AK23" s="254">
        <v>33930</v>
      </c>
      <c r="AL23" s="252">
        <v>0</v>
      </c>
      <c r="AM23" s="253">
        <v>0</v>
      </c>
      <c r="AN23" s="254"/>
      <c r="AO23" s="254"/>
      <c r="AP23" s="255">
        <f t="shared" si="8"/>
        <v>112</v>
      </c>
      <c r="AQ23" s="256">
        <f t="shared" si="9"/>
        <v>2321195</v>
      </c>
      <c r="AR23" s="257">
        <f t="shared" si="10"/>
        <v>114</v>
      </c>
      <c r="AS23" s="258">
        <f t="shared" si="11"/>
        <v>2428244</v>
      </c>
      <c r="AT23" s="259"/>
      <c r="AU23" s="253"/>
      <c r="AV23" s="260">
        <v>5</v>
      </c>
      <c r="AW23" s="260">
        <v>14666</v>
      </c>
      <c r="AX23" s="252"/>
      <c r="AY23" s="253"/>
      <c r="AZ23" s="260">
        <v>5</v>
      </c>
      <c r="BA23" s="260">
        <v>45120</v>
      </c>
      <c r="BB23" s="252"/>
      <c r="BC23" s="253"/>
      <c r="BD23" s="260"/>
      <c r="BE23" s="260"/>
      <c r="BF23" s="252"/>
      <c r="BG23" s="253"/>
      <c r="BH23" s="260">
        <v>5</v>
      </c>
      <c r="BI23" s="260">
        <v>8969</v>
      </c>
      <c r="BJ23" s="252"/>
      <c r="BK23" s="253"/>
      <c r="BL23" s="260">
        <v>5</v>
      </c>
      <c r="BM23" s="260">
        <v>1172</v>
      </c>
      <c r="BN23" s="252"/>
      <c r="BO23" s="253"/>
      <c r="BP23" s="267"/>
      <c r="BQ23" s="268"/>
      <c r="BR23" s="252"/>
      <c r="BS23" s="253"/>
      <c r="BT23" s="267"/>
      <c r="BU23" s="268"/>
      <c r="BV23" s="252"/>
      <c r="BW23" s="253"/>
      <c r="BX23" s="260"/>
      <c r="BY23" s="260"/>
      <c r="BZ23" s="252"/>
      <c r="CA23" s="253"/>
      <c r="CB23" s="267"/>
      <c r="CC23" s="268"/>
      <c r="CD23" s="255">
        <f t="shared" si="12"/>
        <v>0</v>
      </c>
      <c r="CE23" s="256">
        <f t="shared" si="13"/>
        <v>0</v>
      </c>
      <c r="CF23" s="257">
        <f t="shared" si="14"/>
        <v>5</v>
      </c>
      <c r="CG23" s="261">
        <f t="shared" si="15"/>
        <v>69927</v>
      </c>
    </row>
    <row r="24" spans="1:85" s="263" customFormat="1">
      <c r="A24" s="248" t="s">
        <v>115</v>
      </c>
      <c r="B24" s="270" t="s">
        <v>133</v>
      </c>
      <c r="C24" s="270"/>
      <c r="D24" s="250">
        <v>102030</v>
      </c>
      <c r="E24" s="251">
        <v>9</v>
      </c>
      <c r="F24" s="252">
        <v>88</v>
      </c>
      <c r="G24" s="253">
        <v>596338</v>
      </c>
      <c r="H24" s="254">
        <v>81</v>
      </c>
      <c r="I24" s="254">
        <v>553898</v>
      </c>
      <c r="J24" s="252">
        <v>88</v>
      </c>
      <c r="K24" s="253">
        <v>795223</v>
      </c>
      <c r="L24" s="254">
        <v>81</v>
      </c>
      <c r="M24" s="254">
        <v>730944</v>
      </c>
      <c r="N24" s="252"/>
      <c r="O24" s="253"/>
      <c r="P24" s="267"/>
      <c r="Q24" s="268"/>
      <c r="R24" s="252">
        <v>88</v>
      </c>
      <c r="S24" s="253">
        <v>374756</v>
      </c>
      <c r="T24" s="254">
        <v>81</v>
      </c>
      <c r="U24" s="254">
        <v>338686</v>
      </c>
      <c r="V24" s="252"/>
      <c r="W24" s="253"/>
      <c r="X24" s="254"/>
      <c r="Y24" s="254"/>
      <c r="Z24" s="252"/>
      <c r="AA24" s="253"/>
      <c r="AB24" s="267"/>
      <c r="AC24" s="268"/>
      <c r="AD24" s="252"/>
      <c r="AE24" s="253"/>
      <c r="AF24" s="267"/>
      <c r="AG24" s="268"/>
      <c r="AH24" s="252"/>
      <c r="AI24" s="253"/>
      <c r="AJ24" s="254"/>
      <c r="AK24" s="254"/>
      <c r="AL24" s="252">
        <v>0</v>
      </c>
      <c r="AM24" s="253">
        <v>0</v>
      </c>
      <c r="AN24" s="254"/>
      <c r="AO24" s="254"/>
      <c r="AP24" s="255">
        <f t="shared" si="8"/>
        <v>88</v>
      </c>
      <c r="AQ24" s="256">
        <f t="shared" si="9"/>
        <v>1766317</v>
      </c>
      <c r="AR24" s="257">
        <f t="shared" si="10"/>
        <v>81</v>
      </c>
      <c r="AS24" s="258">
        <f t="shared" si="11"/>
        <v>1623528</v>
      </c>
      <c r="AT24" s="259">
        <v>10</v>
      </c>
      <c r="AU24" s="253">
        <v>60474</v>
      </c>
      <c r="AV24" s="260">
        <v>9</v>
      </c>
      <c r="AW24" s="260">
        <v>57519</v>
      </c>
      <c r="AX24" s="252">
        <v>10</v>
      </c>
      <c r="AY24" s="253">
        <v>90240</v>
      </c>
      <c r="AZ24" s="260">
        <v>9</v>
      </c>
      <c r="BA24" s="260">
        <v>80464</v>
      </c>
      <c r="BB24" s="252">
        <v>0</v>
      </c>
      <c r="BC24" s="253">
        <v>0</v>
      </c>
      <c r="BD24" s="260"/>
      <c r="BE24" s="260"/>
      <c r="BF24" s="252">
        <v>10</v>
      </c>
      <c r="BG24" s="253">
        <v>36977</v>
      </c>
      <c r="BH24" s="260">
        <v>9</v>
      </c>
      <c r="BI24" s="260">
        <v>35172</v>
      </c>
      <c r="BJ24" s="252"/>
      <c r="BK24" s="253"/>
      <c r="BL24" s="260"/>
      <c r="BM24" s="260"/>
      <c r="BN24" s="252"/>
      <c r="BO24" s="253"/>
      <c r="BP24" s="267"/>
      <c r="BQ24" s="268"/>
      <c r="BR24" s="252"/>
      <c r="BS24" s="253"/>
      <c r="BT24" s="267"/>
      <c r="BU24" s="268"/>
      <c r="BV24" s="252">
        <v>0</v>
      </c>
      <c r="BW24" s="253">
        <v>0</v>
      </c>
      <c r="BX24" s="260"/>
      <c r="BY24" s="260"/>
      <c r="BZ24" s="252"/>
      <c r="CA24" s="253"/>
      <c r="CB24" s="267"/>
      <c r="CC24" s="268"/>
      <c r="CD24" s="255">
        <f t="shared" si="12"/>
        <v>10</v>
      </c>
      <c r="CE24" s="256">
        <f t="shared" si="13"/>
        <v>187691</v>
      </c>
      <c r="CF24" s="257">
        <f t="shared" si="14"/>
        <v>9</v>
      </c>
      <c r="CG24" s="261">
        <f t="shared" si="15"/>
        <v>173155</v>
      </c>
    </row>
    <row r="25" spans="1:85" s="263" customFormat="1">
      <c r="A25" s="248" t="s">
        <v>115</v>
      </c>
      <c r="B25" s="266" t="s">
        <v>134</v>
      </c>
      <c r="C25" s="468" t="s">
        <v>1186</v>
      </c>
      <c r="D25" s="250">
        <v>101240</v>
      </c>
      <c r="E25" s="251">
        <v>9</v>
      </c>
      <c r="F25" s="252">
        <v>153</v>
      </c>
      <c r="G25" s="253">
        <v>1021661</v>
      </c>
      <c r="H25" s="254">
        <v>152</v>
      </c>
      <c r="I25" s="254">
        <v>1017945</v>
      </c>
      <c r="J25" s="252">
        <v>153</v>
      </c>
      <c r="K25" s="253">
        <v>1380672</v>
      </c>
      <c r="L25" s="254">
        <v>152</v>
      </c>
      <c r="M25" s="254">
        <v>1371648</v>
      </c>
      <c r="N25" s="252"/>
      <c r="O25" s="253"/>
      <c r="P25" s="267"/>
      <c r="Q25" s="268"/>
      <c r="R25" s="252">
        <v>153</v>
      </c>
      <c r="S25" s="253">
        <v>624757</v>
      </c>
      <c r="T25" s="254">
        <v>152</v>
      </c>
      <c r="U25" s="254">
        <v>622484</v>
      </c>
      <c r="V25" s="252">
        <v>153</v>
      </c>
      <c r="W25" s="253">
        <v>16416</v>
      </c>
      <c r="X25" s="254">
        <v>152</v>
      </c>
      <c r="Y25" s="254">
        <v>19241</v>
      </c>
      <c r="Z25" s="252"/>
      <c r="AA25" s="253"/>
      <c r="AB25" s="267"/>
      <c r="AC25" s="268"/>
      <c r="AD25" s="252"/>
      <c r="AE25" s="253"/>
      <c r="AF25" s="267"/>
      <c r="AG25" s="268"/>
      <c r="AH25" s="252">
        <v>28</v>
      </c>
      <c r="AI25" s="253">
        <v>72065</v>
      </c>
      <c r="AJ25" s="254">
        <v>21</v>
      </c>
      <c r="AK25" s="254">
        <v>68795</v>
      </c>
      <c r="AL25" s="252">
        <v>0</v>
      </c>
      <c r="AM25" s="253">
        <v>0</v>
      </c>
      <c r="AN25" s="254"/>
      <c r="AO25" s="254"/>
      <c r="AP25" s="255">
        <f t="shared" si="8"/>
        <v>153</v>
      </c>
      <c r="AQ25" s="256">
        <f t="shared" si="9"/>
        <v>3115571</v>
      </c>
      <c r="AR25" s="257">
        <f t="shared" si="10"/>
        <v>152</v>
      </c>
      <c r="AS25" s="258">
        <f t="shared" si="11"/>
        <v>3100113</v>
      </c>
      <c r="AT25" s="259"/>
      <c r="AU25" s="253"/>
      <c r="AV25" s="260">
        <v>1</v>
      </c>
      <c r="AW25" s="260">
        <v>11320</v>
      </c>
      <c r="AX25" s="252"/>
      <c r="AY25" s="253"/>
      <c r="AZ25" s="260">
        <v>1</v>
      </c>
      <c r="BA25" s="260">
        <v>9024</v>
      </c>
      <c r="BB25" s="252"/>
      <c r="BC25" s="253"/>
      <c r="BD25" s="260"/>
      <c r="BE25" s="260"/>
      <c r="BF25" s="252"/>
      <c r="BG25" s="253"/>
      <c r="BH25" s="260">
        <v>1</v>
      </c>
      <c r="BI25" s="260">
        <v>6922</v>
      </c>
      <c r="BJ25" s="252"/>
      <c r="BK25" s="253"/>
      <c r="BL25" s="260">
        <v>1</v>
      </c>
      <c r="BM25" s="260">
        <v>127</v>
      </c>
      <c r="BN25" s="252"/>
      <c r="BO25" s="253"/>
      <c r="BP25" s="267"/>
      <c r="BQ25" s="268"/>
      <c r="BR25" s="252"/>
      <c r="BS25" s="253"/>
      <c r="BT25" s="267"/>
      <c r="BU25" s="268"/>
      <c r="BV25" s="252"/>
      <c r="BW25" s="253"/>
      <c r="BX25" s="260">
        <v>1</v>
      </c>
      <c r="BY25" s="260">
        <v>3270</v>
      </c>
      <c r="BZ25" s="252"/>
      <c r="CA25" s="253"/>
      <c r="CB25" s="267"/>
      <c r="CC25" s="268"/>
      <c r="CD25" s="255">
        <f t="shared" si="12"/>
        <v>0</v>
      </c>
      <c r="CE25" s="256">
        <f t="shared" si="13"/>
        <v>0</v>
      </c>
      <c r="CF25" s="257">
        <f t="shared" si="14"/>
        <v>1</v>
      </c>
      <c r="CG25" s="261">
        <f t="shared" si="15"/>
        <v>30663</v>
      </c>
    </row>
    <row r="26" spans="1:85" s="263" customFormat="1">
      <c r="A26" s="248" t="s">
        <v>115</v>
      </c>
      <c r="B26" s="271" t="s">
        <v>135</v>
      </c>
      <c r="C26" s="271"/>
      <c r="D26" s="250">
        <v>101286</v>
      </c>
      <c r="E26" s="251">
        <v>9</v>
      </c>
      <c r="F26" s="252">
        <v>127</v>
      </c>
      <c r="G26" s="253">
        <v>811090</v>
      </c>
      <c r="H26" s="254">
        <v>119</v>
      </c>
      <c r="I26" s="254">
        <v>767516</v>
      </c>
      <c r="J26" s="252">
        <v>127</v>
      </c>
      <c r="K26" s="253">
        <v>1146048</v>
      </c>
      <c r="L26" s="254">
        <v>119</v>
      </c>
      <c r="M26" s="254">
        <v>1073856</v>
      </c>
      <c r="N26" s="252"/>
      <c r="O26" s="253"/>
      <c r="P26" s="267"/>
      <c r="Q26" s="268"/>
      <c r="R26" s="252">
        <v>127</v>
      </c>
      <c r="S26" s="253">
        <v>495959</v>
      </c>
      <c r="T26" s="254">
        <v>119</v>
      </c>
      <c r="U26" s="254">
        <v>469316</v>
      </c>
      <c r="V26" s="252"/>
      <c r="W26" s="253"/>
      <c r="X26" s="254"/>
      <c r="Y26" s="254"/>
      <c r="Z26" s="252"/>
      <c r="AA26" s="253"/>
      <c r="AB26" s="267"/>
      <c r="AC26" s="268"/>
      <c r="AD26" s="252"/>
      <c r="AE26" s="253"/>
      <c r="AF26" s="267"/>
      <c r="AG26" s="268"/>
      <c r="AH26" s="252"/>
      <c r="AI26" s="253"/>
      <c r="AJ26" s="254"/>
      <c r="AK26" s="254"/>
      <c r="AL26" s="252">
        <v>0</v>
      </c>
      <c r="AM26" s="253">
        <v>0</v>
      </c>
      <c r="AN26" s="254"/>
      <c r="AO26" s="254"/>
      <c r="AP26" s="255">
        <f t="shared" si="8"/>
        <v>127</v>
      </c>
      <c r="AQ26" s="256">
        <f t="shared" si="9"/>
        <v>2453097</v>
      </c>
      <c r="AR26" s="257">
        <f t="shared" si="10"/>
        <v>119</v>
      </c>
      <c r="AS26" s="258">
        <f t="shared" si="11"/>
        <v>2310688</v>
      </c>
      <c r="AT26" s="259">
        <v>2</v>
      </c>
      <c r="AU26" s="253">
        <v>15493</v>
      </c>
      <c r="AV26" s="260">
        <v>3</v>
      </c>
      <c r="AW26" s="260">
        <v>26947</v>
      </c>
      <c r="AX26" s="252">
        <v>2</v>
      </c>
      <c r="AY26" s="253">
        <v>18048</v>
      </c>
      <c r="AZ26" s="260">
        <v>3</v>
      </c>
      <c r="BA26" s="260">
        <v>27072</v>
      </c>
      <c r="BB26" s="252">
        <v>0</v>
      </c>
      <c r="BC26" s="253">
        <v>0</v>
      </c>
      <c r="BD26" s="260"/>
      <c r="BE26" s="260"/>
      <c r="BF26" s="252">
        <v>2</v>
      </c>
      <c r="BG26" s="253">
        <v>9474</v>
      </c>
      <c r="BH26" s="260">
        <v>3</v>
      </c>
      <c r="BI26" s="260">
        <v>16478</v>
      </c>
      <c r="BJ26" s="252">
        <v>0</v>
      </c>
      <c r="BK26" s="253">
        <v>0</v>
      </c>
      <c r="BL26" s="260"/>
      <c r="BM26" s="260"/>
      <c r="BN26" s="252"/>
      <c r="BO26" s="253"/>
      <c r="BP26" s="267"/>
      <c r="BQ26" s="268"/>
      <c r="BR26" s="252"/>
      <c r="BS26" s="253"/>
      <c r="BT26" s="267"/>
      <c r="BU26" s="268"/>
      <c r="BV26" s="252">
        <v>0</v>
      </c>
      <c r="BW26" s="253">
        <v>0</v>
      </c>
      <c r="BX26" s="260"/>
      <c r="BY26" s="260"/>
      <c r="BZ26" s="252"/>
      <c r="CA26" s="253"/>
      <c r="CB26" s="267"/>
      <c r="CC26" s="268"/>
      <c r="CD26" s="255">
        <f t="shared" si="12"/>
        <v>2</v>
      </c>
      <c r="CE26" s="256">
        <f t="shared" si="13"/>
        <v>43015</v>
      </c>
      <c r="CF26" s="257">
        <f t="shared" si="14"/>
        <v>3</v>
      </c>
      <c r="CG26" s="261">
        <f t="shared" si="15"/>
        <v>70497</v>
      </c>
    </row>
    <row r="27" spans="1:85" s="263" customFormat="1">
      <c r="A27" s="248" t="s">
        <v>115</v>
      </c>
      <c r="B27" s="271" t="s">
        <v>136</v>
      </c>
      <c r="C27" s="271"/>
      <c r="D27" s="250">
        <v>101161</v>
      </c>
      <c r="E27" s="251">
        <v>9</v>
      </c>
      <c r="F27" s="252">
        <v>57</v>
      </c>
      <c r="G27" s="253">
        <v>390001</v>
      </c>
      <c r="H27" s="254">
        <v>61</v>
      </c>
      <c r="I27" s="254">
        <v>406877</v>
      </c>
      <c r="J27" s="252">
        <v>57</v>
      </c>
      <c r="K27" s="253">
        <v>514368</v>
      </c>
      <c r="L27" s="254">
        <v>61</v>
      </c>
      <c r="M27" s="254">
        <v>550464</v>
      </c>
      <c r="N27" s="252"/>
      <c r="O27" s="253"/>
      <c r="P27" s="267"/>
      <c r="Q27" s="268"/>
      <c r="R27" s="252">
        <v>57</v>
      </c>
      <c r="S27" s="253">
        <v>238490</v>
      </c>
      <c r="T27" s="254">
        <v>61</v>
      </c>
      <c r="U27" s="254">
        <v>248810</v>
      </c>
      <c r="V27" s="252">
        <v>0</v>
      </c>
      <c r="W27" s="253">
        <v>0</v>
      </c>
      <c r="X27" s="254">
        <v>0</v>
      </c>
      <c r="Y27" s="254">
        <v>0</v>
      </c>
      <c r="Z27" s="252"/>
      <c r="AA27" s="253"/>
      <c r="AB27" s="267"/>
      <c r="AC27" s="268"/>
      <c r="AD27" s="252"/>
      <c r="AE27" s="253"/>
      <c r="AF27" s="267"/>
      <c r="AG27" s="268"/>
      <c r="AH27" s="252">
        <v>5</v>
      </c>
      <c r="AI27" s="253">
        <v>3600</v>
      </c>
      <c r="AJ27" s="254">
        <v>17</v>
      </c>
      <c r="AK27" s="254">
        <v>15464</v>
      </c>
      <c r="AL27" s="252">
        <v>0</v>
      </c>
      <c r="AM27" s="253">
        <v>0</v>
      </c>
      <c r="AN27" s="254"/>
      <c r="AO27" s="254"/>
      <c r="AP27" s="255">
        <f t="shared" si="8"/>
        <v>57</v>
      </c>
      <c r="AQ27" s="256">
        <f t="shared" si="9"/>
        <v>1146459</v>
      </c>
      <c r="AR27" s="257">
        <f t="shared" si="10"/>
        <v>61</v>
      </c>
      <c r="AS27" s="258">
        <f t="shared" si="11"/>
        <v>1221615</v>
      </c>
      <c r="AT27" s="259">
        <v>10</v>
      </c>
      <c r="AU27" s="253">
        <v>97917</v>
      </c>
      <c r="AV27" s="260">
        <v>10</v>
      </c>
      <c r="AW27" s="260">
        <v>99110</v>
      </c>
      <c r="AX27" s="252">
        <v>10</v>
      </c>
      <c r="AY27" s="253">
        <v>90240</v>
      </c>
      <c r="AZ27" s="260">
        <v>10</v>
      </c>
      <c r="BA27" s="260">
        <v>90240</v>
      </c>
      <c r="BB27" s="252">
        <v>0</v>
      </c>
      <c r="BC27" s="253">
        <v>0</v>
      </c>
      <c r="BD27" s="260"/>
      <c r="BE27" s="260"/>
      <c r="BF27" s="252">
        <v>10</v>
      </c>
      <c r="BG27" s="253">
        <v>59877</v>
      </c>
      <c r="BH27" s="260">
        <v>10</v>
      </c>
      <c r="BI27" s="260">
        <v>60607</v>
      </c>
      <c r="BJ27" s="252">
        <v>0</v>
      </c>
      <c r="BK27" s="253">
        <v>0</v>
      </c>
      <c r="BL27" s="260"/>
      <c r="BM27" s="260"/>
      <c r="BN27" s="252"/>
      <c r="BO27" s="253"/>
      <c r="BP27" s="267"/>
      <c r="BQ27" s="268"/>
      <c r="BR27" s="252"/>
      <c r="BS27" s="253"/>
      <c r="BT27" s="267"/>
      <c r="BU27" s="268"/>
      <c r="BV27" s="252">
        <v>0</v>
      </c>
      <c r="BW27" s="253">
        <v>0</v>
      </c>
      <c r="BX27" s="260">
        <v>1</v>
      </c>
      <c r="BY27" s="260">
        <v>270</v>
      </c>
      <c r="BZ27" s="252"/>
      <c r="CA27" s="253"/>
      <c r="CB27" s="267"/>
      <c r="CC27" s="268"/>
      <c r="CD27" s="255">
        <f t="shared" si="12"/>
        <v>10</v>
      </c>
      <c r="CE27" s="256">
        <f t="shared" si="13"/>
        <v>248034</v>
      </c>
      <c r="CF27" s="257">
        <f t="shared" si="14"/>
        <v>10</v>
      </c>
      <c r="CG27" s="261">
        <f t="shared" si="15"/>
        <v>250227</v>
      </c>
    </row>
    <row r="28" spans="1:85" s="263" customFormat="1">
      <c r="A28" s="248" t="s">
        <v>115</v>
      </c>
      <c r="B28" s="264" t="s">
        <v>137</v>
      </c>
      <c r="C28" s="264"/>
      <c r="D28" s="250">
        <v>101569</v>
      </c>
      <c r="E28" s="251">
        <v>9</v>
      </c>
      <c r="F28" s="252">
        <v>94</v>
      </c>
      <c r="G28" s="253">
        <v>628592</v>
      </c>
      <c r="H28" s="254">
        <v>95</v>
      </c>
      <c r="I28" s="254">
        <v>641260</v>
      </c>
      <c r="J28" s="252">
        <v>94</v>
      </c>
      <c r="K28" s="253">
        <v>848256</v>
      </c>
      <c r="L28" s="254">
        <v>95</v>
      </c>
      <c r="M28" s="254">
        <v>857280</v>
      </c>
      <c r="N28" s="252"/>
      <c r="O28" s="253"/>
      <c r="P28" s="267"/>
      <c r="Q28" s="268"/>
      <c r="R28" s="252">
        <v>94</v>
      </c>
      <c r="S28" s="253">
        <v>348209</v>
      </c>
      <c r="T28" s="254">
        <v>95</v>
      </c>
      <c r="U28" s="254">
        <v>392138</v>
      </c>
      <c r="V28" s="252"/>
      <c r="W28" s="253"/>
      <c r="X28" s="254"/>
      <c r="Y28" s="254"/>
      <c r="Z28" s="252"/>
      <c r="AA28" s="253"/>
      <c r="AB28" s="267"/>
      <c r="AC28" s="268"/>
      <c r="AD28" s="252"/>
      <c r="AE28" s="253"/>
      <c r="AF28" s="267"/>
      <c r="AG28" s="268"/>
      <c r="AH28" s="252"/>
      <c r="AI28" s="253"/>
      <c r="AJ28" s="254"/>
      <c r="AK28" s="254"/>
      <c r="AL28" s="252">
        <v>0</v>
      </c>
      <c r="AM28" s="253">
        <v>0</v>
      </c>
      <c r="AN28" s="254"/>
      <c r="AO28" s="254"/>
      <c r="AP28" s="255">
        <f t="shared" si="8"/>
        <v>94</v>
      </c>
      <c r="AQ28" s="256">
        <f t="shared" si="9"/>
        <v>1825057</v>
      </c>
      <c r="AR28" s="257">
        <f t="shared" si="10"/>
        <v>95</v>
      </c>
      <c r="AS28" s="258">
        <f t="shared" si="11"/>
        <v>1890678</v>
      </c>
      <c r="AT28" s="259"/>
      <c r="AU28" s="253"/>
      <c r="AV28" s="260"/>
      <c r="AW28" s="260"/>
      <c r="AX28" s="252"/>
      <c r="AY28" s="253"/>
      <c r="AZ28" s="260"/>
      <c r="BA28" s="260"/>
      <c r="BB28" s="252"/>
      <c r="BC28" s="253"/>
      <c r="BD28" s="260"/>
      <c r="BE28" s="260"/>
      <c r="BF28" s="252"/>
      <c r="BG28" s="253"/>
      <c r="BH28" s="260"/>
      <c r="BI28" s="260"/>
      <c r="BJ28" s="252"/>
      <c r="BK28" s="253"/>
      <c r="BL28" s="260"/>
      <c r="BM28" s="260"/>
      <c r="BN28" s="252"/>
      <c r="BO28" s="253"/>
      <c r="BP28" s="267"/>
      <c r="BQ28" s="268"/>
      <c r="BR28" s="252"/>
      <c r="BS28" s="253"/>
      <c r="BT28" s="267"/>
      <c r="BU28" s="268"/>
      <c r="BV28" s="252"/>
      <c r="BW28" s="253"/>
      <c r="BX28" s="260"/>
      <c r="BY28" s="260"/>
      <c r="BZ28" s="252"/>
      <c r="CA28" s="253"/>
      <c r="CB28" s="267"/>
      <c r="CC28" s="268"/>
      <c r="CD28" s="255">
        <f t="shared" si="12"/>
        <v>0</v>
      </c>
      <c r="CE28" s="256">
        <f t="shared" si="13"/>
        <v>0</v>
      </c>
      <c r="CF28" s="257">
        <f t="shared" si="14"/>
        <v>0</v>
      </c>
      <c r="CG28" s="261">
        <f t="shared" si="15"/>
        <v>0</v>
      </c>
    </row>
    <row r="29" spans="1:85" s="263" customFormat="1">
      <c r="A29" s="248" t="s">
        <v>115</v>
      </c>
      <c r="B29" s="271" t="s">
        <v>138</v>
      </c>
      <c r="C29" s="271"/>
      <c r="D29" s="250">
        <v>101736</v>
      </c>
      <c r="E29" s="251">
        <v>9</v>
      </c>
      <c r="F29" s="252">
        <v>81</v>
      </c>
      <c r="G29" s="253">
        <v>548471</v>
      </c>
      <c r="H29" s="254">
        <v>81</v>
      </c>
      <c r="I29" s="254">
        <v>550388</v>
      </c>
      <c r="J29" s="252">
        <v>81</v>
      </c>
      <c r="K29" s="253">
        <v>730944</v>
      </c>
      <c r="L29" s="254">
        <v>81</v>
      </c>
      <c r="M29" s="254">
        <v>730944</v>
      </c>
      <c r="N29" s="252"/>
      <c r="O29" s="253"/>
      <c r="P29" s="267"/>
      <c r="Q29" s="268"/>
      <c r="R29" s="252">
        <v>81</v>
      </c>
      <c r="S29" s="253">
        <v>335371</v>
      </c>
      <c r="T29" s="254">
        <v>81</v>
      </c>
      <c r="U29" s="254">
        <v>336543</v>
      </c>
      <c r="V29" s="252">
        <v>81</v>
      </c>
      <c r="W29" s="253">
        <v>877</v>
      </c>
      <c r="X29" s="254">
        <v>81</v>
      </c>
      <c r="Y29" s="254">
        <v>880</v>
      </c>
      <c r="Z29" s="252"/>
      <c r="AA29" s="253"/>
      <c r="AB29" s="267"/>
      <c r="AC29" s="268"/>
      <c r="AD29" s="252"/>
      <c r="AE29" s="253"/>
      <c r="AF29" s="267"/>
      <c r="AG29" s="268"/>
      <c r="AH29" s="252">
        <v>23</v>
      </c>
      <c r="AI29" s="253">
        <v>20837</v>
      </c>
      <c r="AJ29" s="254">
        <v>21</v>
      </c>
      <c r="AK29" s="254">
        <v>19201</v>
      </c>
      <c r="AL29" s="252">
        <v>0</v>
      </c>
      <c r="AM29" s="253">
        <v>0</v>
      </c>
      <c r="AN29" s="254"/>
      <c r="AO29" s="254"/>
      <c r="AP29" s="255">
        <f t="shared" si="8"/>
        <v>81</v>
      </c>
      <c r="AQ29" s="256">
        <f t="shared" si="9"/>
        <v>1636500</v>
      </c>
      <c r="AR29" s="257">
        <f t="shared" si="10"/>
        <v>81</v>
      </c>
      <c r="AS29" s="258">
        <f t="shared" si="11"/>
        <v>1637956</v>
      </c>
      <c r="AT29" s="259">
        <v>9</v>
      </c>
      <c r="AU29" s="253">
        <v>54487</v>
      </c>
      <c r="AV29" s="260">
        <v>8</v>
      </c>
      <c r="AW29" s="260">
        <v>49259</v>
      </c>
      <c r="AX29" s="252">
        <v>9</v>
      </c>
      <c r="AY29" s="253">
        <v>81216</v>
      </c>
      <c r="AZ29" s="260">
        <v>8</v>
      </c>
      <c r="BA29" s="260">
        <v>72192</v>
      </c>
      <c r="BB29" s="252">
        <v>0</v>
      </c>
      <c r="BC29" s="253">
        <v>0</v>
      </c>
      <c r="BD29" s="260"/>
      <c r="BE29" s="260"/>
      <c r="BF29" s="252">
        <v>9</v>
      </c>
      <c r="BG29" s="253">
        <v>33319</v>
      </c>
      <c r="BH29" s="260">
        <v>8</v>
      </c>
      <c r="BI29" s="260">
        <v>30121</v>
      </c>
      <c r="BJ29" s="252">
        <v>9</v>
      </c>
      <c r="BK29" s="253">
        <v>87</v>
      </c>
      <c r="BL29" s="260">
        <v>8</v>
      </c>
      <c r="BM29" s="260">
        <v>79</v>
      </c>
      <c r="BN29" s="252"/>
      <c r="BO29" s="253"/>
      <c r="BP29" s="267"/>
      <c r="BQ29" s="268"/>
      <c r="BR29" s="252"/>
      <c r="BS29" s="253"/>
      <c r="BT29" s="267"/>
      <c r="BU29" s="268"/>
      <c r="BV29" s="252">
        <v>0</v>
      </c>
      <c r="BW29" s="253">
        <v>0</v>
      </c>
      <c r="BX29" s="260"/>
      <c r="BY29" s="260"/>
      <c r="BZ29" s="252"/>
      <c r="CA29" s="253"/>
      <c r="CB29" s="267"/>
      <c r="CC29" s="268"/>
      <c r="CD29" s="255">
        <f t="shared" si="12"/>
        <v>9</v>
      </c>
      <c r="CE29" s="256">
        <f t="shared" si="13"/>
        <v>169109</v>
      </c>
      <c r="CF29" s="257">
        <f t="shared" si="14"/>
        <v>8</v>
      </c>
      <c r="CG29" s="261">
        <f t="shared" si="15"/>
        <v>151651</v>
      </c>
    </row>
    <row r="30" spans="1:85" s="263" customFormat="1">
      <c r="A30" s="248" t="s">
        <v>115</v>
      </c>
      <c r="B30" s="266" t="s">
        <v>139</v>
      </c>
      <c r="C30" s="468" t="s">
        <v>1188</v>
      </c>
      <c r="D30" s="250">
        <v>102067</v>
      </c>
      <c r="E30" s="251">
        <v>9</v>
      </c>
      <c r="F30" s="252">
        <v>82</v>
      </c>
      <c r="G30" s="253">
        <v>569432</v>
      </c>
      <c r="H30" s="254">
        <v>81</v>
      </c>
      <c r="I30" s="254">
        <v>556569</v>
      </c>
      <c r="J30" s="252">
        <v>82</v>
      </c>
      <c r="K30" s="253">
        <v>748992</v>
      </c>
      <c r="L30" s="254">
        <v>81</v>
      </c>
      <c r="M30" s="254">
        <v>730944</v>
      </c>
      <c r="N30" s="252"/>
      <c r="O30" s="253"/>
      <c r="P30" s="267"/>
      <c r="Q30" s="268"/>
      <c r="R30" s="252">
        <v>82</v>
      </c>
      <c r="S30" s="253">
        <v>348492</v>
      </c>
      <c r="T30" s="254">
        <v>81</v>
      </c>
      <c r="U30" s="254">
        <v>295858</v>
      </c>
      <c r="V30" s="252">
        <v>82</v>
      </c>
      <c r="W30" s="253">
        <v>7744</v>
      </c>
      <c r="X30" s="254">
        <v>81</v>
      </c>
      <c r="Y30" s="254">
        <v>4445</v>
      </c>
      <c r="Z30" s="252"/>
      <c r="AA30" s="253"/>
      <c r="AB30" s="267"/>
      <c r="AC30" s="268"/>
      <c r="AD30" s="252"/>
      <c r="AE30" s="253"/>
      <c r="AF30" s="267"/>
      <c r="AG30" s="268"/>
      <c r="AH30" s="252">
        <v>18</v>
      </c>
      <c r="AI30" s="253">
        <v>75486</v>
      </c>
      <c r="AJ30" s="254">
        <v>3</v>
      </c>
      <c r="AK30" s="254">
        <v>3510</v>
      </c>
      <c r="AL30" s="252">
        <v>0</v>
      </c>
      <c r="AM30" s="253">
        <v>0</v>
      </c>
      <c r="AN30" s="254"/>
      <c r="AO30" s="254"/>
      <c r="AP30" s="255">
        <f t="shared" si="8"/>
        <v>82</v>
      </c>
      <c r="AQ30" s="256">
        <f t="shared" si="9"/>
        <v>1750146</v>
      </c>
      <c r="AR30" s="257">
        <f t="shared" si="10"/>
        <v>81</v>
      </c>
      <c r="AS30" s="258">
        <f t="shared" si="11"/>
        <v>1591326</v>
      </c>
      <c r="AT30" s="259"/>
      <c r="AU30" s="253"/>
      <c r="AV30" s="260">
        <v>6</v>
      </c>
      <c r="AW30" s="260">
        <v>37231</v>
      </c>
      <c r="AX30" s="252"/>
      <c r="AY30" s="253"/>
      <c r="AZ30" s="260">
        <v>6</v>
      </c>
      <c r="BA30" s="260">
        <v>54144</v>
      </c>
      <c r="BB30" s="252"/>
      <c r="BC30" s="253"/>
      <c r="BD30" s="260"/>
      <c r="BE30" s="260"/>
      <c r="BF30" s="252"/>
      <c r="BG30" s="253"/>
      <c r="BH30" s="260">
        <v>6</v>
      </c>
      <c r="BI30" s="260">
        <v>19791</v>
      </c>
      <c r="BJ30" s="252"/>
      <c r="BK30" s="253"/>
      <c r="BL30" s="260">
        <v>6</v>
      </c>
      <c r="BM30" s="260">
        <v>298</v>
      </c>
      <c r="BN30" s="252"/>
      <c r="BO30" s="253"/>
      <c r="BP30" s="267"/>
      <c r="BQ30" s="268"/>
      <c r="BR30" s="252"/>
      <c r="BS30" s="253"/>
      <c r="BT30" s="267"/>
      <c r="BU30" s="268"/>
      <c r="BV30" s="252"/>
      <c r="BW30" s="253"/>
      <c r="BX30" s="260"/>
      <c r="BY30" s="260"/>
      <c r="BZ30" s="252"/>
      <c r="CA30" s="253"/>
      <c r="CB30" s="267"/>
      <c r="CC30" s="268"/>
      <c r="CD30" s="255">
        <f t="shared" si="12"/>
        <v>0</v>
      </c>
      <c r="CE30" s="256">
        <f t="shared" si="13"/>
        <v>0</v>
      </c>
      <c r="CF30" s="257">
        <f t="shared" si="14"/>
        <v>6</v>
      </c>
      <c r="CG30" s="261">
        <f t="shared" si="15"/>
        <v>111464</v>
      </c>
    </row>
    <row r="31" spans="1:85" s="263" customFormat="1">
      <c r="A31" s="248" t="s">
        <v>115</v>
      </c>
      <c r="B31" s="271" t="s">
        <v>140</v>
      </c>
      <c r="C31" s="271"/>
      <c r="D31" s="250">
        <v>251260</v>
      </c>
      <c r="E31" s="251">
        <v>9</v>
      </c>
      <c r="F31" s="252">
        <v>90</v>
      </c>
      <c r="G31" s="253">
        <v>586933</v>
      </c>
      <c r="H31" s="254">
        <v>82</v>
      </c>
      <c r="I31" s="254">
        <v>529252</v>
      </c>
      <c r="J31" s="252">
        <v>90</v>
      </c>
      <c r="K31" s="253">
        <v>812160</v>
      </c>
      <c r="L31" s="254">
        <v>82</v>
      </c>
      <c r="M31" s="254">
        <v>739968</v>
      </c>
      <c r="N31" s="252"/>
      <c r="O31" s="253"/>
      <c r="P31" s="267"/>
      <c r="Q31" s="268"/>
      <c r="R31" s="252">
        <v>90</v>
      </c>
      <c r="S31" s="253">
        <v>358916</v>
      </c>
      <c r="T31" s="254">
        <v>82</v>
      </c>
      <c r="U31" s="254">
        <v>323643</v>
      </c>
      <c r="V31" s="252"/>
      <c r="W31" s="253"/>
      <c r="X31" s="254"/>
      <c r="Y31" s="254"/>
      <c r="Z31" s="252"/>
      <c r="AA31" s="253"/>
      <c r="AB31" s="267"/>
      <c r="AC31" s="268"/>
      <c r="AD31" s="252"/>
      <c r="AE31" s="253"/>
      <c r="AF31" s="267"/>
      <c r="AG31" s="268"/>
      <c r="AH31" s="252">
        <v>8</v>
      </c>
      <c r="AI31" s="253">
        <v>4992</v>
      </c>
      <c r="AJ31" s="254">
        <v>6</v>
      </c>
      <c r="AK31" s="254">
        <v>4957</v>
      </c>
      <c r="AL31" s="252">
        <v>0</v>
      </c>
      <c r="AM31" s="253">
        <v>0</v>
      </c>
      <c r="AN31" s="254"/>
      <c r="AO31" s="254"/>
      <c r="AP31" s="255">
        <f t="shared" si="8"/>
        <v>90</v>
      </c>
      <c r="AQ31" s="256">
        <f t="shared" si="9"/>
        <v>1763001</v>
      </c>
      <c r="AR31" s="257">
        <f t="shared" si="10"/>
        <v>82</v>
      </c>
      <c r="AS31" s="258">
        <f t="shared" si="11"/>
        <v>1597820</v>
      </c>
      <c r="AT31" s="259"/>
      <c r="AU31" s="253"/>
      <c r="AV31" s="260">
        <v>4</v>
      </c>
      <c r="AW31" s="260">
        <v>19461</v>
      </c>
      <c r="AX31" s="252"/>
      <c r="AY31" s="253"/>
      <c r="AZ31" s="260">
        <v>4</v>
      </c>
      <c r="BA31" s="260">
        <v>36096</v>
      </c>
      <c r="BB31" s="252"/>
      <c r="BC31" s="253"/>
      <c r="BD31" s="260"/>
      <c r="BE31" s="260"/>
      <c r="BF31" s="252"/>
      <c r="BG31" s="253"/>
      <c r="BH31" s="260">
        <v>4</v>
      </c>
      <c r="BI31" s="260">
        <v>11900</v>
      </c>
      <c r="BJ31" s="252"/>
      <c r="BK31" s="253"/>
      <c r="BL31" s="260"/>
      <c r="BM31" s="260"/>
      <c r="BN31" s="252"/>
      <c r="BO31" s="253"/>
      <c r="BP31" s="267"/>
      <c r="BQ31" s="268"/>
      <c r="BR31" s="252"/>
      <c r="BS31" s="253"/>
      <c r="BT31" s="267"/>
      <c r="BU31" s="268"/>
      <c r="BV31" s="252"/>
      <c r="BW31" s="253"/>
      <c r="BX31" s="260"/>
      <c r="BY31" s="260"/>
      <c r="BZ31" s="252"/>
      <c r="CA31" s="253"/>
      <c r="CB31" s="267"/>
      <c r="CC31" s="268"/>
      <c r="CD31" s="255">
        <f t="shared" si="12"/>
        <v>0</v>
      </c>
      <c r="CE31" s="256">
        <f t="shared" si="13"/>
        <v>0</v>
      </c>
      <c r="CF31" s="257">
        <f t="shared" si="14"/>
        <v>4</v>
      </c>
      <c r="CG31" s="261">
        <f t="shared" si="15"/>
        <v>67457</v>
      </c>
    </row>
    <row r="32" spans="1:85" s="263" customFormat="1">
      <c r="A32" s="248" t="s">
        <v>115</v>
      </c>
      <c r="B32" s="266" t="s">
        <v>141</v>
      </c>
      <c r="C32" s="468" t="s">
        <v>1186</v>
      </c>
      <c r="D32" s="250">
        <v>101295</v>
      </c>
      <c r="E32" s="251">
        <v>9</v>
      </c>
      <c r="F32" s="252">
        <v>123</v>
      </c>
      <c r="G32" s="253">
        <v>808210</v>
      </c>
      <c r="H32" s="254">
        <v>123</v>
      </c>
      <c r="I32" s="254">
        <v>803390</v>
      </c>
      <c r="J32" s="252">
        <v>123</v>
      </c>
      <c r="K32" s="253">
        <v>1109952</v>
      </c>
      <c r="L32" s="254">
        <v>123</v>
      </c>
      <c r="M32" s="254">
        <v>1109952</v>
      </c>
      <c r="N32" s="252"/>
      <c r="O32" s="253"/>
      <c r="P32" s="267"/>
      <c r="Q32" s="268"/>
      <c r="R32" s="252">
        <v>123</v>
      </c>
      <c r="S32" s="253">
        <v>494229</v>
      </c>
      <c r="T32" s="254">
        <v>123</v>
      </c>
      <c r="U32" s="254">
        <v>491282</v>
      </c>
      <c r="V32" s="252">
        <v>123</v>
      </c>
      <c r="W32" s="253">
        <v>646</v>
      </c>
      <c r="X32" s="254">
        <v>123</v>
      </c>
      <c r="Y32" s="254">
        <v>2569</v>
      </c>
      <c r="Z32" s="252"/>
      <c r="AA32" s="253"/>
      <c r="AB32" s="267"/>
      <c r="AC32" s="268"/>
      <c r="AD32" s="252"/>
      <c r="AE32" s="253"/>
      <c r="AF32" s="267"/>
      <c r="AG32" s="268"/>
      <c r="AH32" s="252">
        <v>43</v>
      </c>
      <c r="AI32" s="253">
        <v>25809</v>
      </c>
      <c r="AJ32" s="254">
        <v>32</v>
      </c>
      <c r="AK32" s="254">
        <v>22560</v>
      </c>
      <c r="AL32" s="252">
        <v>0</v>
      </c>
      <c r="AM32" s="253">
        <v>0</v>
      </c>
      <c r="AN32" s="254"/>
      <c r="AO32" s="254"/>
      <c r="AP32" s="255">
        <f t="shared" si="8"/>
        <v>123</v>
      </c>
      <c r="AQ32" s="256">
        <f t="shared" si="9"/>
        <v>2438846</v>
      </c>
      <c r="AR32" s="257">
        <f t="shared" si="10"/>
        <v>123</v>
      </c>
      <c r="AS32" s="258">
        <f t="shared" si="11"/>
        <v>2429753</v>
      </c>
      <c r="AT32" s="259"/>
      <c r="AU32" s="253"/>
      <c r="AV32" s="260">
        <v>4</v>
      </c>
      <c r="AW32" s="260">
        <v>21232</v>
      </c>
      <c r="AX32" s="252"/>
      <c r="AY32" s="253"/>
      <c r="AZ32" s="260">
        <v>4</v>
      </c>
      <c r="BA32" s="260">
        <v>36096</v>
      </c>
      <c r="BB32" s="252"/>
      <c r="BC32" s="253"/>
      <c r="BD32" s="260"/>
      <c r="BE32" s="260"/>
      <c r="BF32" s="252"/>
      <c r="BG32" s="253"/>
      <c r="BH32" s="260">
        <v>4</v>
      </c>
      <c r="BI32" s="260">
        <v>12984</v>
      </c>
      <c r="BJ32" s="252"/>
      <c r="BK32" s="253"/>
      <c r="BL32" s="260">
        <v>4</v>
      </c>
      <c r="BM32" s="260">
        <v>68</v>
      </c>
      <c r="BN32" s="252"/>
      <c r="BO32" s="253"/>
      <c r="BP32" s="267"/>
      <c r="BQ32" s="268"/>
      <c r="BR32" s="252"/>
      <c r="BS32" s="253"/>
      <c r="BT32" s="267"/>
      <c r="BU32" s="268"/>
      <c r="BV32" s="252"/>
      <c r="BW32" s="253"/>
      <c r="BX32" s="260"/>
      <c r="BY32" s="260"/>
      <c r="BZ32" s="252"/>
      <c r="CA32" s="253"/>
      <c r="CB32" s="267"/>
      <c r="CC32" s="268"/>
      <c r="CD32" s="255">
        <f t="shared" si="12"/>
        <v>0</v>
      </c>
      <c r="CE32" s="256">
        <f t="shared" si="13"/>
        <v>0</v>
      </c>
      <c r="CF32" s="257">
        <f t="shared" si="14"/>
        <v>4</v>
      </c>
      <c r="CG32" s="261">
        <f t="shared" si="15"/>
        <v>70380</v>
      </c>
    </row>
    <row r="33" spans="1:85" s="263" customFormat="1">
      <c r="A33" s="248" t="s">
        <v>115</v>
      </c>
      <c r="B33" s="271" t="s">
        <v>142</v>
      </c>
      <c r="C33" s="271"/>
      <c r="D33" s="250">
        <v>101949</v>
      </c>
      <c r="E33" s="251">
        <v>10</v>
      </c>
      <c r="F33" s="252">
        <v>39</v>
      </c>
      <c r="G33" s="253">
        <v>253718</v>
      </c>
      <c r="H33" s="254">
        <v>39</v>
      </c>
      <c r="I33" s="254">
        <v>257445</v>
      </c>
      <c r="J33" s="252">
        <v>39</v>
      </c>
      <c r="K33" s="253">
        <v>351936</v>
      </c>
      <c r="L33" s="254">
        <v>39</v>
      </c>
      <c r="M33" s="254">
        <v>351936</v>
      </c>
      <c r="N33" s="252"/>
      <c r="O33" s="253"/>
      <c r="P33" s="267"/>
      <c r="Q33" s="268"/>
      <c r="R33" s="252">
        <v>39</v>
      </c>
      <c r="S33" s="253">
        <v>155151</v>
      </c>
      <c r="T33" s="254">
        <v>39</v>
      </c>
      <c r="U33" s="254">
        <v>157431</v>
      </c>
      <c r="V33" s="252"/>
      <c r="W33" s="253"/>
      <c r="X33" s="254"/>
      <c r="Y33" s="254"/>
      <c r="Z33" s="252"/>
      <c r="AA33" s="253"/>
      <c r="AB33" s="267"/>
      <c r="AC33" s="268"/>
      <c r="AD33" s="252"/>
      <c r="AE33" s="253"/>
      <c r="AF33" s="267"/>
      <c r="AG33" s="268"/>
      <c r="AH33" s="252">
        <v>2</v>
      </c>
      <c r="AI33" s="253">
        <v>1491</v>
      </c>
      <c r="AJ33" s="254">
        <v>3</v>
      </c>
      <c r="AK33" s="254">
        <v>3420</v>
      </c>
      <c r="AL33" s="252">
        <v>0</v>
      </c>
      <c r="AM33" s="253">
        <v>0</v>
      </c>
      <c r="AN33" s="254"/>
      <c r="AO33" s="254"/>
      <c r="AP33" s="255">
        <f t="shared" si="8"/>
        <v>39</v>
      </c>
      <c r="AQ33" s="256">
        <f t="shared" si="9"/>
        <v>762296</v>
      </c>
      <c r="AR33" s="257">
        <f t="shared" si="10"/>
        <v>39</v>
      </c>
      <c r="AS33" s="258">
        <f t="shared" si="11"/>
        <v>770232</v>
      </c>
      <c r="AT33" s="259">
        <v>21</v>
      </c>
      <c r="AU33" s="253">
        <v>127559</v>
      </c>
      <c r="AV33" s="260">
        <v>17</v>
      </c>
      <c r="AW33" s="260">
        <v>103424</v>
      </c>
      <c r="AX33" s="252">
        <v>21</v>
      </c>
      <c r="AY33" s="253">
        <v>189504</v>
      </c>
      <c r="AZ33" s="260">
        <v>17</v>
      </c>
      <c r="BA33" s="260">
        <v>153408</v>
      </c>
      <c r="BB33" s="252">
        <v>0</v>
      </c>
      <c r="BC33" s="253">
        <v>0</v>
      </c>
      <c r="BD33" s="260"/>
      <c r="BE33" s="260"/>
      <c r="BF33" s="252">
        <v>21</v>
      </c>
      <c r="BG33" s="253">
        <v>78004</v>
      </c>
      <c r="BH33" s="260">
        <v>17</v>
      </c>
      <c r="BI33" s="260">
        <v>63246</v>
      </c>
      <c r="BJ33" s="252"/>
      <c r="BK33" s="253"/>
      <c r="BL33" s="260"/>
      <c r="BM33" s="260"/>
      <c r="BN33" s="252"/>
      <c r="BO33" s="253"/>
      <c r="BP33" s="267"/>
      <c r="BQ33" s="268"/>
      <c r="BR33" s="252"/>
      <c r="BS33" s="253"/>
      <c r="BT33" s="267"/>
      <c r="BU33" s="268"/>
      <c r="BV33" s="252">
        <v>0</v>
      </c>
      <c r="BW33" s="253">
        <v>0</v>
      </c>
      <c r="BX33" s="260"/>
      <c r="BY33" s="260"/>
      <c r="BZ33" s="252"/>
      <c r="CA33" s="253"/>
      <c r="CB33" s="267"/>
      <c r="CC33" s="268"/>
      <c r="CD33" s="255">
        <f t="shared" si="12"/>
        <v>21</v>
      </c>
      <c r="CE33" s="256">
        <f t="shared" si="13"/>
        <v>395067</v>
      </c>
      <c r="CF33" s="257">
        <f t="shared" si="14"/>
        <v>17</v>
      </c>
      <c r="CG33" s="261">
        <f t="shared" si="15"/>
        <v>320078</v>
      </c>
    </row>
    <row r="34" spans="1:85" s="263" customFormat="1">
      <c r="A34" s="248" t="s">
        <v>115</v>
      </c>
      <c r="B34" s="266" t="s">
        <v>143</v>
      </c>
      <c r="C34" s="468" t="s">
        <v>1189</v>
      </c>
      <c r="D34" s="250">
        <v>100760</v>
      </c>
      <c r="E34" s="251">
        <v>10</v>
      </c>
      <c r="F34" s="252">
        <v>56</v>
      </c>
      <c r="G34" s="253">
        <v>373806</v>
      </c>
      <c r="H34" s="254">
        <v>52</v>
      </c>
      <c r="I34" s="254">
        <v>331191</v>
      </c>
      <c r="J34" s="252">
        <v>56</v>
      </c>
      <c r="K34" s="253">
        <v>505344</v>
      </c>
      <c r="L34" s="254">
        <v>52</v>
      </c>
      <c r="M34" s="254">
        <v>483600</v>
      </c>
      <c r="N34" s="252"/>
      <c r="O34" s="253"/>
      <c r="P34" s="267"/>
      <c r="Q34" s="268"/>
      <c r="R34" s="252">
        <v>56</v>
      </c>
      <c r="S34" s="253">
        <v>228586</v>
      </c>
      <c r="T34" s="254">
        <v>52</v>
      </c>
      <c r="U34" s="254">
        <v>215626</v>
      </c>
      <c r="V34" s="252">
        <v>56</v>
      </c>
      <c r="W34" s="253">
        <v>3585</v>
      </c>
      <c r="X34" s="254">
        <v>52</v>
      </c>
      <c r="Y34" s="254">
        <v>3382</v>
      </c>
      <c r="Z34" s="252"/>
      <c r="AA34" s="253"/>
      <c r="AB34" s="267"/>
      <c r="AC34" s="268"/>
      <c r="AD34" s="252"/>
      <c r="AE34" s="253"/>
      <c r="AF34" s="267"/>
      <c r="AG34" s="268"/>
      <c r="AH34" s="252">
        <v>5</v>
      </c>
      <c r="AI34" s="253">
        <v>4677</v>
      </c>
      <c r="AJ34" s="254">
        <v>16</v>
      </c>
      <c r="AK34" s="254">
        <v>13588</v>
      </c>
      <c r="AL34" s="252">
        <v>0</v>
      </c>
      <c r="AM34" s="253">
        <v>0</v>
      </c>
      <c r="AN34" s="254"/>
      <c r="AO34" s="254"/>
      <c r="AP34" s="255">
        <f t="shared" si="8"/>
        <v>56</v>
      </c>
      <c r="AQ34" s="256">
        <f t="shared" si="9"/>
        <v>1115998</v>
      </c>
      <c r="AR34" s="257">
        <f t="shared" si="10"/>
        <v>52</v>
      </c>
      <c r="AS34" s="258">
        <f t="shared" si="11"/>
        <v>1047387</v>
      </c>
      <c r="AT34" s="259"/>
      <c r="AU34" s="253"/>
      <c r="AV34" s="260">
        <v>4</v>
      </c>
      <c r="AW34" s="260">
        <v>31533</v>
      </c>
      <c r="AX34" s="252"/>
      <c r="AY34" s="253"/>
      <c r="AZ34" s="260">
        <v>4</v>
      </c>
      <c r="BA34" s="260">
        <v>18600</v>
      </c>
      <c r="BB34" s="252"/>
      <c r="BC34" s="253"/>
      <c r="BD34" s="260"/>
      <c r="BE34" s="260"/>
      <c r="BF34" s="252"/>
      <c r="BG34" s="253"/>
      <c r="BH34" s="260">
        <v>4</v>
      </c>
      <c r="BI34" s="260">
        <v>20530</v>
      </c>
      <c r="BJ34" s="252"/>
      <c r="BK34" s="253"/>
      <c r="BL34" s="260">
        <v>4</v>
      </c>
      <c r="BM34" s="260">
        <v>322</v>
      </c>
      <c r="BN34" s="252"/>
      <c r="BO34" s="253"/>
      <c r="BP34" s="267"/>
      <c r="BQ34" s="268"/>
      <c r="BR34" s="252"/>
      <c r="BS34" s="253"/>
      <c r="BT34" s="267"/>
      <c r="BU34" s="268"/>
      <c r="BV34" s="252"/>
      <c r="BW34" s="253"/>
      <c r="BX34" s="260"/>
      <c r="BY34" s="260"/>
      <c r="BZ34" s="252"/>
      <c r="CA34" s="253"/>
      <c r="CB34" s="267"/>
      <c r="CC34" s="268"/>
      <c r="CD34" s="255">
        <f t="shared" si="12"/>
        <v>0</v>
      </c>
      <c r="CE34" s="256">
        <f t="shared" si="13"/>
        <v>0</v>
      </c>
      <c r="CF34" s="257">
        <f t="shared" si="14"/>
        <v>4</v>
      </c>
      <c r="CG34" s="261">
        <f t="shared" si="15"/>
        <v>70985</v>
      </c>
    </row>
    <row r="35" spans="1:85" s="263" customFormat="1">
      <c r="A35" s="248" t="s">
        <v>115</v>
      </c>
      <c r="B35" s="271" t="s">
        <v>144</v>
      </c>
      <c r="C35" s="271"/>
      <c r="D35" s="250">
        <v>101028</v>
      </c>
      <c r="E35" s="251">
        <v>10</v>
      </c>
      <c r="F35" s="252">
        <v>36</v>
      </c>
      <c r="G35" s="253">
        <v>250183</v>
      </c>
      <c r="H35" s="254">
        <v>34</v>
      </c>
      <c r="I35" s="254">
        <v>233662</v>
      </c>
      <c r="J35" s="252">
        <v>36</v>
      </c>
      <c r="K35" s="253">
        <v>324864</v>
      </c>
      <c r="L35" s="254">
        <v>34</v>
      </c>
      <c r="M35" s="254">
        <v>306816</v>
      </c>
      <c r="N35" s="252"/>
      <c r="O35" s="253"/>
      <c r="P35" s="267"/>
      <c r="Q35" s="268"/>
      <c r="R35" s="252">
        <v>36</v>
      </c>
      <c r="S35" s="253">
        <v>152990</v>
      </c>
      <c r="T35" s="254">
        <v>34</v>
      </c>
      <c r="U35" s="254">
        <v>142887</v>
      </c>
      <c r="V35" s="252"/>
      <c r="W35" s="253"/>
      <c r="X35" s="254"/>
      <c r="Y35" s="254"/>
      <c r="Z35" s="252"/>
      <c r="AA35" s="253"/>
      <c r="AB35" s="267"/>
      <c r="AC35" s="268"/>
      <c r="AD35" s="252"/>
      <c r="AE35" s="253"/>
      <c r="AF35" s="267"/>
      <c r="AG35" s="268"/>
      <c r="AH35" s="252"/>
      <c r="AI35" s="253"/>
      <c r="AJ35" s="254"/>
      <c r="AK35" s="254"/>
      <c r="AL35" s="252">
        <v>0</v>
      </c>
      <c r="AM35" s="253">
        <v>0</v>
      </c>
      <c r="AN35" s="254"/>
      <c r="AO35" s="254"/>
      <c r="AP35" s="255">
        <f t="shared" si="8"/>
        <v>36</v>
      </c>
      <c r="AQ35" s="256">
        <f t="shared" si="9"/>
        <v>728037</v>
      </c>
      <c r="AR35" s="257">
        <f t="shared" si="10"/>
        <v>34</v>
      </c>
      <c r="AS35" s="258">
        <f t="shared" si="11"/>
        <v>683365</v>
      </c>
      <c r="AT35" s="259"/>
      <c r="AU35" s="253"/>
      <c r="AV35" s="260"/>
      <c r="AW35" s="260"/>
      <c r="AX35" s="252"/>
      <c r="AY35" s="253"/>
      <c r="AZ35" s="260"/>
      <c r="BA35" s="260"/>
      <c r="BB35" s="252"/>
      <c r="BC35" s="253"/>
      <c r="BD35" s="260"/>
      <c r="BE35" s="260"/>
      <c r="BF35" s="252"/>
      <c r="BG35" s="253"/>
      <c r="BH35" s="260"/>
      <c r="BI35" s="260"/>
      <c r="BJ35" s="252"/>
      <c r="BK35" s="253"/>
      <c r="BL35" s="260"/>
      <c r="BM35" s="260"/>
      <c r="BN35" s="252"/>
      <c r="BO35" s="253"/>
      <c r="BP35" s="267"/>
      <c r="BQ35" s="268"/>
      <c r="BR35" s="252"/>
      <c r="BS35" s="253"/>
      <c r="BT35" s="267"/>
      <c r="BU35" s="268"/>
      <c r="BV35" s="252"/>
      <c r="BW35" s="253"/>
      <c r="BX35" s="260"/>
      <c r="BY35" s="260"/>
      <c r="BZ35" s="252"/>
      <c r="CA35" s="253"/>
      <c r="CB35" s="267"/>
      <c r="CC35" s="268"/>
      <c r="CD35" s="255">
        <f t="shared" si="12"/>
        <v>0</v>
      </c>
      <c r="CE35" s="256">
        <f t="shared" si="13"/>
        <v>0</v>
      </c>
      <c r="CF35" s="257">
        <f t="shared" si="14"/>
        <v>0</v>
      </c>
      <c r="CG35" s="261">
        <f t="shared" si="15"/>
        <v>0</v>
      </c>
    </row>
    <row r="36" spans="1:85" s="263" customFormat="1">
      <c r="A36" s="248" t="s">
        <v>115</v>
      </c>
      <c r="B36" s="266" t="s">
        <v>996</v>
      </c>
      <c r="C36" s="468" t="s">
        <v>1189</v>
      </c>
      <c r="D36" s="250">
        <v>101143</v>
      </c>
      <c r="E36" s="251">
        <v>10</v>
      </c>
      <c r="F36" s="252">
        <v>63</v>
      </c>
      <c r="G36" s="253">
        <v>386097</v>
      </c>
      <c r="H36" s="254">
        <v>69</v>
      </c>
      <c r="I36" s="254">
        <v>443561</v>
      </c>
      <c r="J36" s="252">
        <v>63</v>
      </c>
      <c r="K36" s="253">
        <v>568512</v>
      </c>
      <c r="L36" s="254">
        <v>69</v>
      </c>
      <c r="M36" s="254">
        <v>622656</v>
      </c>
      <c r="N36" s="252"/>
      <c r="O36" s="253"/>
      <c r="P36" s="267"/>
      <c r="Q36" s="268"/>
      <c r="R36" s="252">
        <v>63</v>
      </c>
      <c r="S36" s="253">
        <v>211071</v>
      </c>
      <c r="T36" s="254">
        <v>69</v>
      </c>
      <c r="U36" s="254">
        <v>271459</v>
      </c>
      <c r="V36" s="252"/>
      <c r="W36" s="253"/>
      <c r="X36" s="254">
        <v>0</v>
      </c>
      <c r="Y36" s="254">
        <v>0</v>
      </c>
      <c r="Z36" s="252"/>
      <c r="AA36" s="253"/>
      <c r="AB36" s="267"/>
      <c r="AC36" s="268"/>
      <c r="AD36" s="252"/>
      <c r="AE36" s="253"/>
      <c r="AF36" s="267"/>
      <c r="AG36" s="268"/>
      <c r="AH36" s="252">
        <v>20</v>
      </c>
      <c r="AI36" s="253">
        <v>12042</v>
      </c>
      <c r="AJ36" s="254">
        <v>22</v>
      </c>
      <c r="AK36" s="254">
        <v>15300</v>
      </c>
      <c r="AL36" s="252">
        <v>0</v>
      </c>
      <c r="AM36" s="253">
        <v>0</v>
      </c>
      <c r="AN36" s="254"/>
      <c r="AO36" s="254"/>
      <c r="AP36" s="255">
        <f t="shared" si="8"/>
        <v>63</v>
      </c>
      <c r="AQ36" s="256">
        <f t="shared" si="9"/>
        <v>1177722</v>
      </c>
      <c r="AR36" s="257">
        <f t="shared" si="10"/>
        <v>69</v>
      </c>
      <c r="AS36" s="258">
        <f t="shared" si="11"/>
        <v>1352976</v>
      </c>
      <c r="AT36" s="259"/>
      <c r="AU36" s="253"/>
      <c r="AV36" s="260"/>
      <c r="AW36" s="260"/>
      <c r="AX36" s="252"/>
      <c r="AY36" s="253"/>
      <c r="AZ36" s="260"/>
      <c r="BA36" s="260"/>
      <c r="BB36" s="252"/>
      <c r="BC36" s="253"/>
      <c r="BD36" s="260"/>
      <c r="BE36" s="260"/>
      <c r="BF36" s="252"/>
      <c r="BG36" s="253"/>
      <c r="BH36" s="260"/>
      <c r="BI36" s="260"/>
      <c r="BJ36" s="252"/>
      <c r="BK36" s="253"/>
      <c r="BL36" s="260"/>
      <c r="BM36" s="260"/>
      <c r="BN36" s="252"/>
      <c r="BO36" s="253"/>
      <c r="BP36" s="267"/>
      <c r="BQ36" s="268"/>
      <c r="BR36" s="252"/>
      <c r="BS36" s="253"/>
      <c r="BT36" s="267"/>
      <c r="BU36" s="268"/>
      <c r="BV36" s="252"/>
      <c r="BW36" s="253"/>
      <c r="BX36" s="260"/>
      <c r="BY36" s="260"/>
      <c r="BZ36" s="252"/>
      <c r="CA36" s="253"/>
      <c r="CB36" s="267"/>
      <c r="CC36" s="268"/>
      <c r="CD36" s="255">
        <f t="shared" si="12"/>
        <v>0</v>
      </c>
      <c r="CE36" s="256">
        <f t="shared" si="13"/>
        <v>0</v>
      </c>
      <c r="CF36" s="257">
        <f t="shared" si="14"/>
        <v>0</v>
      </c>
      <c r="CG36" s="261">
        <f t="shared" si="15"/>
        <v>0</v>
      </c>
    </row>
    <row r="37" spans="1:85" s="263" customFormat="1">
      <c r="A37" s="248" t="s">
        <v>115</v>
      </c>
      <c r="B37" s="271" t="s">
        <v>145</v>
      </c>
      <c r="C37" s="271"/>
      <c r="D37" s="250">
        <v>101301</v>
      </c>
      <c r="E37" s="251">
        <v>10</v>
      </c>
      <c r="F37" s="252">
        <v>48</v>
      </c>
      <c r="G37" s="253">
        <v>302665</v>
      </c>
      <c r="H37" s="254">
        <v>52</v>
      </c>
      <c r="I37" s="254">
        <v>325532</v>
      </c>
      <c r="J37" s="252">
        <v>48</v>
      </c>
      <c r="K37" s="253">
        <v>433152</v>
      </c>
      <c r="L37" s="254">
        <v>52</v>
      </c>
      <c r="M37" s="254">
        <v>469248</v>
      </c>
      <c r="N37" s="252"/>
      <c r="O37" s="253"/>
      <c r="P37" s="267"/>
      <c r="Q37" s="268"/>
      <c r="R37" s="252">
        <v>48</v>
      </c>
      <c r="S37" s="253">
        <v>185083</v>
      </c>
      <c r="T37" s="254">
        <v>52</v>
      </c>
      <c r="U37" s="254">
        <v>199067</v>
      </c>
      <c r="V37" s="252"/>
      <c r="W37" s="253"/>
      <c r="X37" s="254">
        <v>0</v>
      </c>
      <c r="Y37" s="254">
        <v>0</v>
      </c>
      <c r="Z37" s="252"/>
      <c r="AA37" s="253"/>
      <c r="AB37" s="267"/>
      <c r="AC37" s="268"/>
      <c r="AD37" s="252"/>
      <c r="AE37" s="253"/>
      <c r="AF37" s="267"/>
      <c r="AG37" s="268"/>
      <c r="AH37" s="252">
        <v>6</v>
      </c>
      <c r="AI37" s="253">
        <v>4520</v>
      </c>
      <c r="AJ37" s="254">
        <v>5</v>
      </c>
      <c r="AK37" s="254">
        <v>7541</v>
      </c>
      <c r="AL37" s="252">
        <v>0</v>
      </c>
      <c r="AM37" s="253">
        <v>0</v>
      </c>
      <c r="AN37" s="254"/>
      <c r="AO37" s="254"/>
      <c r="AP37" s="255">
        <f t="shared" si="8"/>
        <v>48</v>
      </c>
      <c r="AQ37" s="256">
        <f t="shared" si="9"/>
        <v>925420</v>
      </c>
      <c r="AR37" s="257">
        <f t="shared" si="10"/>
        <v>52</v>
      </c>
      <c r="AS37" s="258">
        <f t="shared" si="11"/>
        <v>1001388</v>
      </c>
      <c r="AT37" s="259"/>
      <c r="AU37" s="253"/>
      <c r="AV37" s="260">
        <v>3</v>
      </c>
      <c r="AW37" s="260">
        <v>14429</v>
      </c>
      <c r="AX37" s="252"/>
      <c r="AY37" s="253"/>
      <c r="AZ37" s="260">
        <v>3</v>
      </c>
      <c r="BA37" s="260">
        <v>27072</v>
      </c>
      <c r="BB37" s="252"/>
      <c r="BC37" s="253"/>
      <c r="BD37" s="260"/>
      <c r="BE37" s="260"/>
      <c r="BF37" s="252"/>
      <c r="BG37" s="253"/>
      <c r="BH37" s="260">
        <v>3</v>
      </c>
      <c r="BI37" s="260">
        <v>8824</v>
      </c>
      <c r="BJ37" s="252"/>
      <c r="BK37" s="253"/>
      <c r="BL37" s="260"/>
      <c r="BM37" s="260"/>
      <c r="BN37" s="252"/>
      <c r="BO37" s="253"/>
      <c r="BP37" s="267"/>
      <c r="BQ37" s="268"/>
      <c r="BR37" s="252"/>
      <c r="BS37" s="253"/>
      <c r="BT37" s="267"/>
      <c r="BU37" s="268"/>
      <c r="BV37" s="252"/>
      <c r="BW37" s="253"/>
      <c r="BX37" s="260"/>
      <c r="BY37" s="260"/>
      <c r="BZ37" s="252"/>
      <c r="CA37" s="253"/>
      <c r="CB37" s="267"/>
      <c r="CC37" s="268"/>
      <c r="CD37" s="255">
        <f t="shared" si="12"/>
        <v>0</v>
      </c>
      <c r="CE37" s="256">
        <f t="shared" si="13"/>
        <v>0</v>
      </c>
      <c r="CF37" s="257">
        <f t="shared" si="14"/>
        <v>3</v>
      </c>
      <c r="CG37" s="261">
        <f t="shared" si="15"/>
        <v>50325</v>
      </c>
    </row>
    <row r="38" spans="1:85" s="263" customFormat="1">
      <c r="A38" s="248" t="s">
        <v>115</v>
      </c>
      <c r="B38" s="271" t="s">
        <v>146</v>
      </c>
      <c r="C38" s="271"/>
      <c r="D38" s="250">
        <v>101499</v>
      </c>
      <c r="E38" s="251">
        <v>10</v>
      </c>
      <c r="F38" s="252">
        <v>34</v>
      </c>
      <c r="G38" s="253">
        <v>222635</v>
      </c>
      <c r="H38" s="254">
        <v>29</v>
      </c>
      <c r="I38" s="254">
        <v>195806</v>
      </c>
      <c r="J38" s="252">
        <v>34</v>
      </c>
      <c r="K38" s="253">
        <v>306816</v>
      </c>
      <c r="L38" s="254">
        <v>33</v>
      </c>
      <c r="M38" s="254">
        <v>297792</v>
      </c>
      <c r="N38" s="252"/>
      <c r="O38" s="253"/>
      <c r="P38" s="267"/>
      <c r="Q38" s="268"/>
      <c r="R38" s="252">
        <v>34</v>
      </c>
      <c r="S38" s="253">
        <v>136143</v>
      </c>
      <c r="T38" s="254">
        <v>33</v>
      </c>
      <c r="U38" s="254">
        <v>133084</v>
      </c>
      <c r="V38" s="252">
        <v>34</v>
      </c>
      <c r="W38" s="253">
        <v>534</v>
      </c>
      <c r="X38" s="254">
        <v>33</v>
      </c>
      <c r="Y38" s="254">
        <v>5045</v>
      </c>
      <c r="Z38" s="252"/>
      <c r="AA38" s="253"/>
      <c r="AB38" s="267"/>
      <c r="AC38" s="268"/>
      <c r="AD38" s="252"/>
      <c r="AE38" s="253"/>
      <c r="AF38" s="267"/>
      <c r="AG38" s="268"/>
      <c r="AH38" s="252">
        <v>2</v>
      </c>
      <c r="AI38" s="253">
        <v>2250</v>
      </c>
      <c r="AJ38" s="254">
        <v>3</v>
      </c>
      <c r="AK38" s="254">
        <v>3240</v>
      </c>
      <c r="AL38" s="252">
        <v>0</v>
      </c>
      <c r="AM38" s="253">
        <v>0</v>
      </c>
      <c r="AN38" s="254"/>
      <c r="AO38" s="254"/>
      <c r="AP38" s="255">
        <f t="shared" si="8"/>
        <v>34</v>
      </c>
      <c r="AQ38" s="256">
        <f t="shared" si="9"/>
        <v>668378</v>
      </c>
      <c r="AR38" s="257">
        <f t="shared" si="10"/>
        <v>33</v>
      </c>
      <c r="AS38" s="258">
        <f t="shared" si="11"/>
        <v>634967</v>
      </c>
      <c r="AT38" s="259">
        <v>5</v>
      </c>
      <c r="AU38" s="253">
        <v>50315</v>
      </c>
      <c r="AV38" s="260">
        <v>4</v>
      </c>
      <c r="AW38" s="260">
        <v>42875</v>
      </c>
      <c r="AX38" s="252">
        <v>5</v>
      </c>
      <c r="AY38" s="253">
        <v>45120</v>
      </c>
      <c r="AZ38" s="260">
        <v>4</v>
      </c>
      <c r="BA38" s="260">
        <v>36096</v>
      </c>
      <c r="BB38" s="252">
        <v>0</v>
      </c>
      <c r="BC38" s="253">
        <v>0</v>
      </c>
      <c r="BD38" s="260"/>
      <c r="BE38" s="260"/>
      <c r="BF38" s="252">
        <v>5</v>
      </c>
      <c r="BG38" s="253">
        <v>30768</v>
      </c>
      <c r="BH38" s="260">
        <v>4</v>
      </c>
      <c r="BI38" s="260">
        <v>26219</v>
      </c>
      <c r="BJ38" s="252">
        <v>5</v>
      </c>
      <c r="BK38" s="253">
        <v>121</v>
      </c>
      <c r="BL38" s="260">
        <v>4</v>
      </c>
      <c r="BM38" s="260">
        <v>994</v>
      </c>
      <c r="BN38" s="252"/>
      <c r="BO38" s="253"/>
      <c r="BP38" s="267"/>
      <c r="BQ38" s="268"/>
      <c r="BR38" s="252"/>
      <c r="BS38" s="253"/>
      <c r="BT38" s="267"/>
      <c r="BU38" s="268"/>
      <c r="BV38" s="252">
        <v>0</v>
      </c>
      <c r="BW38" s="253">
        <v>0</v>
      </c>
      <c r="BX38" s="260"/>
      <c r="BY38" s="260"/>
      <c r="BZ38" s="252"/>
      <c r="CA38" s="253"/>
      <c r="CB38" s="267"/>
      <c r="CC38" s="268"/>
      <c r="CD38" s="255">
        <f t="shared" si="12"/>
        <v>5</v>
      </c>
      <c r="CE38" s="256">
        <f t="shared" si="13"/>
        <v>126324</v>
      </c>
      <c r="CF38" s="257">
        <f t="shared" si="14"/>
        <v>4</v>
      </c>
      <c r="CG38" s="261">
        <f t="shared" si="15"/>
        <v>106184</v>
      </c>
    </row>
    <row r="39" spans="1:85" s="263" customFormat="1">
      <c r="A39" s="248" t="s">
        <v>115</v>
      </c>
      <c r="B39" s="272" t="s">
        <v>147</v>
      </c>
      <c r="C39" s="272"/>
      <c r="D39" s="250">
        <v>101602</v>
      </c>
      <c r="E39" s="251">
        <v>10</v>
      </c>
      <c r="F39" s="252">
        <v>51</v>
      </c>
      <c r="G39" s="253">
        <v>339693</v>
      </c>
      <c r="H39" s="254">
        <v>52</v>
      </c>
      <c r="I39" s="254">
        <v>332436</v>
      </c>
      <c r="J39" s="252">
        <v>51</v>
      </c>
      <c r="K39" s="253">
        <v>460224</v>
      </c>
      <c r="L39" s="254">
        <v>52</v>
      </c>
      <c r="M39" s="254">
        <v>469248</v>
      </c>
      <c r="N39" s="252"/>
      <c r="O39" s="253"/>
      <c r="P39" s="267"/>
      <c r="Q39" s="268"/>
      <c r="R39" s="252">
        <v>51</v>
      </c>
      <c r="S39" s="253">
        <v>207726</v>
      </c>
      <c r="T39" s="254">
        <v>52</v>
      </c>
      <c r="U39" s="254">
        <v>203288</v>
      </c>
      <c r="V39" s="252"/>
      <c r="W39" s="253"/>
      <c r="X39" s="254"/>
      <c r="Y39" s="254"/>
      <c r="Z39" s="252"/>
      <c r="AA39" s="253"/>
      <c r="AB39" s="267"/>
      <c r="AC39" s="268"/>
      <c r="AD39" s="252"/>
      <c r="AE39" s="253"/>
      <c r="AF39" s="267"/>
      <c r="AG39" s="268"/>
      <c r="AH39" s="252"/>
      <c r="AI39" s="253"/>
      <c r="AJ39" s="254"/>
      <c r="AK39" s="254"/>
      <c r="AL39" s="252">
        <v>0</v>
      </c>
      <c r="AM39" s="253">
        <v>0</v>
      </c>
      <c r="AN39" s="254"/>
      <c r="AO39" s="254"/>
      <c r="AP39" s="255">
        <f t="shared" si="8"/>
        <v>51</v>
      </c>
      <c r="AQ39" s="256">
        <f t="shared" si="9"/>
        <v>1007643</v>
      </c>
      <c r="AR39" s="257">
        <f t="shared" si="10"/>
        <v>52</v>
      </c>
      <c r="AS39" s="258">
        <f t="shared" si="11"/>
        <v>1004972</v>
      </c>
      <c r="AT39" s="259"/>
      <c r="AU39" s="253"/>
      <c r="AV39" s="260"/>
      <c r="AW39" s="260"/>
      <c r="AX39" s="252"/>
      <c r="AY39" s="253"/>
      <c r="AZ39" s="260"/>
      <c r="BA39" s="260"/>
      <c r="BB39" s="252"/>
      <c r="BC39" s="253"/>
      <c r="BD39" s="260"/>
      <c r="BE39" s="260"/>
      <c r="BF39" s="252"/>
      <c r="BG39" s="253"/>
      <c r="BH39" s="260"/>
      <c r="BI39" s="260"/>
      <c r="BJ39" s="252"/>
      <c r="BK39" s="253"/>
      <c r="BL39" s="260"/>
      <c r="BM39" s="260"/>
      <c r="BN39" s="252"/>
      <c r="BO39" s="253"/>
      <c r="BP39" s="267"/>
      <c r="BQ39" s="268"/>
      <c r="BR39" s="252"/>
      <c r="BS39" s="253"/>
      <c r="BT39" s="267"/>
      <c r="BU39" s="268"/>
      <c r="BV39" s="252"/>
      <c r="BW39" s="253"/>
      <c r="BX39" s="260"/>
      <c r="BY39" s="260"/>
      <c r="BZ39" s="252"/>
      <c r="CA39" s="253"/>
      <c r="CB39" s="267"/>
      <c r="CC39" s="268"/>
      <c r="CD39" s="255">
        <f t="shared" si="12"/>
        <v>0</v>
      </c>
      <c r="CE39" s="256">
        <f t="shared" si="13"/>
        <v>0</v>
      </c>
      <c r="CF39" s="257">
        <f t="shared" si="14"/>
        <v>0</v>
      </c>
      <c r="CG39" s="261">
        <f t="shared" si="15"/>
        <v>0</v>
      </c>
    </row>
    <row r="40" spans="1:85" s="263" customFormat="1">
      <c r="A40" s="248" t="s">
        <v>115</v>
      </c>
      <c r="B40" s="469" t="s">
        <v>148</v>
      </c>
      <c r="C40" s="470" t="s">
        <v>1187</v>
      </c>
      <c r="D40" s="250">
        <v>101897</v>
      </c>
      <c r="E40" s="471">
        <v>9</v>
      </c>
      <c r="F40" s="252">
        <v>43</v>
      </c>
      <c r="G40" s="253">
        <v>301441</v>
      </c>
      <c r="H40" s="254">
        <v>39</v>
      </c>
      <c r="I40" s="254">
        <v>270775</v>
      </c>
      <c r="J40" s="252">
        <v>43</v>
      </c>
      <c r="K40" s="253">
        <v>388032</v>
      </c>
      <c r="L40" s="254">
        <v>39</v>
      </c>
      <c r="M40" s="254">
        <v>351936</v>
      </c>
      <c r="N40" s="252"/>
      <c r="O40" s="253"/>
      <c r="P40" s="267"/>
      <c r="Q40" s="268"/>
      <c r="R40" s="252">
        <v>43</v>
      </c>
      <c r="S40" s="253">
        <v>184334</v>
      </c>
      <c r="T40" s="254">
        <v>39</v>
      </c>
      <c r="U40" s="254">
        <v>165582</v>
      </c>
      <c r="V40" s="252"/>
      <c r="W40" s="253"/>
      <c r="X40" s="254"/>
      <c r="Y40" s="254"/>
      <c r="Z40" s="252"/>
      <c r="AA40" s="253"/>
      <c r="AB40" s="267"/>
      <c r="AC40" s="268"/>
      <c r="AD40" s="252"/>
      <c r="AE40" s="253"/>
      <c r="AF40" s="267"/>
      <c r="AG40" s="268"/>
      <c r="AH40" s="252"/>
      <c r="AI40" s="253"/>
      <c r="AJ40" s="254"/>
      <c r="AK40" s="254"/>
      <c r="AL40" s="252">
        <v>0</v>
      </c>
      <c r="AM40" s="253">
        <v>0</v>
      </c>
      <c r="AN40" s="254"/>
      <c r="AO40" s="254"/>
      <c r="AP40" s="255">
        <f t="shared" si="8"/>
        <v>43</v>
      </c>
      <c r="AQ40" s="256">
        <f t="shared" si="9"/>
        <v>873807</v>
      </c>
      <c r="AR40" s="257">
        <f t="shared" si="10"/>
        <v>39</v>
      </c>
      <c r="AS40" s="258">
        <f t="shared" si="11"/>
        <v>788293</v>
      </c>
      <c r="AT40" s="259">
        <v>6</v>
      </c>
      <c r="AU40" s="253">
        <v>63656</v>
      </c>
      <c r="AV40" s="260">
        <v>12</v>
      </c>
      <c r="AW40" s="260">
        <v>105086</v>
      </c>
      <c r="AX40" s="252">
        <v>6</v>
      </c>
      <c r="AY40" s="253">
        <v>54144</v>
      </c>
      <c r="AZ40" s="260">
        <v>12</v>
      </c>
      <c r="BA40" s="260">
        <v>108288</v>
      </c>
      <c r="BB40" s="252">
        <v>0</v>
      </c>
      <c r="BC40" s="253">
        <v>0</v>
      </c>
      <c r="BD40" s="260"/>
      <c r="BE40" s="260"/>
      <c r="BF40" s="252">
        <v>6</v>
      </c>
      <c r="BG40" s="253">
        <v>38926</v>
      </c>
      <c r="BH40" s="260">
        <v>12</v>
      </c>
      <c r="BI40" s="260">
        <v>64261</v>
      </c>
      <c r="BJ40" s="252"/>
      <c r="BK40" s="253"/>
      <c r="BL40" s="260"/>
      <c r="BM40" s="260"/>
      <c r="BN40" s="252"/>
      <c r="BO40" s="253"/>
      <c r="BP40" s="267"/>
      <c r="BQ40" s="268"/>
      <c r="BR40" s="252"/>
      <c r="BS40" s="253"/>
      <c r="BT40" s="267"/>
      <c r="BU40" s="268"/>
      <c r="BV40" s="252">
        <v>0</v>
      </c>
      <c r="BW40" s="253">
        <v>0</v>
      </c>
      <c r="BX40" s="260"/>
      <c r="BY40" s="260"/>
      <c r="BZ40" s="252"/>
      <c r="CA40" s="253"/>
      <c r="CB40" s="267"/>
      <c r="CC40" s="268"/>
      <c r="CD40" s="255">
        <f t="shared" si="12"/>
        <v>6</v>
      </c>
      <c r="CE40" s="256">
        <f t="shared" si="13"/>
        <v>156726</v>
      </c>
      <c r="CF40" s="257">
        <f t="shared" si="14"/>
        <v>12</v>
      </c>
      <c r="CG40" s="261">
        <f t="shared" si="15"/>
        <v>277635</v>
      </c>
    </row>
    <row r="41" spans="1:85" s="263" customFormat="1">
      <c r="A41" s="248" t="s">
        <v>115</v>
      </c>
      <c r="B41" s="266" t="s">
        <v>149</v>
      </c>
      <c r="C41" s="468" t="s">
        <v>1190</v>
      </c>
      <c r="D41" s="250">
        <v>102076</v>
      </c>
      <c r="E41" s="251">
        <v>10</v>
      </c>
      <c r="F41" s="252">
        <v>18</v>
      </c>
      <c r="G41" s="253">
        <v>125018</v>
      </c>
      <c r="H41" s="254">
        <v>22</v>
      </c>
      <c r="I41" s="254">
        <v>149896</v>
      </c>
      <c r="J41" s="252">
        <v>18</v>
      </c>
      <c r="K41" s="253">
        <v>162432</v>
      </c>
      <c r="L41" s="254">
        <v>22</v>
      </c>
      <c r="M41" s="254">
        <v>198528</v>
      </c>
      <c r="N41" s="252"/>
      <c r="O41" s="253"/>
      <c r="P41" s="267"/>
      <c r="Q41" s="268"/>
      <c r="R41" s="252">
        <v>18</v>
      </c>
      <c r="S41" s="253">
        <v>76450</v>
      </c>
      <c r="T41" s="254">
        <v>22</v>
      </c>
      <c r="U41" s="254">
        <v>91663</v>
      </c>
      <c r="V41" s="252">
        <v>18</v>
      </c>
      <c r="W41" s="253">
        <v>600</v>
      </c>
      <c r="X41" s="254">
        <v>22</v>
      </c>
      <c r="Y41" s="254">
        <v>3934</v>
      </c>
      <c r="Z41" s="252"/>
      <c r="AA41" s="253"/>
      <c r="AB41" s="267"/>
      <c r="AC41" s="268"/>
      <c r="AD41" s="252"/>
      <c r="AE41" s="253"/>
      <c r="AF41" s="267"/>
      <c r="AG41" s="268"/>
      <c r="AH41" s="252">
        <v>5</v>
      </c>
      <c r="AI41" s="253">
        <v>12450</v>
      </c>
      <c r="AJ41" s="254">
        <v>5</v>
      </c>
      <c r="AK41" s="254">
        <v>16950</v>
      </c>
      <c r="AL41" s="252">
        <v>0</v>
      </c>
      <c r="AM41" s="253">
        <v>0</v>
      </c>
      <c r="AN41" s="254"/>
      <c r="AO41" s="254"/>
      <c r="AP41" s="255">
        <f t="shared" si="8"/>
        <v>18</v>
      </c>
      <c r="AQ41" s="256">
        <f t="shared" si="9"/>
        <v>376950</v>
      </c>
      <c r="AR41" s="257">
        <f t="shared" si="10"/>
        <v>22</v>
      </c>
      <c r="AS41" s="258">
        <f t="shared" si="11"/>
        <v>460971</v>
      </c>
      <c r="AT41" s="259">
        <v>17</v>
      </c>
      <c r="AU41" s="253">
        <v>163441</v>
      </c>
      <c r="AV41" s="260">
        <v>15</v>
      </c>
      <c r="AW41" s="260">
        <v>140423</v>
      </c>
      <c r="AX41" s="252">
        <v>17</v>
      </c>
      <c r="AY41" s="253">
        <v>153408</v>
      </c>
      <c r="AZ41" s="260">
        <v>15</v>
      </c>
      <c r="BA41" s="260">
        <v>135360</v>
      </c>
      <c r="BB41" s="252">
        <v>0</v>
      </c>
      <c r="BC41" s="253">
        <v>0</v>
      </c>
      <c r="BD41" s="260"/>
      <c r="BE41" s="260"/>
      <c r="BF41" s="252">
        <v>17</v>
      </c>
      <c r="BG41" s="253">
        <v>99946</v>
      </c>
      <c r="BH41" s="260">
        <v>15</v>
      </c>
      <c r="BI41" s="260">
        <v>86008</v>
      </c>
      <c r="BJ41" s="252">
        <v>17</v>
      </c>
      <c r="BK41" s="253">
        <v>784</v>
      </c>
      <c r="BL41" s="260">
        <v>15</v>
      </c>
      <c r="BM41" s="260">
        <v>3710</v>
      </c>
      <c r="BN41" s="252"/>
      <c r="BO41" s="253"/>
      <c r="BP41" s="267"/>
      <c r="BQ41" s="268"/>
      <c r="BR41" s="252"/>
      <c r="BS41" s="253"/>
      <c r="BT41" s="267"/>
      <c r="BU41" s="268"/>
      <c r="BV41" s="252">
        <v>5</v>
      </c>
      <c r="BW41" s="253">
        <v>12450</v>
      </c>
      <c r="BX41" s="260">
        <v>5</v>
      </c>
      <c r="BY41" s="260">
        <v>16950</v>
      </c>
      <c r="BZ41" s="252"/>
      <c r="CA41" s="253"/>
      <c r="CB41" s="267"/>
      <c r="CC41" s="268"/>
      <c r="CD41" s="255">
        <f t="shared" si="12"/>
        <v>17</v>
      </c>
      <c r="CE41" s="256">
        <f t="shared" si="13"/>
        <v>430029</v>
      </c>
      <c r="CF41" s="257">
        <f t="shared" si="14"/>
        <v>15</v>
      </c>
      <c r="CG41" s="261">
        <f t="shared" si="15"/>
        <v>382451</v>
      </c>
    </row>
    <row r="42" spans="1:85" s="263" customFormat="1">
      <c r="A42" s="248" t="s">
        <v>115</v>
      </c>
      <c r="B42" s="272" t="s">
        <v>150</v>
      </c>
      <c r="C42" s="272"/>
      <c r="D42" s="250">
        <v>102313</v>
      </c>
      <c r="E42" s="251">
        <v>12</v>
      </c>
      <c r="F42" s="252">
        <v>67</v>
      </c>
      <c r="G42" s="253">
        <v>436972</v>
      </c>
      <c r="H42" s="254">
        <v>69</v>
      </c>
      <c r="I42" s="254">
        <v>455052</v>
      </c>
      <c r="J42" s="252">
        <v>67</v>
      </c>
      <c r="K42" s="253">
        <v>554976</v>
      </c>
      <c r="L42" s="254">
        <v>69</v>
      </c>
      <c r="M42" s="254">
        <v>570768</v>
      </c>
      <c r="N42" s="252"/>
      <c r="O42" s="253"/>
      <c r="P42" s="267"/>
      <c r="Q42" s="268"/>
      <c r="R42" s="252">
        <v>67</v>
      </c>
      <c r="S42" s="253">
        <v>267213</v>
      </c>
      <c r="T42" s="254">
        <v>69</v>
      </c>
      <c r="U42" s="254">
        <v>278269</v>
      </c>
      <c r="V42" s="252"/>
      <c r="W42" s="253"/>
      <c r="X42" s="254"/>
      <c r="Y42" s="254"/>
      <c r="Z42" s="252"/>
      <c r="AA42" s="253"/>
      <c r="AB42" s="267"/>
      <c r="AC42" s="268"/>
      <c r="AD42" s="252"/>
      <c r="AE42" s="253"/>
      <c r="AF42" s="267"/>
      <c r="AG42" s="268"/>
      <c r="AH42" s="252">
        <v>3</v>
      </c>
      <c r="AI42" s="253">
        <v>1884</v>
      </c>
      <c r="AJ42" s="254">
        <v>2</v>
      </c>
      <c r="AK42" s="254">
        <v>2217</v>
      </c>
      <c r="AL42" s="252">
        <v>3</v>
      </c>
      <c r="AM42" s="253">
        <v>1884</v>
      </c>
      <c r="AN42" s="254"/>
      <c r="AO42" s="254"/>
      <c r="AP42" s="255">
        <f t="shared" si="8"/>
        <v>67</v>
      </c>
      <c r="AQ42" s="256">
        <f t="shared" si="9"/>
        <v>1262929</v>
      </c>
      <c r="AR42" s="257">
        <f t="shared" si="10"/>
        <v>69</v>
      </c>
      <c r="AS42" s="258">
        <f t="shared" si="11"/>
        <v>1306306</v>
      </c>
      <c r="AT42" s="259">
        <v>7</v>
      </c>
      <c r="AU42" s="253">
        <v>82017</v>
      </c>
      <c r="AV42" s="260">
        <v>7</v>
      </c>
      <c r="AW42" s="260">
        <v>77193</v>
      </c>
      <c r="AX42" s="252">
        <v>7</v>
      </c>
      <c r="AY42" s="253">
        <v>58656</v>
      </c>
      <c r="AZ42" s="260">
        <v>7</v>
      </c>
      <c r="BA42" s="260">
        <v>57904</v>
      </c>
      <c r="BB42" s="252">
        <v>0</v>
      </c>
      <c r="BC42" s="253">
        <v>0</v>
      </c>
      <c r="BD42" s="260"/>
      <c r="BE42" s="260"/>
      <c r="BF42" s="252">
        <v>7</v>
      </c>
      <c r="BG42" s="253">
        <v>50154</v>
      </c>
      <c r="BH42" s="260">
        <v>7</v>
      </c>
      <c r="BI42" s="260">
        <v>47204</v>
      </c>
      <c r="BJ42" s="252"/>
      <c r="BK42" s="253"/>
      <c r="BL42" s="267"/>
      <c r="BM42" s="268"/>
      <c r="BN42" s="252"/>
      <c r="BO42" s="253"/>
      <c r="BP42" s="267"/>
      <c r="BQ42" s="268"/>
      <c r="BR42" s="252"/>
      <c r="BS42" s="253"/>
      <c r="BT42" s="267"/>
      <c r="BU42" s="268"/>
      <c r="BV42" s="252"/>
      <c r="BW42" s="253"/>
      <c r="BX42" s="267"/>
      <c r="BY42" s="268"/>
      <c r="BZ42" s="252"/>
      <c r="CA42" s="253"/>
      <c r="CB42" s="267"/>
      <c r="CC42" s="268"/>
      <c r="CD42" s="255">
        <f t="shared" si="12"/>
        <v>7</v>
      </c>
      <c r="CE42" s="256">
        <f t="shared" si="13"/>
        <v>190827</v>
      </c>
      <c r="CF42" s="257">
        <f t="shared" si="14"/>
        <v>7</v>
      </c>
      <c r="CG42" s="261">
        <f t="shared" si="15"/>
        <v>182301</v>
      </c>
    </row>
    <row r="43" spans="1:85" s="263" customFormat="1">
      <c r="A43" s="248" t="s">
        <v>115</v>
      </c>
      <c r="B43" s="266" t="s">
        <v>151</v>
      </c>
      <c r="C43" s="468" t="s">
        <v>1191</v>
      </c>
      <c r="D43" s="250">
        <v>101462</v>
      </c>
      <c r="E43" s="251">
        <v>13</v>
      </c>
      <c r="F43" s="252">
        <v>25</v>
      </c>
      <c r="G43" s="253">
        <v>163064</v>
      </c>
      <c r="H43" s="254">
        <v>24</v>
      </c>
      <c r="I43" s="254">
        <v>160474</v>
      </c>
      <c r="J43" s="252">
        <v>25</v>
      </c>
      <c r="K43" s="253">
        <v>225600</v>
      </c>
      <c r="L43" s="254">
        <v>24</v>
      </c>
      <c r="M43" s="254">
        <v>216576</v>
      </c>
      <c r="N43" s="252"/>
      <c r="O43" s="253"/>
      <c r="P43" s="267"/>
      <c r="Q43" s="268"/>
      <c r="R43" s="252">
        <v>25</v>
      </c>
      <c r="S43" s="253">
        <v>102135</v>
      </c>
      <c r="T43" s="254">
        <v>24</v>
      </c>
      <c r="U43" s="254">
        <v>83380</v>
      </c>
      <c r="V43" s="252"/>
      <c r="W43" s="253"/>
      <c r="X43" s="254"/>
      <c r="Y43" s="254"/>
      <c r="Z43" s="252"/>
      <c r="AA43" s="253"/>
      <c r="AB43" s="267"/>
      <c r="AC43" s="268"/>
      <c r="AD43" s="252"/>
      <c r="AE43" s="253"/>
      <c r="AF43" s="267"/>
      <c r="AG43" s="268"/>
      <c r="AH43" s="252"/>
      <c r="AI43" s="253"/>
      <c r="AJ43" s="254"/>
      <c r="AK43" s="254"/>
      <c r="AL43" s="252"/>
      <c r="AM43" s="253"/>
      <c r="AN43" s="254"/>
      <c r="AO43" s="254"/>
      <c r="AP43" s="255">
        <f t="shared" si="8"/>
        <v>25</v>
      </c>
      <c r="AQ43" s="256">
        <f t="shared" si="9"/>
        <v>490799</v>
      </c>
      <c r="AR43" s="257">
        <f t="shared" si="10"/>
        <v>24</v>
      </c>
      <c r="AS43" s="258">
        <f t="shared" si="11"/>
        <v>460430</v>
      </c>
      <c r="AT43" s="259"/>
      <c r="AU43" s="253"/>
      <c r="AV43" s="260">
        <v>4</v>
      </c>
      <c r="AW43" s="260">
        <v>15090</v>
      </c>
      <c r="AX43" s="252"/>
      <c r="AY43" s="253"/>
      <c r="AZ43" s="260"/>
      <c r="BA43" s="260"/>
      <c r="BB43" s="252"/>
      <c r="BC43" s="253"/>
      <c r="BD43" s="260"/>
      <c r="BE43" s="260"/>
      <c r="BF43" s="252"/>
      <c r="BG43" s="253"/>
      <c r="BH43" s="260">
        <v>4</v>
      </c>
      <c r="BI43" s="260">
        <v>7841</v>
      </c>
      <c r="BJ43" s="252"/>
      <c r="BK43" s="253"/>
      <c r="BL43" s="267"/>
      <c r="BM43" s="268"/>
      <c r="BN43" s="252"/>
      <c r="BO43" s="253"/>
      <c r="BP43" s="267">
        <v>4</v>
      </c>
      <c r="BQ43" s="268">
        <v>36096</v>
      </c>
      <c r="BR43" s="252"/>
      <c r="BS43" s="253"/>
      <c r="BT43" s="267"/>
      <c r="BU43" s="268"/>
      <c r="BV43" s="252"/>
      <c r="BW43" s="253"/>
      <c r="BX43" s="267"/>
      <c r="BY43" s="268"/>
      <c r="BZ43" s="252"/>
      <c r="CA43" s="253"/>
      <c r="CB43" s="267"/>
      <c r="CC43" s="268"/>
      <c r="CD43" s="255">
        <f t="shared" si="12"/>
        <v>0</v>
      </c>
      <c r="CE43" s="256">
        <f t="shared" si="13"/>
        <v>0</v>
      </c>
      <c r="CF43" s="257">
        <f t="shared" si="14"/>
        <v>4</v>
      </c>
      <c r="CG43" s="261">
        <f t="shared" si="15"/>
        <v>59027</v>
      </c>
    </row>
    <row r="44" spans="1:85" s="263" customFormat="1">
      <c r="A44" s="248" t="s">
        <v>115</v>
      </c>
      <c r="B44" s="271" t="s">
        <v>152</v>
      </c>
      <c r="C44" s="271"/>
      <c r="D44" s="250">
        <v>101471</v>
      </c>
      <c r="E44" s="251">
        <v>13</v>
      </c>
      <c r="F44" s="252">
        <v>17</v>
      </c>
      <c r="G44" s="253">
        <v>102574</v>
      </c>
      <c r="H44" s="254">
        <v>17</v>
      </c>
      <c r="I44" s="254">
        <v>102259</v>
      </c>
      <c r="J44" s="252">
        <v>17</v>
      </c>
      <c r="K44" s="253">
        <v>153408</v>
      </c>
      <c r="L44" s="254">
        <v>17</v>
      </c>
      <c r="M44" s="254">
        <v>153408</v>
      </c>
      <c r="N44" s="252"/>
      <c r="O44" s="253"/>
      <c r="P44" s="267"/>
      <c r="Q44" s="268"/>
      <c r="R44" s="252">
        <v>17</v>
      </c>
      <c r="S44" s="253">
        <v>62723</v>
      </c>
      <c r="T44" s="254">
        <v>17</v>
      </c>
      <c r="U44" s="254">
        <v>62531</v>
      </c>
      <c r="V44" s="252"/>
      <c r="W44" s="253"/>
      <c r="X44" s="254"/>
      <c r="Y44" s="254"/>
      <c r="Z44" s="252"/>
      <c r="AA44" s="253"/>
      <c r="AB44" s="267"/>
      <c r="AC44" s="268"/>
      <c r="AD44" s="252"/>
      <c r="AE44" s="253"/>
      <c r="AF44" s="267"/>
      <c r="AG44" s="268"/>
      <c r="AH44" s="252"/>
      <c r="AI44" s="253"/>
      <c r="AJ44" s="254"/>
      <c r="AK44" s="254"/>
      <c r="AL44" s="252"/>
      <c r="AM44" s="253"/>
      <c r="AN44" s="254"/>
      <c r="AO44" s="254"/>
      <c r="AP44" s="255">
        <f t="shared" si="8"/>
        <v>17</v>
      </c>
      <c r="AQ44" s="256">
        <f t="shared" si="9"/>
        <v>318705</v>
      </c>
      <c r="AR44" s="257">
        <f t="shared" si="10"/>
        <v>17</v>
      </c>
      <c r="AS44" s="258">
        <f t="shared" si="11"/>
        <v>318198</v>
      </c>
      <c r="AT44" s="259">
        <v>21</v>
      </c>
      <c r="AU44" s="253">
        <v>201973</v>
      </c>
      <c r="AV44" s="260">
        <v>14</v>
      </c>
      <c r="AW44" s="260">
        <v>150785</v>
      </c>
      <c r="AX44" s="252">
        <v>21</v>
      </c>
      <c r="AY44" s="253">
        <v>189504</v>
      </c>
      <c r="AZ44" s="260">
        <v>14</v>
      </c>
      <c r="BA44" s="260">
        <v>126336</v>
      </c>
      <c r="BB44" s="252">
        <v>0</v>
      </c>
      <c r="BC44" s="253">
        <v>0</v>
      </c>
      <c r="BD44" s="260"/>
      <c r="BE44" s="260"/>
      <c r="BF44" s="252">
        <v>21</v>
      </c>
      <c r="BG44" s="253">
        <v>121427</v>
      </c>
      <c r="BH44" s="260">
        <v>14</v>
      </c>
      <c r="BI44" s="260">
        <v>92201</v>
      </c>
      <c r="BJ44" s="252"/>
      <c r="BK44" s="253"/>
      <c r="BL44" s="267"/>
      <c r="BM44" s="268"/>
      <c r="BN44" s="252"/>
      <c r="BO44" s="253"/>
      <c r="BP44" s="267"/>
      <c r="BQ44" s="268"/>
      <c r="BR44" s="252"/>
      <c r="BS44" s="253"/>
      <c r="BT44" s="267"/>
      <c r="BU44" s="268"/>
      <c r="BV44" s="252"/>
      <c r="BW44" s="253"/>
      <c r="BX44" s="267"/>
      <c r="BY44" s="268"/>
      <c r="BZ44" s="252"/>
      <c r="CA44" s="253"/>
      <c r="CB44" s="267"/>
      <c r="CC44" s="268"/>
      <c r="CD44" s="255">
        <f t="shared" si="12"/>
        <v>21</v>
      </c>
      <c r="CE44" s="256">
        <f t="shared" si="13"/>
        <v>512904</v>
      </c>
      <c r="CF44" s="257">
        <f t="shared" si="14"/>
        <v>14</v>
      </c>
      <c r="CG44" s="261">
        <f t="shared" si="15"/>
        <v>369322</v>
      </c>
    </row>
    <row r="45" spans="1:85" s="263" customFormat="1">
      <c r="A45" s="248" t="s">
        <v>115</v>
      </c>
      <c r="B45" s="271" t="s">
        <v>153</v>
      </c>
      <c r="C45" s="271"/>
      <c r="D45" s="250">
        <v>101994</v>
      </c>
      <c r="E45" s="251">
        <v>13</v>
      </c>
      <c r="F45" s="252">
        <v>20</v>
      </c>
      <c r="G45" s="253">
        <v>125224</v>
      </c>
      <c r="H45" s="254">
        <v>20</v>
      </c>
      <c r="I45" s="254">
        <v>126977</v>
      </c>
      <c r="J45" s="252">
        <v>20</v>
      </c>
      <c r="K45" s="253">
        <v>180480</v>
      </c>
      <c r="L45" s="254">
        <v>20</v>
      </c>
      <c r="M45" s="254">
        <v>180480</v>
      </c>
      <c r="N45" s="252"/>
      <c r="O45" s="253"/>
      <c r="P45" s="267"/>
      <c r="Q45" s="268"/>
      <c r="R45" s="252">
        <v>20</v>
      </c>
      <c r="S45" s="253">
        <v>76576</v>
      </c>
      <c r="T45" s="254">
        <v>20</v>
      </c>
      <c r="U45" s="254">
        <v>77648</v>
      </c>
      <c r="V45" s="252"/>
      <c r="W45" s="253"/>
      <c r="X45" s="254"/>
      <c r="Y45" s="254"/>
      <c r="Z45" s="252"/>
      <c r="AA45" s="253"/>
      <c r="AB45" s="267"/>
      <c r="AC45" s="268"/>
      <c r="AD45" s="252"/>
      <c r="AE45" s="253"/>
      <c r="AF45" s="267"/>
      <c r="AG45" s="268"/>
      <c r="AH45" s="252">
        <v>1</v>
      </c>
      <c r="AI45" s="253">
        <v>994</v>
      </c>
      <c r="AJ45" s="254"/>
      <c r="AK45" s="254"/>
      <c r="AL45" s="252"/>
      <c r="AM45" s="253"/>
      <c r="AN45" s="254">
        <v>4</v>
      </c>
      <c r="AO45" s="254">
        <v>14400</v>
      </c>
      <c r="AP45" s="255">
        <f t="shared" si="8"/>
        <v>20</v>
      </c>
      <c r="AQ45" s="256">
        <f t="shared" si="9"/>
        <v>383274</v>
      </c>
      <c r="AR45" s="257">
        <f t="shared" si="10"/>
        <v>20</v>
      </c>
      <c r="AS45" s="258">
        <f t="shared" si="11"/>
        <v>399505</v>
      </c>
      <c r="AT45" s="259">
        <v>6</v>
      </c>
      <c r="AU45" s="253">
        <v>39793</v>
      </c>
      <c r="AV45" s="260">
        <v>6</v>
      </c>
      <c r="AW45" s="260">
        <v>40606</v>
      </c>
      <c r="AX45" s="252">
        <v>6</v>
      </c>
      <c r="AY45" s="253">
        <v>54144</v>
      </c>
      <c r="AZ45" s="260">
        <v>6</v>
      </c>
      <c r="BA45" s="260">
        <v>54144</v>
      </c>
      <c r="BB45" s="252">
        <v>0</v>
      </c>
      <c r="BC45" s="253">
        <v>0</v>
      </c>
      <c r="BD45" s="260"/>
      <c r="BE45" s="260"/>
      <c r="BF45" s="252">
        <v>6</v>
      </c>
      <c r="BG45" s="253">
        <v>24334</v>
      </c>
      <c r="BH45" s="260">
        <v>6</v>
      </c>
      <c r="BI45" s="260">
        <v>24831</v>
      </c>
      <c r="BJ45" s="252"/>
      <c r="BK45" s="253"/>
      <c r="BL45" s="267"/>
      <c r="BM45" s="268"/>
      <c r="BN45" s="252"/>
      <c r="BO45" s="253"/>
      <c r="BP45" s="267"/>
      <c r="BQ45" s="268"/>
      <c r="BR45" s="252"/>
      <c r="BS45" s="253"/>
      <c r="BT45" s="267"/>
      <c r="BU45" s="268"/>
      <c r="BV45" s="252"/>
      <c r="BW45" s="253"/>
      <c r="BX45" s="267">
        <v>1</v>
      </c>
      <c r="BY45" s="268">
        <v>480</v>
      </c>
      <c r="BZ45" s="252"/>
      <c r="CA45" s="253"/>
      <c r="CB45" s="267"/>
      <c r="CC45" s="268"/>
      <c r="CD45" s="255">
        <f t="shared" si="12"/>
        <v>6</v>
      </c>
      <c r="CE45" s="256">
        <f t="shared" si="13"/>
        <v>118271</v>
      </c>
      <c r="CF45" s="257">
        <f t="shared" si="14"/>
        <v>6</v>
      </c>
      <c r="CG45" s="261">
        <f t="shared" si="15"/>
        <v>120061</v>
      </c>
    </row>
    <row r="46" spans="1:85" s="263" customFormat="1" ht="12.75" customHeight="1">
      <c r="A46" s="273" t="s">
        <v>743</v>
      </c>
      <c r="B46" s="274" t="s">
        <v>744</v>
      </c>
      <c r="C46" s="274"/>
      <c r="D46" s="273">
        <v>106397</v>
      </c>
      <c r="E46" s="275">
        <v>1</v>
      </c>
      <c r="F46" s="252">
        <v>655</v>
      </c>
      <c r="G46" s="253">
        <v>4493003</v>
      </c>
      <c r="H46" s="276">
        <v>703</v>
      </c>
      <c r="I46" s="276">
        <v>4741574</v>
      </c>
      <c r="J46" s="252">
        <v>612</v>
      </c>
      <c r="K46" s="253">
        <v>3912911</v>
      </c>
      <c r="L46" s="276">
        <v>653</v>
      </c>
      <c r="M46" s="276">
        <v>4297728</v>
      </c>
      <c r="N46" s="252">
        <v>655</v>
      </c>
      <c r="O46" s="253">
        <v>36029</v>
      </c>
      <c r="P46" s="276">
        <v>703</v>
      </c>
      <c r="Q46" s="276">
        <v>38628</v>
      </c>
      <c r="R46" s="252">
        <v>653</v>
      </c>
      <c r="S46" s="253">
        <v>3536624</v>
      </c>
      <c r="T46" s="276">
        <v>700</v>
      </c>
      <c r="U46" s="276">
        <v>3839585</v>
      </c>
      <c r="V46" s="252">
        <v>656</v>
      </c>
      <c r="W46" s="253">
        <v>93620</v>
      </c>
      <c r="X46" s="276">
        <v>706</v>
      </c>
      <c r="Y46" s="276">
        <v>220651</v>
      </c>
      <c r="Z46" s="252">
        <v>655</v>
      </c>
      <c r="AA46" s="253">
        <v>95503</v>
      </c>
      <c r="AB46" s="276">
        <v>703</v>
      </c>
      <c r="AC46" s="276">
        <v>101825</v>
      </c>
      <c r="AD46" s="252">
        <v>656</v>
      </c>
      <c r="AE46" s="253">
        <v>112387</v>
      </c>
      <c r="AF46" s="276">
        <v>706</v>
      </c>
      <c r="AG46" s="276">
        <v>175456</v>
      </c>
      <c r="AH46" s="252">
        <v>48</v>
      </c>
      <c r="AI46" s="253">
        <v>84941</v>
      </c>
      <c r="AJ46" s="267">
        <v>54</v>
      </c>
      <c r="AK46" s="268">
        <v>105338</v>
      </c>
      <c r="AL46" s="252">
        <v>1</v>
      </c>
      <c r="AM46" s="253">
        <v>15228</v>
      </c>
      <c r="AN46" s="276">
        <v>0</v>
      </c>
      <c r="AO46" s="276">
        <v>0</v>
      </c>
      <c r="AP46" s="255">
        <f t="shared" si="8"/>
        <v>656</v>
      </c>
      <c r="AQ46" s="256">
        <f t="shared" si="9"/>
        <v>12380246</v>
      </c>
      <c r="AR46" s="257">
        <f t="shared" si="10"/>
        <v>706</v>
      </c>
      <c r="AS46" s="258">
        <f t="shared" si="11"/>
        <v>13520785</v>
      </c>
      <c r="AT46" s="259">
        <v>252</v>
      </c>
      <c r="AU46" s="253">
        <v>2353369</v>
      </c>
      <c r="AV46" s="267">
        <v>246</v>
      </c>
      <c r="AW46" s="268">
        <v>2277037</v>
      </c>
      <c r="AX46" s="252">
        <v>244</v>
      </c>
      <c r="AY46" s="253">
        <v>1743392</v>
      </c>
      <c r="AZ46" s="267">
        <v>238</v>
      </c>
      <c r="BA46" s="268">
        <v>1776698</v>
      </c>
      <c r="BB46" s="252">
        <v>252</v>
      </c>
      <c r="BC46" s="253">
        <v>14130</v>
      </c>
      <c r="BD46" s="267">
        <v>246</v>
      </c>
      <c r="BE46" s="268">
        <v>13776</v>
      </c>
      <c r="BF46" s="252">
        <v>251</v>
      </c>
      <c r="BG46" s="253">
        <v>1764700</v>
      </c>
      <c r="BH46" s="267">
        <v>245</v>
      </c>
      <c r="BI46" s="268">
        <v>1749951</v>
      </c>
      <c r="BJ46" s="252">
        <v>252</v>
      </c>
      <c r="BK46" s="253">
        <v>49014</v>
      </c>
      <c r="BL46" s="267">
        <v>246</v>
      </c>
      <c r="BM46" s="268">
        <v>104610</v>
      </c>
      <c r="BN46" s="252">
        <v>252</v>
      </c>
      <c r="BO46" s="253">
        <v>38631</v>
      </c>
      <c r="BP46" s="267">
        <v>246</v>
      </c>
      <c r="BQ46" s="268">
        <v>37510</v>
      </c>
      <c r="BR46" s="252">
        <v>252</v>
      </c>
      <c r="BS46" s="253">
        <v>58846</v>
      </c>
      <c r="BT46" s="267">
        <v>246</v>
      </c>
      <c r="BU46" s="268">
        <v>83187</v>
      </c>
      <c r="BV46" s="252">
        <v>27</v>
      </c>
      <c r="BW46" s="253">
        <v>60780</v>
      </c>
      <c r="BX46" s="267">
        <v>23</v>
      </c>
      <c r="BY46" s="268">
        <v>55204</v>
      </c>
      <c r="BZ46" s="252"/>
      <c r="CA46" s="253"/>
      <c r="CB46" s="267"/>
      <c r="CC46" s="268"/>
      <c r="CD46" s="255">
        <f t="shared" si="12"/>
        <v>252</v>
      </c>
      <c r="CE46" s="256">
        <f t="shared" si="13"/>
        <v>6082862</v>
      </c>
      <c r="CF46" s="257">
        <f t="shared" si="14"/>
        <v>246</v>
      </c>
      <c r="CG46" s="261">
        <f t="shared" si="15"/>
        <v>6097973</v>
      </c>
    </row>
    <row r="47" spans="1:85" s="263" customFormat="1" ht="12.75" customHeight="1">
      <c r="A47" s="273" t="s">
        <v>743</v>
      </c>
      <c r="B47" s="274" t="s">
        <v>745</v>
      </c>
      <c r="C47" s="274"/>
      <c r="D47" s="273">
        <v>106458</v>
      </c>
      <c r="E47" s="275">
        <v>3</v>
      </c>
      <c r="F47" s="252">
        <v>414</v>
      </c>
      <c r="G47" s="253">
        <v>2379714</v>
      </c>
      <c r="H47" s="276">
        <v>413</v>
      </c>
      <c r="I47" s="276">
        <v>2375152</v>
      </c>
      <c r="J47" s="252">
        <v>377</v>
      </c>
      <c r="K47" s="253">
        <v>1651097</v>
      </c>
      <c r="L47" s="276">
        <v>379</v>
      </c>
      <c r="M47" s="276">
        <v>2021217</v>
      </c>
      <c r="N47" s="252">
        <v>370</v>
      </c>
      <c r="O47" s="253">
        <v>72188</v>
      </c>
      <c r="P47" s="276">
        <v>384</v>
      </c>
      <c r="Q47" s="276">
        <v>75146</v>
      </c>
      <c r="R47" s="252">
        <v>416</v>
      </c>
      <c r="S47" s="253">
        <v>1683949</v>
      </c>
      <c r="T47" s="276">
        <v>414</v>
      </c>
      <c r="U47" s="276">
        <v>1656943</v>
      </c>
      <c r="V47" s="252">
        <v>416</v>
      </c>
      <c r="W47" s="253">
        <v>60227</v>
      </c>
      <c r="X47" s="276">
        <v>414</v>
      </c>
      <c r="Y47" s="276">
        <v>89972</v>
      </c>
      <c r="Z47" s="252">
        <v>415</v>
      </c>
      <c r="AA47" s="253">
        <v>68326</v>
      </c>
      <c r="AB47" s="276">
        <v>414</v>
      </c>
      <c r="AC47" s="276">
        <v>67668</v>
      </c>
      <c r="AD47" s="252">
        <v>416</v>
      </c>
      <c r="AE47" s="253">
        <v>148253</v>
      </c>
      <c r="AF47" s="276">
        <v>414</v>
      </c>
      <c r="AG47" s="276">
        <v>39219</v>
      </c>
      <c r="AH47" s="252">
        <v>42</v>
      </c>
      <c r="AI47" s="253">
        <v>49881</v>
      </c>
      <c r="AJ47" s="267">
        <v>39</v>
      </c>
      <c r="AK47" s="268">
        <v>48605</v>
      </c>
      <c r="AL47" s="252"/>
      <c r="AM47" s="253"/>
      <c r="AN47" s="276"/>
      <c r="AO47" s="276"/>
      <c r="AP47" s="255">
        <f t="shared" si="8"/>
        <v>416</v>
      </c>
      <c r="AQ47" s="256">
        <f t="shared" si="9"/>
        <v>6113635</v>
      </c>
      <c r="AR47" s="257">
        <f t="shared" si="10"/>
        <v>414</v>
      </c>
      <c r="AS47" s="258">
        <f t="shared" si="11"/>
        <v>6373922</v>
      </c>
      <c r="AT47" s="259">
        <v>66</v>
      </c>
      <c r="AU47" s="253">
        <v>532745</v>
      </c>
      <c r="AV47" s="267">
        <v>67</v>
      </c>
      <c r="AW47" s="268">
        <v>545068</v>
      </c>
      <c r="AX47" s="252">
        <v>61</v>
      </c>
      <c r="AY47" s="253">
        <v>283880</v>
      </c>
      <c r="AZ47" s="267">
        <v>61</v>
      </c>
      <c r="BA47" s="268">
        <v>333130</v>
      </c>
      <c r="BB47" s="252">
        <v>63</v>
      </c>
      <c r="BC47" s="253">
        <v>17448</v>
      </c>
      <c r="BD47" s="267">
        <v>65</v>
      </c>
      <c r="BE47" s="268">
        <v>17172</v>
      </c>
      <c r="BF47" s="252">
        <v>66</v>
      </c>
      <c r="BG47" s="253">
        <v>372559</v>
      </c>
      <c r="BH47" s="267">
        <v>67</v>
      </c>
      <c r="BI47" s="268">
        <v>389475</v>
      </c>
      <c r="BJ47" s="252">
        <v>66</v>
      </c>
      <c r="BK47" s="253">
        <v>13559</v>
      </c>
      <c r="BL47" s="267">
        <v>67</v>
      </c>
      <c r="BM47" s="268">
        <v>20619</v>
      </c>
      <c r="BN47" s="252">
        <v>66</v>
      </c>
      <c r="BO47" s="253">
        <v>11217</v>
      </c>
      <c r="BP47" s="267">
        <v>67</v>
      </c>
      <c r="BQ47" s="268">
        <v>11196</v>
      </c>
      <c r="BR47" s="252">
        <v>66</v>
      </c>
      <c r="BS47" s="253">
        <v>33373</v>
      </c>
      <c r="BT47" s="267">
        <v>67</v>
      </c>
      <c r="BU47" s="268">
        <v>8988</v>
      </c>
      <c r="BV47" s="252">
        <v>6</v>
      </c>
      <c r="BW47" s="253">
        <v>8289</v>
      </c>
      <c r="BX47" s="267">
        <v>6</v>
      </c>
      <c r="BY47" s="268">
        <v>7669</v>
      </c>
      <c r="BZ47" s="252"/>
      <c r="CA47" s="253"/>
      <c r="CB47" s="267"/>
      <c r="CC47" s="268"/>
      <c r="CD47" s="255">
        <f t="shared" si="12"/>
        <v>66</v>
      </c>
      <c r="CE47" s="256">
        <f t="shared" si="13"/>
        <v>1273070</v>
      </c>
      <c r="CF47" s="257">
        <f t="shared" si="14"/>
        <v>67</v>
      </c>
      <c r="CG47" s="261">
        <f t="shared" si="15"/>
        <v>1333317</v>
      </c>
    </row>
    <row r="48" spans="1:85" s="263" customFormat="1" ht="12.75" customHeight="1">
      <c r="A48" s="273" t="s">
        <v>743</v>
      </c>
      <c r="B48" s="274" t="s">
        <v>746</v>
      </c>
      <c r="C48" s="274"/>
      <c r="D48" s="273">
        <v>106245</v>
      </c>
      <c r="E48" s="275">
        <v>3</v>
      </c>
      <c r="F48" s="252">
        <v>426</v>
      </c>
      <c r="G48" s="253">
        <v>2624212</v>
      </c>
      <c r="H48" s="276">
        <v>397</v>
      </c>
      <c r="I48" s="276">
        <v>2424996</v>
      </c>
      <c r="J48" s="252">
        <v>392</v>
      </c>
      <c r="K48" s="253">
        <v>2034343</v>
      </c>
      <c r="L48" s="276">
        <v>370</v>
      </c>
      <c r="M48" s="276">
        <v>2404324</v>
      </c>
      <c r="N48" s="252">
        <v>426</v>
      </c>
      <c r="O48" s="253">
        <v>22478</v>
      </c>
      <c r="P48" s="276">
        <v>397</v>
      </c>
      <c r="Q48" s="276">
        <v>21142</v>
      </c>
      <c r="R48" s="252">
        <v>426</v>
      </c>
      <c r="S48" s="253">
        <v>2110022</v>
      </c>
      <c r="T48" s="276">
        <v>397</v>
      </c>
      <c r="U48" s="276">
        <v>2098069</v>
      </c>
      <c r="V48" s="252">
        <v>426</v>
      </c>
      <c r="W48" s="253">
        <v>28698</v>
      </c>
      <c r="X48" s="276">
        <v>394</v>
      </c>
      <c r="Y48" s="276">
        <v>25875</v>
      </c>
      <c r="Z48" s="252">
        <v>426</v>
      </c>
      <c r="AA48" s="253">
        <v>59698</v>
      </c>
      <c r="AB48" s="276">
        <v>397</v>
      </c>
      <c r="AC48" s="276">
        <v>55982</v>
      </c>
      <c r="AD48" s="252">
        <v>426</v>
      </c>
      <c r="AE48" s="253">
        <v>69012</v>
      </c>
      <c r="AF48" s="276">
        <v>394</v>
      </c>
      <c r="AG48" s="276">
        <v>52533</v>
      </c>
      <c r="AH48" s="252"/>
      <c r="AI48" s="253"/>
      <c r="AJ48" s="267"/>
      <c r="AK48" s="268"/>
      <c r="AL48" s="252"/>
      <c r="AM48" s="253"/>
      <c r="AN48" s="276"/>
      <c r="AO48" s="276"/>
      <c r="AP48" s="255">
        <f t="shared" si="8"/>
        <v>426</v>
      </c>
      <c r="AQ48" s="256">
        <f t="shared" si="9"/>
        <v>6948463</v>
      </c>
      <c r="AR48" s="257">
        <f t="shared" si="10"/>
        <v>397</v>
      </c>
      <c r="AS48" s="258">
        <f t="shared" si="11"/>
        <v>7082921</v>
      </c>
      <c r="AT48" s="259">
        <v>89</v>
      </c>
      <c r="AU48" s="253">
        <v>599120</v>
      </c>
      <c r="AV48" s="267">
        <v>76</v>
      </c>
      <c r="AW48" s="268">
        <v>481318</v>
      </c>
      <c r="AX48" s="252">
        <v>85</v>
      </c>
      <c r="AY48" s="253">
        <v>453406</v>
      </c>
      <c r="AZ48" s="267">
        <v>73</v>
      </c>
      <c r="BA48" s="268">
        <v>476214</v>
      </c>
      <c r="BB48" s="252">
        <v>89</v>
      </c>
      <c r="BC48" s="253">
        <v>4646</v>
      </c>
      <c r="BD48" s="267">
        <v>76</v>
      </c>
      <c r="BE48" s="268">
        <v>3908</v>
      </c>
      <c r="BF48" s="252">
        <v>93</v>
      </c>
      <c r="BG48" s="253">
        <v>463030</v>
      </c>
      <c r="BH48" s="267">
        <v>76</v>
      </c>
      <c r="BI48" s="268">
        <v>427494</v>
      </c>
      <c r="BJ48" s="252">
        <v>93</v>
      </c>
      <c r="BK48" s="253">
        <v>12242</v>
      </c>
      <c r="BL48" s="267">
        <v>76</v>
      </c>
      <c r="BM48" s="268">
        <v>5329</v>
      </c>
      <c r="BN48" s="252">
        <v>89</v>
      </c>
      <c r="BO48" s="253">
        <v>12652</v>
      </c>
      <c r="BP48" s="267">
        <v>76</v>
      </c>
      <c r="BQ48" s="268">
        <v>10506</v>
      </c>
      <c r="BR48" s="252">
        <v>93</v>
      </c>
      <c r="BS48" s="253">
        <v>6350</v>
      </c>
      <c r="BT48" s="267">
        <v>76</v>
      </c>
      <c r="BU48" s="268">
        <v>10819</v>
      </c>
      <c r="BV48" s="252"/>
      <c r="BW48" s="253"/>
      <c r="BX48" s="267"/>
      <c r="BY48" s="268"/>
      <c r="BZ48" s="252">
        <v>1</v>
      </c>
      <c r="CA48" s="253">
        <v>950</v>
      </c>
      <c r="CB48" s="267">
        <v>8</v>
      </c>
      <c r="CC48" s="268">
        <v>5000</v>
      </c>
      <c r="CD48" s="255">
        <f t="shared" si="12"/>
        <v>93</v>
      </c>
      <c r="CE48" s="256">
        <f t="shared" si="13"/>
        <v>1552396</v>
      </c>
      <c r="CF48" s="257">
        <f t="shared" si="14"/>
        <v>76</v>
      </c>
      <c r="CG48" s="261">
        <f t="shared" si="15"/>
        <v>1420588</v>
      </c>
    </row>
    <row r="49" spans="1:85" s="263" customFormat="1" ht="12.75" customHeight="1">
      <c r="A49" s="273" t="s">
        <v>743</v>
      </c>
      <c r="B49" s="274" t="s">
        <v>747</v>
      </c>
      <c r="C49" s="274"/>
      <c r="D49" s="273">
        <v>106704</v>
      </c>
      <c r="E49" s="275">
        <v>3</v>
      </c>
      <c r="F49" s="252">
        <v>450</v>
      </c>
      <c r="G49" s="253">
        <v>2588049</v>
      </c>
      <c r="H49" s="276">
        <v>447</v>
      </c>
      <c r="I49" s="276">
        <v>2612117</v>
      </c>
      <c r="J49" s="252">
        <v>419</v>
      </c>
      <c r="K49" s="253">
        <v>1786878</v>
      </c>
      <c r="L49" s="276">
        <v>418</v>
      </c>
      <c r="M49" s="276">
        <v>1859249</v>
      </c>
      <c r="N49" s="252">
        <v>440</v>
      </c>
      <c r="O49" s="253">
        <v>45144</v>
      </c>
      <c r="P49" s="276">
        <v>437</v>
      </c>
      <c r="Q49" s="276">
        <v>52317</v>
      </c>
      <c r="R49" s="252">
        <v>455</v>
      </c>
      <c r="S49" s="253">
        <v>1819809</v>
      </c>
      <c r="T49" s="276">
        <v>455</v>
      </c>
      <c r="U49" s="276">
        <v>1842983</v>
      </c>
      <c r="V49" s="252">
        <v>455</v>
      </c>
      <c r="W49" s="253">
        <v>11223</v>
      </c>
      <c r="X49" s="276">
        <v>455</v>
      </c>
      <c r="Y49" s="276">
        <v>11167</v>
      </c>
      <c r="Z49" s="252">
        <v>437</v>
      </c>
      <c r="AA49" s="253">
        <v>66204</v>
      </c>
      <c r="AB49" s="276">
        <v>433</v>
      </c>
      <c r="AC49" s="276">
        <v>57624</v>
      </c>
      <c r="AD49" s="252">
        <v>455</v>
      </c>
      <c r="AE49" s="253">
        <v>7740</v>
      </c>
      <c r="AF49" s="276">
        <v>455</v>
      </c>
      <c r="AG49" s="276">
        <v>6421</v>
      </c>
      <c r="AH49" s="252"/>
      <c r="AI49" s="253"/>
      <c r="AJ49" s="267"/>
      <c r="AK49" s="268"/>
      <c r="AL49" s="252"/>
      <c r="AM49" s="253"/>
      <c r="AN49" s="276"/>
      <c r="AO49" s="276"/>
      <c r="AP49" s="255">
        <f t="shared" si="8"/>
        <v>455</v>
      </c>
      <c r="AQ49" s="256">
        <f t="shared" si="9"/>
        <v>6325047</v>
      </c>
      <c r="AR49" s="257">
        <f t="shared" si="10"/>
        <v>455</v>
      </c>
      <c r="AS49" s="258">
        <f t="shared" si="11"/>
        <v>6441878</v>
      </c>
      <c r="AT49" s="259">
        <v>57</v>
      </c>
      <c r="AU49" s="253">
        <v>500352</v>
      </c>
      <c r="AV49" s="267">
        <v>55</v>
      </c>
      <c r="AW49" s="268">
        <v>481526</v>
      </c>
      <c r="AX49" s="252">
        <v>56</v>
      </c>
      <c r="AY49" s="253">
        <v>250812</v>
      </c>
      <c r="AZ49" s="267">
        <v>53</v>
      </c>
      <c r="BA49" s="268">
        <v>250096</v>
      </c>
      <c r="BB49" s="252">
        <v>57</v>
      </c>
      <c r="BC49" s="253">
        <v>9036</v>
      </c>
      <c r="BD49" s="267">
        <v>55</v>
      </c>
      <c r="BE49" s="268">
        <v>10110</v>
      </c>
      <c r="BF49" s="252">
        <v>57</v>
      </c>
      <c r="BG49" s="253">
        <v>351540</v>
      </c>
      <c r="BH49" s="267">
        <v>55</v>
      </c>
      <c r="BI49" s="268">
        <v>336846</v>
      </c>
      <c r="BJ49" s="252">
        <v>57</v>
      </c>
      <c r="BK49" s="253">
        <v>1440</v>
      </c>
      <c r="BL49" s="267">
        <v>56</v>
      </c>
      <c r="BM49" s="268">
        <v>1568</v>
      </c>
      <c r="BN49" s="252">
        <v>57</v>
      </c>
      <c r="BO49" s="253">
        <v>13224</v>
      </c>
      <c r="BP49" s="267">
        <v>55</v>
      </c>
      <c r="BQ49" s="268">
        <v>9205</v>
      </c>
      <c r="BR49" s="252">
        <v>57</v>
      </c>
      <c r="BS49" s="253">
        <v>1400</v>
      </c>
      <c r="BT49" s="267">
        <v>56</v>
      </c>
      <c r="BU49" s="268">
        <v>1008</v>
      </c>
      <c r="BV49" s="252"/>
      <c r="BW49" s="253"/>
      <c r="BX49" s="267">
        <v>0</v>
      </c>
      <c r="BY49" s="268">
        <v>0</v>
      </c>
      <c r="BZ49" s="252"/>
      <c r="CA49" s="253"/>
      <c r="CB49" s="267"/>
      <c r="CC49" s="268"/>
      <c r="CD49" s="255">
        <f t="shared" si="12"/>
        <v>57</v>
      </c>
      <c r="CE49" s="256">
        <f t="shared" si="13"/>
        <v>1127804</v>
      </c>
      <c r="CF49" s="257">
        <f t="shared" si="14"/>
        <v>56</v>
      </c>
      <c r="CG49" s="261">
        <f t="shared" si="15"/>
        <v>1090359</v>
      </c>
    </row>
    <row r="50" spans="1:85" s="263" customFormat="1" ht="12.75" customHeight="1">
      <c r="A50" s="273" t="s">
        <v>743</v>
      </c>
      <c r="B50" s="472" t="s">
        <v>748</v>
      </c>
      <c r="C50" s="473" t="s">
        <v>1185</v>
      </c>
      <c r="D50" s="273">
        <v>106467</v>
      </c>
      <c r="E50" s="275">
        <v>4</v>
      </c>
      <c r="F50" s="252">
        <v>266</v>
      </c>
      <c r="G50" s="253">
        <v>1443138</v>
      </c>
      <c r="H50" s="276">
        <v>264</v>
      </c>
      <c r="I50" s="276">
        <v>1465078</v>
      </c>
      <c r="J50" s="252">
        <v>259</v>
      </c>
      <c r="K50" s="253">
        <v>1051462</v>
      </c>
      <c r="L50" s="276">
        <v>260</v>
      </c>
      <c r="M50" s="276">
        <v>1129235</v>
      </c>
      <c r="N50" s="252"/>
      <c r="O50" s="253"/>
      <c r="P50" s="276"/>
      <c r="Q50" s="276"/>
      <c r="R50" s="252">
        <v>265</v>
      </c>
      <c r="S50" s="253">
        <v>1038917</v>
      </c>
      <c r="T50" s="276">
        <v>269</v>
      </c>
      <c r="U50" s="276">
        <v>1053516</v>
      </c>
      <c r="V50" s="252">
        <v>265</v>
      </c>
      <c r="W50" s="253">
        <v>9413</v>
      </c>
      <c r="X50" s="276">
        <v>269</v>
      </c>
      <c r="Y50" s="276">
        <v>77171</v>
      </c>
      <c r="Z50" s="252">
        <v>167</v>
      </c>
      <c r="AA50" s="253">
        <v>30360</v>
      </c>
      <c r="AB50" s="276">
        <v>165</v>
      </c>
      <c r="AC50" s="276">
        <v>29946</v>
      </c>
      <c r="AD50" s="252">
        <v>265</v>
      </c>
      <c r="AE50" s="253">
        <v>14119</v>
      </c>
      <c r="AF50" s="276">
        <v>269</v>
      </c>
      <c r="AG50" s="276">
        <v>22049</v>
      </c>
      <c r="AH50" s="252">
        <v>28</v>
      </c>
      <c r="AI50" s="253">
        <v>36507</v>
      </c>
      <c r="AJ50" s="267">
        <v>0</v>
      </c>
      <c r="AK50" s="268">
        <v>0</v>
      </c>
      <c r="AL50" s="252"/>
      <c r="AM50" s="253"/>
      <c r="AN50" s="276"/>
      <c r="AO50" s="276"/>
      <c r="AP50" s="255">
        <f t="shared" si="8"/>
        <v>266</v>
      </c>
      <c r="AQ50" s="256">
        <f t="shared" si="9"/>
        <v>3623916</v>
      </c>
      <c r="AR50" s="257">
        <f t="shared" si="10"/>
        <v>269</v>
      </c>
      <c r="AS50" s="258">
        <f t="shared" si="11"/>
        <v>3776995</v>
      </c>
      <c r="AT50" s="259">
        <v>27</v>
      </c>
      <c r="AU50" s="253">
        <v>217499</v>
      </c>
      <c r="AV50" s="267">
        <v>26</v>
      </c>
      <c r="AW50" s="268">
        <v>218375</v>
      </c>
      <c r="AX50" s="252">
        <v>27</v>
      </c>
      <c r="AY50" s="253">
        <v>108947</v>
      </c>
      <c r="AZ50" s="267">
        <v>21</v>
      </c>
      <c r="BA50" s="268">
        <v>112447</v>
      </c>
      <c r="BB50" s="252"/>
      <c r="BC50" s="253"/>
      <c r="BD50" s="267"/>
      <c r="BE50" s="268"/>
      <c r="BF50" s="252">
        <v>29</v>
      </c>
      <c r="BG50" s="253">
        <v>160435</v>
      </c>
      <c r="BH50" s="267">
        <v>21</v>
      </c>
      <c r="BI50" s="268">
        <v>159605</v>
      </c>
      <c r="BJ50" s="252">
        <v>29</v>
      </c>
      <c r="BK50" s="253">
        <v>1259</v>
      </c>
      <c r="BL50" s="267">
        <v>21</v>
      </c>
      <c r="BM50" s="268">
        <v>11691</v>
      </c>
      <c r="BN50" s="252">
        <v>15</v>
      </c>
      <c r="BO50" s="253">
        <v>2625</v>
      </c>
      <c r="BP50" s="267">
        <v>16</v>
      </c>
      <c r="BQ50" s="268">
        <v>2873</v>
      </c>
      <c r="BR50" s="252">
        <v>29</v>
      </c>
      <c r="BS50" s="253">
        <v>1889</v>
      </c>
      <c r="BT50" s="267">
        <v>21</v>
      </c>
      <c r="BU50" s="268">
        <v>3340</v>
      </c>
      <c r="BV50" s="252">
        <v>3</v>
      </c>
      <c r="BW50" s="253">
        <v>3201</v>
      </c>
      <c r="BX50" s="267">
        <v>0</v>
      </c>
      <c r="BY50" s="268">
        <v>0</v>
      </c>
      <c r="BZ50" s="252"/>
      <c r="CA50" s="253"/>
      <c r="CB50" s="267"/>
      <c r="CC50" s="268"/>
      <c r="CD50" s="255">
        <f t="shared" si="12"/>
        <v>29</v>
      </c>
      <c r="CE50" s="256">
        <f t="shared" si="13"/>
        <v>495855</v>
      </c>
      <c r="CF50" s="257">
        <f t="shared" si="14"/>
        <v>26</v>
      </c>
      <c r="CG50" s="261">
        <f t="shared" si="15"/>
        <v>508331</v>
      </c>
    </row>
    <row r="51" spans="1:85" s="263" customFormat="1" ht="12.75" customHeight="1">
      <c r="A51" s="273" t="s">
        <v>743</v>
      </c>
      <c r="B51" s="274" t="s">
        <v>749</v>
      </c>
      <c r="C51" s="274"/>
      <c r="D51" s="273">
        <v>107071</v>
      </c>
      <c r="E51" s="275">
        <v>4</v>
      </c>
      <c r="F51" s="252">
        <v>153</v>
      </c>
      <c r="G51" s="253">
        <v>856867</v>
      </c>
      <c r="H51" s="276">
        <v>153</v>
      </c>
      <c r="I51" s="276">
        <v>859412</v>
      </c>
      <c r="J51" s="252">
        <v>150</v>
      </c>
      <c r="K51" s="253">
        <v>599002</v>
      </c>
      <c r="L51" s="276">
        <v>149</v>
      </c>
      <c r="M51" s="276">
        <v>706040</v>
      </c>
      <c r="N51" s="252">
        <v>153</v>
      </c>
      <c r="O51" s="253">
        <v>27861</v>
      </c>
      <c r="P51" s="276">
        <v>153</v>
      </c>
      <c r="Q51" s="276">
        <v>27892</v>
      </c>
      <c r="R51" s="252">
        <v>153</v>
      </c>
      <c r="S51" s="253">
        <v>508312</v>
      </c>
      <c r="T51" s="276">
        <v>153</v>
      </c>
      <c r="U51" s="276">
        <v>508365</v>
      </c>
      <c r="V51" s="252"/>
      <c r="W51" s="253"/>
      <c r="X51" s="276"/>
      <c r="Y51" s="276"/>
      <c r="Z51" s="252">
        <v>147</v>
      </c>
      <c r="AA51" s="253">
        <v>29860</v>
      </c>
      <c r="AB51" s="276">
        <v>147</v>
      </c>
      <c r="AC51" s="276">
        <v>30042</v>
      </c>
      <c r="AD51" s="252">
        <v>153</v>
      </c>
      <c r="AE51" s="253">
        <v>1024822</v>
      </c>
      <c r="AF51" s="276">
        <v>153</v>
      </c>
      <c r="AG51" s="276">
        <v>102492</v>
      </c>
      <c r="AH51" s="252"/>
      <c r="AI51" s="253"/>
      <c r="AJ51" s="267"/>
      <c r="AK51" s="268"/>
      <c r="AL51" s="252"/>
      <c r="AM51" s="253"/>
      <c r="AN51" s="276"/>
      <c r="AO51" s="276"/>
      <c r="AP51" s="255">
        <f t="shared" si="8"/>
        <v>153</v>
      </c>
      <c r="AQ51" s="256">
        <f t="shared" si="9"/>
        <v>3046724</v>
      </c>
      <c r="AR51" s="257">
        <f t="shared" si="10"/>
        <v>153</v>
      </c>
      <c r="AS51" s="258">
        <f t="shared" si="11"/>
        <v>2234243</v>
      </c>
      <c r="AT51" s="259">
        <v>21</v>
      </c>
      <c r="AU51" s="253">
        <v>127364</v>
      </c>
      <c r="AV51" s="267">
        <v>13</v>
      </c>
      <c r="AW51" s="268">
        <v>78907</v>
      </c>
      <c r="AX51" s="252">
        <v>19</v>
      </c>
      <c r="AY51" s="253">
        <v>74875</v>
      </c>
      <c r="AZ51" s="267">
        <v>12</v>
      </c>
      <c r="BA51" s="268">
        <v>65431</v>
      </c>
      <c r="BB51" s="252">
        <v>21</v>
      </c>
      <c r="BC51" s="253">
        <v>3888</v>
      </c>
      <c r="BD51" s="267">
        <v>13</v>
      </c>
      <c r="BE51" s="268">
        <v>2683</v>
      </c>
      <c r="BF51" s="252">
        <v>21</v>
      </c>
      <c r="BG51" s="253">
        <v>72852</v>
      </c>
      <c r="BH51" s="267">
        <v>13</v>
      </c>
      <c r="BI51" s="268">
        <v>48922</v>
      </c>
      <c r="BJ51" s="252"/>
      <c r="BK51" s="253"/>
      <c r="BL51" s="267"/>
      <c r="BM51" s="268"/>
      <c r="BN51" s="252">
        <v>21</v>
      </c>
      <c r="BO51" s="253">
        <v>3965</v>
      </c>
      <c r="BP51" s="267">
        <v>13</v>
      </c>
      <c r="BQ51" s="268">
        <v>2302</v>
      </c>
      <c r="BR51" s="252">
        <v>21</v>
      </c>
      <c r="BS51" s="253">
        <v>146878</v>
      </c>
      <c r="BT51" s="267">
        <v>13</v>
      </c>
      <c r="BU51" s="268">
        <v>9863</v>
      </c>
      <c r="BV51" s="252"/>
      <c r="BW51" s="253"/>
      <c r="BX51" s="267"/>
      <c r="BY51" s="268"/>
      <c r="BZ51" s="252"/>
      <c r="CA51" s="253"/>
      <c r="CB51" s="267"/>
      <c r="CC51" s="268"/>
      <c r="CD51" s="255">
        <f t="shared" si="12"/>
        <v>21</v>
      </c>
      <c r="CE51" s="256">
        <f t="shared" si="13"/>
        <v>429822</v>
      </c>
      <c r="CF51" s="257">
        <f t="shared" si="14"/>
        <v>13</v>
      </c>
      <c r="CG51" s="261">
        <f t="shared" si="15"/>
        <v>208108</v>
      </c>
    </row>
    <row r="52" spans="1:85" s="263" customFormat="1" ht="12.75" customHeight="1">
      <c r="A52" s="273" t="s">
        <v>743</v>
      </c>
      <c r="B52" s="472" t="s">
        <v>750</v>
      </c>
      <c r="C52" s="473" t="s">
        <v>1192</v>
      </c>
      <c r="D52" s="273">
        <v>107983</v>
      </c>
      <c r="E52" s="275">
        <v>5</v>
      </c>
      <c r="F52" s="252">
        <v>130</v>
      </c>
      <c r="G52" s="253">
        <v>665191</v>
      </c>
      <c r="H52" s="276">
        <v>132</v>
      </c>
      <c r="I52" s="276">
        <v>660403</v>
      </c>
      <c r="J52" s="252">
        <v>127</v>
      </c>
      <c r="K52" s="253">
        <v>700071</v>
      </c>
      <c r="L52" s="276">
        <v>122</v>
      </c>
      <c r="M52" s="276">
        <v>769185</v>
      </c>
      <c r="N52" s="252">
        <v>134</v>
      </c>
      <c r="O52" s="253">
        <v>18962</v>
      </c>
      <c r="P52" s="276">
        <v>134</v>
      </c>
      <c r="Q52" s="276">
        <v>18600</v>
      </c>
      <c r="R52" s="252">
        <v>134</v>
      </c>
      <c r="S52" s="253">
        <v>537670</v>
      </c>
      <c r="T52" s="276">
        <v>134</v>
      </c>
      <c r="U52" s="276">
        <v>522224</v>
      </c>
      <c r="V52" s="252">
        <v>136</v>
      </c>
      <c r="W52" s="253">
        <v>4493</v>
      </c>
      <c r="X52" s="276">
        <v>135</v>
      </c>
      <c r="Y52" s="276">
        <v>11898</v>
      </c>
      <c r="Z52" s="252">
        <v>135</v>
      </c>
      <c r="AA52" s="253">
        <v>24930</v>
      </c>
      <c r="AB52" s="276">
        <v>134</v>
      </c>
      <c r="AC52" s="276">
        <v>24499</v>
      </c>
      <c r="AD52" s="252">
        <v>136</v>
      </c>
      <c r="AE52" s="253">
        <v>12856</v>
      </c>
      <c r="AF52" s="276">
        <v>135</v>
      </c>
      <c r="AG52" s="276">
        <v>25290</v>
      </c>
      <c r="AH52" s="252">
        <v>11</v>
      </c>
      <c r="AI52" s="253">
        <v>31331</v>
      </c>
      <c r="AJ52" s="267">
        <v>0</v>
      </c>
      <c r="AK52" s="268">
        <v>0</v>
      </c>
      <c r="AL52" s="252"/>
      <c r="AM52" s="253"/>
      <c r="AN52" s="276"/>
      <c r="AO52" s="276"/>
      <c r="AP52" s="255">
        <f t="shared" si="8"/>
        <v>136</v>
      </c>
      <c r="AQ52" s="256">
        <f t="shared" si="9"/>
        <v>1995504</v>
      </c>
      <c r="AR52" s="257">
        <f t="shared" si="10"/>
        <v>135</v>
      </c>
      <c r="AS52" s="258">
        <f t="shared" si="11"/>
        <v>2032099</v>
      </c>
      <c r="AT52" s="259">
        <v>26</v>
      </c>
      <c r="AU52" s="253">
        <v>150815</v>
      </c>
      <c r="AV52" s="267">
        <v>26</v>
      </c>
      <c r="AW52" s="268">
        <v>150133</v>
      </c>
      <c r="AX52" s="252">
        <v>25</v>
      </c>
      <c r="AY52" s="253">
        <v>157603</v>
      </c>
      <c r="AZ52" s="267">
        <v>26</v>
      </c>
      <c r="BA52" s="268">
        <v>173370</v>
      </c>
      <c r="BB52" s="252">
        <v>26</v>
      </c>
      <c r="BC52" s="253">
        <v>4225</v>
      </c>
      <c r="BD52" s="267">
        <v>26</v>
      </c>
      <c r="BE52" s="268">
        <v>4191</v>
      </c>
      <c r="BF52" s="252">
        <v>26</v>
      </c>
      <c r="BG52" s="253">
        <v>117326</v>
      </c>
      <c r="BH52" s="267">
        <v>26</v>
      </c>
      <c r="BI52" s="268">
        <v>116606</v>
      </c>
      <c r="BJ52" s="252">
        <v>26</v>
      </c>
      <c r="BK52" s="253">
        <v>963</v>
      </c>
      <c r="BL52" s="267">
        <v>26</v>
      </c>
      <c r="BM52" s="268">
        <v>2595</v>
      </c>
      <c r="BN52" s="252">
        <v>26</v>
      </c>
      <c r="BO52" s="253">
        <v>5591</v>
      </c>
      <c r="BP52" s="267">
        <v>26</v>
      </c>
      <c r="BQ52" s="268">
        <v>5558</v>
      </c>
      <c r="BR52" s="252">
        <v>26</v>
      </c>
      <c r="BS52" s="253">
        <v>2762</v>
      </c>
      <c r="BT52" s="267">
        <v>26</v>
      </c>
      <c r="BU52" s="268">
        <v>5514</v>
      </c>
      <c r="BV52" s="252">
        <v>5</v>
      </c>
      <c r="BW52" s="253">
        <v>20178</v>
      </c>
      <c r="BX52" s="267">
        <v>6</v>
      </c>
      <c r="BY52" s="268">
        <v>37286</v>
      </c>
      <c r="BZ52" s="252"/>
      <c r="CA52" s="253"/>
      <c r="CB52" s="267"/>
      <c r="CC52" s="268"/>
      <c r="CD52" s="255">
        <f t="shared" si="12"/>
        <v>26</v>
      </c>
      <c r="CE52" s="256">
        <f t="shared" si="13"/>
        <v>459463</v>
      </c>
      <c r="CF52" s="257">
        <f t="shared" si="14"/>
        <v>26</v>
      </c>
      <c r="CG52" s="261">
        <f t="shared" si="15"/>
        <v>495253</v>
      </c>
    </row>
    <row r="53" spans="1:85" s="263" customFormat="1" ht="12.75" customHeight="1">
      <c r="A53" s="273" t="s">
        <v>743</v>
      </c>
      <c r="B53" s="274" t="s">
        <v>751</v>
      </c>
      <c r="C53" s="274"/>
      <c r="D53" s="273">
        <v>106485</v>
      </c>
      <c r="E53" s="275">
        <v>5</v>
      </c>
      <c r="F53" s="252">
        <v>103</v>
      </c>
      <c r="G53" s="253">
        <v>476098</v>
      </c>
      <c r="H53" s="276">
        <v>110</v>
      </c>
      <c r="I53" s="276">
        <v>490012</v>
      </c>
      <c r="J53" s="252">
        <v>103</v>
      </c>
      <c r="K53" s="253">
        <v>579300</v>
      </c>
      <c r="L53" s="276">
        <v>110</v>
      </c>
      <c r="M53" s="276">
        <v>641443</v>
      </c>
      <c r="N53" s="252">
        <v>103</v>
      </c>
      <c r="O53" s="253">
        <v>2932</v>
      </c>
      <c r="P53" s="276">
        <v>110</v>
      </c>
      <c r="Q53" s="276">
        <v>3092</v>
      </c>
      <c r="R53" s="252">
        <v>103</v>
      </c>
      <c r="S53" s="253">
        <v>387262</v>
      </c>
      <c r="T53" s="276">
        <v>110</v>
      </c>
      <c r="U53" s="276">
        <v>398540</v>
      </c>
      <c r="V53" s="252">
        <v>103</v>
      </c>
      <c r="W53" s="253">
        <v>14302</v>
      </c>
      <c r="X53" s="276">
        <v>110</v>
      </c>
      <c r="Y53" s="276">
        <v>10373</v>
      </c>
      <c r="Z53" s="252">
        <v>103</v>
      </c>
      <c r="AA53" s="253">
        <v>14362</v>
      </c>
      <c r="AB53" s="276">
        <v>110</v>
      </c>
      <c r="AC53" s="276">
        <v>14838</v>
      </c>
      <c r="AD53" s="252">
        <v>103</v>
      </c>
      <c r="AE53" s="253">
        <v>33903</v>
      </c>
      <c r="AF53" s="276">
        <v>110</v>
      </c>
      <c r="AG53" s="276">
        <v>1637</v>
      </c>
      <c r="AH53" s="252">
        <v>5</v>
      </c>
      <c r="AI53" s="253">
        <v>8208</v>
      </c>
      <c r="AJ53" s="267">
        <v>11</v>
      </c>
      <c r="AK53" s="268">
        <v>14321</v>
      </c>
      <c r="AL53" s="252"/>
      <c r="AM53" s="253"/>
      <c r="AN53" s="276"/>
      <c r="AO53" s="276"/>
      <c r="AP53" s="255">
        <f t="shared" si="8"/>
        <v>103</v>
      </c>
      <c r="AQ53" s="256">
        <f t="shared" si="9"/>
        <v>1516367</v>
      </c>
      <c r="AR53" s="257">
        <f t="shared" si="10"/>
        <v>110</v>
      </c>
      <c r="AS53" s="258">
        <f t="shared" si="11"/>
        <v>1574256</v>
      </c>
      <c r="AT53" s="259">
        <v>45</v>
      </c>
      <c r="AU53" s="253">
        <v>235783</v>
      </c>
      <c r="AV53" s="267">
        <v>41</v>
      </c>
      <c r="AW53" s="268">
        <v>204689</v>
      </c>
      <c r="AX53" s="252">
        <v>45</v>
      </c>
      <c r="AY53" s="253">
        <v>292233</v>
      </c>
      <c r="AZ53" s="267">
        <v>41</v>
      </c>
      <c r="BA53" s="268">
        <v>264676</v>
      </c>
      <c r="BB53" s="252">
        <v>45</v>
      </c>
      <c r="BC53" s="253">
        <v>1232</v>
      </c>
      <c r="BD53" s="267">
        <v>41</v>
      </c>
      <c r="BE53" s="268">
        <v>1117</v>
      </c>
      <c r="BF53" s="252">
        <v>45</v>
      </c>
      <c r="BG53" s="253">
        <v>178950</v>
      </c>
      <c r="BH53" s="267">
        <v>41</v>
      </c>
      <c r="BI53" s="268">
        <v>159553</v>
      </c>
      <c r="BJ53" s="252">
        <v>45</v>
      </c>
      <c r="BK53" s="253">
        <v>6613</v>
      </c>
      <c r="BL53" s="267">
        <v>41</v>
      </c>
      <c r="BM53" s="268">
        <v>4149</v>
      </c>
      <c r="BN53" s="252">
        <v>45</v>
      </c>
      <c r="BO53" s="253">
        <v>6115</v>
      </c>
      <c r="BP53" s="267">
        <v>41</v>
      </c>
      <c r="BQ53" s="268">
        <v>5469</v>
      </c>
      <c r="BR53" s="252">
        <v>45</v>
      </c>
      <c r="BS53" s="253">
        <v>15676</v>
      </c>
      <c r="BT53" s="267">
        <v>41</v>
      </c>
      <c r="BU53" s="268">
        <v>656</v>
      </c>
      <c r="BV53" s="252">
        <v>11</v>
      </c>
      <c r="BW53" s="253">
        <v>9525</v>
      </c>
      <c r="BX53" s="267">
        <v>7</v>
      </c>
      <c r="BY53" s="268">
        <v>5855</v>
      </c>
      <c r="BZ53" s="252"/>
      <c r="CA53" s="253"/>
      <c r="CB53" s="267"/>
      <c r="CC53" s="268"/>
      <c r="CD53" s="255">
        <f t="shared" si="12"/>
        <v>45</v>
      </c>
      <c r="CE53" s="256">
        <f t="shared" si="13"/>
        <v>746127</v>
      </c>
      <c r="CF53" s="257">
        <f t="shared" si="14"/>
        <v>41</v>
      </c>
      <c r="CG53" s="261">
        <f t="shared" si="15"/>
        <v>646164</v>
      </c>
    </row>
    <row r="54" spans="1:85" s="263" customFormat="1" ht="12.75" customHeight="1">
      <c r="A54" s="273" t="s">
        <v>743</v>
      </c>
      <c r="B54" s="274" t="s">
        <v>207</v>
      </c>
      <c r="C54" s="274"/>
      <c r="D54" s="273">
        <v>108092</v>
      </c>
      <c r="E54" s="275">
        <v>6</v>
      </c>
      <c r="F54" s="252">
        <v>200</v>
      </c>
      <c r="G54" s="253">
        <v>1122654</v>
      </c>
      <c r="H54" s="276">
        <v>195</v>
      </c>
      <c r="I54" s="276">
        <v>1094100</v>
      </c>
      <c r="J54" s="252">
        <v>200</v>
      </c>
      <c r="K54" s="253">
        <v>990000</v>
      </c>
      <c r="L54" s="276">
        <v>195</v>
      </c>
      <c r="M54" s="276">
        <v>1000350</v>
      </c>
      <c r="N54" s="252">
        <v>200</v>
      </c>
      <c r="O54" s="253">
        <v>123539</v>
      </c>
      <c r="P54" s="276">
        <v>195</v>
      </c>
      <c r="Q54" s="276">
        <v>120309</v>
      </c>
      <c r="R54" s="252">
        <v>200</v>
      </c>
      <c r="S54" s="253">
        <v>843814</v>
      </c>
      <c r="T54" s="276">
        <v>195</v>
      </c>
      <c r="U54" s="276">
        <v>714337</v>
      </c>
      <c r="V54" s="252">
        <v>200</v>
      </c>
      <c r="W54" s="253">
        <v>61769</v>
      </c>
      <c r="X54" s="276">
        <v>195</v>
      </c>
      <c r="Y54" s="276">
        <v>60155</v>
      </c>
      <c r="Z54" s="252">
        <v>200</v>
      </c>
      <c r="AA54" s="253">
        <v>52151</v>
      </c>
      <c r="AB54" s="276">
        <v>195</v>
      </c>
      <c r="AC54" s="276">
        <v>50788</v>
      </c>
      <c r="AD54" s="252">
        <v>200</v>
      </c>
      <c r="AE54" s="253">
        <v>48533</v>
      </c>
      <c r="AF54" s="276">
        <v>195</v>
      </c>
      <c r="AG54" s="276">
        <v>47624</v>
      </c>
      <c r="AH54" s="252">
        <v>66</v>
      </c>
      <c r="AI54" s="253">
        <v>28512</v>
      </c>
      <c r="AJ54" s="267">
        <v>64</v>
      </c>
      <c r="AK54" s="268">
        <v>27799</v>
      </c>
      <c r="AL54" s="252">
        <v>200</v>
      </c>
      <c r="AM54" s="253">
        <v>9060</v>
      </c>
      <c r="AN54" s="276">
        <v>0</v>
      </c>
      <c r="AO54" s="276">
        <v>0</v>
      </c>
      <c r="AP54" s="255">
        <f t="shared" si="8"/>
        <v>200</v>
      </c>
      <c r="AQ54" s="256">
        <f t="shared" si="9"/>
        <v>3280032</v>
      </c>
      <c r="AR54" s="257">
        <f t="shared" si="10"/>
        <v>195</v>
      </c>
      <c r="AS54" s="258">
        <f t="shared" si="11"/>
        <v>3115462</v>
      </c>
      <c r="AT54" s="259">
        <v>22</v>
      </c>
      <c r="AU54" s="253">
        <v>159542</v>
      </c>
      <c r="AV54" s="267">
        <v>31</v>
      </c>
      <c r="AW54" s="268">
        <v>218591</v>
      </c>
      <c r="AX54" s="252">
        <v>22</v>
      </c>
      <c r="AY54" s="253">
        <v>108900</v>
      </c>
      <c r="AZ54" s="267">
        <v>31</v>
      </c>
      <c r="BA54" s="268">
        <v>159030</v>
      </c>
      <c r="BB54" s="252">
        <v>22</v>
      </c>
      <c r="BC54" s="253">
        <v>17488</v>
      </c>
      <c r="BD54" s="267">
        <v>31</v>
      </c>
      <c r="BE54" s="268">
        <v>24482</v>
      </c>
      <c r="BF54" s="252">
        <v>22</v>
      </c>
      <c r="BG54" s="253">
        <v>119449</v>
      </c>
      <c r="BH54" s="267">
        <v>31</v>
      </c>
      <c r="BI54" s="268">
        <v>145363</v>
      </c>
      <c r="BJ54" s="252">
        <v>22</v>
      </c>
      <c r="BK54" s="253">
        <v>8744</v>
      </c>
      <c r="BL54" s="267">
        <v>31</v>
      </c>
      <c r="BM54" s="268">
        <v>12241</v>
      </c>
      <c r="BN54" s="252">
        <v>22</v>
      </c>
      <c r="BO54" s="253">
        <v>7382</v>
      </c>
      <c r="BP54" s="267">
        <v>31</v>
      </c>
      <c r="BQ54" s="268">
        <v>10335</v>
      </c>
      <c r="BR54" s="252">
        <v>22</v>
      </c>
      <c r="BS54" s="253">
        <v>6870</v>
      </c>
      <c r="BT54" s="267">
        <v>31</v>
      </c>
      <c r="BU54" s="268">
        <v>9618</v>
      </c>
      <c r="BV54" s="252">
        <v>7</v>
      </c>
      <c r="BW54" s="253">
        <v>3136</v>
      </c>
      <c r="BX54" s="267">
        <v>10</v>
      </c>
      <c r="BY54" s="268">
        <v>4419</v>
      </c>
      <c r="BZ54" s="252">
        <v>22</v>
      </c>
      <c r="CA54" s="253">
        <v>990</v>
      </c>
      <c r="CB54" s="267">
        <v>0</v>
      </c>
      <c r="CC54" s="268">
        <v>0</v>
      </c>
      <c r="CD54" s="255">
        <f t="shared" si="12"/>
        <v>22</v>
      </c>
      <c r="CE54" s="256">
        <f t="shared" si="13"/>
        <v>432501</v>
      </c>
      <c r="CF54" s="257">
        <f t="shared" si="14"/>
        <v>31</v>
      </c>
      <c r="CG54" s="261">
        <f t="shared" si="15"/>
        <v>584079</v>
      </c>
    </row>
    <row r="55" spans="1:85" s="263" customFormat="1" ht="12.75" customHeight="1">
      <c r="A55" s="273" t="s">
        <v>743</v>
      </c>
      <c r="B55" s="472" t="s">
        <v>752</v>
      </c>
      <c r="C55" s="473" t="s">
        <v>1193</v>
      </c>
      <c r="D55" s="273">
        <v>106412</v>
      </c>
      <c r="E55" s="275">
        <v>6</v>
      </c>
      <c r="F55" s="252">
        <v>110</v>
      </c>
      <c r="G55" s="253">
        <v>463255</v>
      </c>
      <c r="H55" s="276">
        <v>110</v>
      </c>
      <c r="I55" s="276">
        <v>493102</v>
      </c>
      <c r="J55" s="252">
        <v>99</v>
      </c>
      <c r="K55" s="253">
        <v>520344</v>
      </c>
      <c r="L55" s="276">
        <v>100</v>
      </c>
      <c r="M55" s="276">
        <v>524986</v>
      </c>
      <c r="N55" s="252">
        <v>110</v>
      </c>
      <c r="O55" s="253">
        <v>6160</v>
      </c>
      <c r="P55" s="276">
        <v>110</v>
      </c>
      <c r="Q55" s="276">
        <v>6160</v>
      </c>
      <c r="R55" s="252">
        <v>110</v>
      </c>
      <c r="S55" s="253">
        <v>378536</v>
      </c>
      <c r="T55" s="276">
        <v>110</v>
      </c>
      <c r="U55" s="276">
        <v>387280</v>
      </c>
      <c r="V55" s="252">
        <v>110</v>
      </c>
      <c r="W55" s="253">
        <v>50380</v>
      </c>
      <c r="X55" s="276">
        <v>110</v>
      </c>
      <c r="Y55" s="276">
        <v>42525</v>
      </c>
      <c r="Z55" s="252">
        <v>110</v>
      </c>
      <c r="AA55" s="253">
        <v>16390</v>
      </c>
      <c r="AB55" s="276">
        <v>110</v>
      </c>
      <c r="AC55" s="276">
        <v>16390</v>
      </c>
      <c r="AD55" s="252">
        <v>110</v>
      </c>
      <c r="AE55" s="253">
        <v>81150</v>
      </c>
      <c r="AF55" s="276">
        <v>110</v>
      </c>
      <c r="AG55" s="276">
        <v>75937</v>
      </c>
      <c r="AH55" s="252">
        <v>2</v>
      </c>
      <c r="AI55" s="253">
        <v>3540</v>
      </c>
      <c r="AJ55" s="267">
        <v>5</v>
      </c>
      <c r="AK55" s="268">
        <v>9375</v>
      </c>
      <c r="AL55" s="252"/>
      <c r="AM55" s="253"/>
      <c r="AN55" s="276"/>
      <c r="AO55" s="276"/>
      <c r="AP55" s="255">
        <f t="shared" si="8"/>
        <v>110</v>
      </c>
      <c r="AQ55" s="256">
        <f t="shared" si="9"/>
        <v>1519755</v>
      </c>
      <c r="AR55" s="257">
        <f t="shared" si="10"/>
        <v>110</v>
      </c>
      <c r="AS55" s="258">
        <f t="shared" si="11"/>
        <v>1555755</v>
      </c>
      <c r="AT55" s="259">
        <v>63</v>
      </c>
      <c r="AU55" s="253">
        <v>336835</v>
      </c>
      <c r="AV55" s="267">
        <v>61</v>
      </c>
      <c r="AW55" s="268">
        <v>331892</v>
      </c>
      <c r="AX55" s="252">
        <v>63</v>
      </c>
      <c r="AY55" s="253">
        <v>331128</v>
      </c>
      <c r="AZ55" s="267">
        <v>58</v>
      </c>
      <c r="BA55" s="268">
        <v>331892</v>
      </c>
      <c r="BB55" s="252">
        <v>63</v>
      </c>
      <c r="BC55" s="253">
        <v>3528</v>
      </c>
      <c r="BD55" s="267">
        <v>61</v>
      </c>
      <c r="BE55" s="268">
        <v>3416</v>
      </c>
      <c r="BF55" s="252">
        <v>63</v>
      </c>
      <c r="BG55" s="253">
        <v>292337</v>
      </c>
      <c r="BH55" s="267">
        <v>61</v>
      </c>
      <c r="BI55" s="268">
        <v>284516</v>
      </c>
      <c r="BJ55" s="252">
        <v>63</v>
      </c>
      <c r="BK55" s="253">
        <v>29043</v>
      </c>
      <c r="BL55" s="267">
        <v>61</v>
      </c>
      <c r="BM55" s="268">
        <v>31241</v>
      </c>
      <c r="BN55" s="252">
        <v>63</v>
      </c>
      <c r="BO55" s="253">
        <v>9387</v>
      </c>
      <c r="BP55" s="267">
        <v>61</v>
      </c>
      <c r="BQ55" s="268">
        <v>9089</v>
      </c>
      <c r="BR55" s="252">
        <v>63</v>
      </c>
      <c r="BS55" s="253">
        <v>62671</v>
      </c>
      <c r="BT55" s="267">
        <v>61</v>
      </c>
      <c r="BU55" s="268">
        <v>55788</v>
      </c>
      <c r="BV55" s="252">
        <v>4</v>
      </c>
      <c r="BW55" s="253">
        <v>7080</v>
      </c>
      <c r="BX55" s="267">
        <v>4</v>
      </c>
      <c r="BY55" s="268">
        <v>7500</v>
      </c>
      <c r="BZ55" s="252"/>
      <c r="CA55" s="253"/>
      <c r="CB55" s="267"/>
      <c r="CC55" s="268"/>
      <c r="CD55" s="255">
        <f t="shared" si="12"/>
        <v>63</v>
      </c>
      <c r="CE55" s="256">
        <f t="shared" si="13"/>
        <v>1072009</v>
      </c>
      <c r="CF55" s="257">
        <f t="shared" si="14"/>
        <v>61</v>
      </c>
      <c r="CG55" s="261">
        <f t="shared" si="15"/>
        <v>1055334</v>
      </c>
    </row>
    <row r="56" spans="1:85" s="263" customFormat="1" ht="12.75" customHeight="1">
      <c r="A56" s="277" t="s">
        <v>743</v>
      </c>
      <c r="B56" s="278" t="s">
        <v>753</v>
      </c>
      <c r="C56" s="278"/>
      <c r="D56" s="277">
        <v>107664</v>
      </c>
      <c r="E56" s="279">
        <v>8</v>
      </c>
      <c r="F56" s="252">
        <v>144</v>
      </c>
      <c r="G56" s="253">
        <v>663143</v>
      </c>
      <c r="H56" s="276">
        <v>157</v>
      </c>
      <c r="I56" s="276">
        <v>741900</v>
      </c>
      <c r="J56" s="252">
        <v>144</v>
      </c>
      <c r="K56" s="253">
        <v>720000</v>
      </c>
      <c r="L56" s="276">
        <v>157</v>
      </c>
      <c r="M56" s="276">
        <v>790000</v>
      </c>
      <c r="N56" s="252">
        <v>144</v>
      </c>
      <c r="O56" s="253">
        <v>19231</v>
      </c>
      <c r="P56" s="276">
        <v>157</v>
      </c>
      <c r="Q56" s="276">
        <v>21515</v>
      </c>
      <c r="R56" s="252">
        <v>144</v>
      </c>
      <c r="S56" s="253">
        <v>507305</v>
      </c>
      <c r="T56" s="276">
        <v>157</v>
      </c>
      <c r="U56" s="276">
        <v>567553</v>
      </c>
      <c r="V56" s="252">
        <v>144</v>
      </c>
      <c r="W56" s="253">
        <v>23210</v>
      </c>
      <c r="X56" s="276">
        <v>157</v>
      </c>
      <c r="Y56" s="276">
        <v>50449</v>
      </c>
      <c r="Z56" s="252">
        <v>144</v>
      </c>
      <c r="AA56" s="253">
        <v>7257</v>
      </c>
      <c r="AB56" s="276">
        <v>157</v>
      </c>
      <c r="AC56" s="276">
        <v>7963</v>
      </c>
      <c r="AD56" s="252"/>
      <c r="AE56" s="253"/>
      <c r="AF56" s="276"/>
      <c r="AG56" s="276"/>
      <c r="AH56" s="252">
        <v>24</v>
      </c>
      <c r="AI56" s="253">
        <v>33126</v>
      </c>
      <c r="AJ56" s="267">
        <v>24</v>
      </c>
      <c r="AK56" s="268">
        <v>41575</v>
      </c>
      <c r="AL56" s="252"/>
      <c r="AM56" s="253"/>
      <c r="AN56" s="276"/>
      <c r="AO56" s="276"/>
      <c r="AP56" s="255">
        <f t="shared" si="8"/>
        <v>144</v>
      </c>
      <c r="AQ56" s="256">
        <f t="shared" si="9"/>
        <v>1973272</v>
      </c>
      <c r="AR56" s="257">
        <f t="shared" si="10"/>
        <v>157</v>
      </c>
      <c r="AS56" s="258">
        <f t="shared" si="11"/>
        <v>2220955</v>
      </c>
      <c r="AT56" s="259">
        <v>14</v>
      </c>
      <c r="AU56" s="253">
        <v>80941</v>
      </c>
      <c r="AV56" s="267">
        <v>14</v>
      </c>
      <c r="AW56" s="268">
        <v>83978</v>
      </c>
      <c r="AX56" s="252">
        <v>14</v>
      </c>
      <c r="AY56" s="253">
        <v>70000</v>
      </c>
      <c r="AZ56" s="267">
        <v>14</v>
      </c>
      <c r="BA56" s="268">
        <v>70000</v>
      </c>
      <c r="BB56" s="252">
        <v>14</v>
      </c>
      <c r="BC56" s="253">
        <v>2347</v>
      </c>
      <c r="BD56" s="267">
        <v>14</v>
      </c>
      <c r="BE56" s="268">
        <v>2435</v>
      </c>
      <c r="BF56" s="252">
        <v>14</v>
      </c>
      <c r="BG56" s="253">
        <v>61920</v>
      </c>
      <c r="BH56" s="267">
        <v>14</v>
      </c>
      <c r="BI56" s="268">
        <v>64243</v>
      </c>
      <c r="BJ56" s="252">
        <v>14</v>
      </c>
      <c r="BK56" s="253">
        <v>2833</v>
      </c>
      <c r="BL56" s="267">
        <v>14</v>
      </c>
      <c r="BM56" s="268">
        <v>5710</v>
      </c>
      <c r="BN56" s="252">
        <v>14</v>
      </c>
      <c r="BO56" s="253">
        <v>706</v>
      </c>
      <c r="BP56" s="267">
        <v>14</v>
      </c>
      <c r="BQ56" s="268">
        <v>706</v>
      </c>
      <c r="BR56" s="252"/>
      <c r="BS56" s="253"/>
      <c r="BT56" s="267"/>
      <c r="BU56" s="268"/>
      <c r="BV56" s="252">
        <v>1</v>
      </c>
      <c r="BW56" s="253">
        <v>649</v>
      </c>
      <c r="BX56" s="267">
        <v>1</v>
      </c>
      <c r="BY56" s="268">
        <v>1480</v>
      </c>
      <c r="BZ56" s="252"/>
      <c r="CA56" s="253"/>
      <c r="CB56" s="267"/>
      <c r="CC56" s="268"/>
      <c r="CD56" s="255">
        <f t="shared" si="12"/>
        <v>14</v>
      </c>
      <c r="CE56" s="256">
        <f t="shared" si="13"/>
        <v>219396</v>
      </c>
      <c r="CF56" s="257">
        <f t="shared" si="14"/>
        <v>14</v>
      </c>
      <c r="CG56" s="261">
        <f t="shared" si="15"/>
        <v>228552</v>
      </c>
    </row>
    <row r="57" spans="1:85" s="263" customFormat="1" ht="12.75" customHeight="1">
      <c r="A57" s="273" t="s">
        <v>743</v>
      </c>
      <c r="B57" s="274" t="s">
        <v>754</v>
      </c>
      <c r="C57" s="274"/>
      <c r="D57" s="273">
        <v>106449</v>
      </c>
      <c r="E57" s="275">
        <v>9</v>
      </c>
      <c r="F57" s="252">
        <v>106</v>
      </c>
      <c r="G57" s="253">
        <v>496957</v>
      </c>
      <c r="H57" s="276">
        <v>97</v>
      </c>
      <c r="I57" s="276">
        <v>467295</v>
      </c>
      <c r="J57" s="252">
        <v>84</v>
      </c>
      <c r="K57" s="253">
        <v>356840</v>
      </c>
      <c r="L57" s="276">
        <v>84</v>
      </c>
      <c r="M57" s="276">
        <v>436828</v>
      </c>
      <c r="N57" s="252">
        <v>106</v>
      </c>
      <c r="O57" s="253">
        <v>15831</v>
      </c>
      <c r="P57" s="276">
        <v>96</v>
      </c>
      <c r="Q57" s="276">
        <v>14407</v>
      </c>
      <c r="R57" s="252">
        <v>106</v>
      </c>
      <c r="S57" s="253">
        <v>346328</v>
      </c>
      <c r="T57" s="276">
        <v>100</v>
      </c>
      <c r="U57" s="276">
        <v>329830</v>
      </c>
      <c r="V57" s="252">
        <v>106</v>
      </c>
      <c r="W57" s="253">
        <v>25805</v>
      </c>
      <c r="X57" s="276">
        <v>100</v>
      </c>
      <c r="Y57" s="276">
        <v>15090</v>
      </c>
      <c r="Z57" s="252">
        <v>106</v>
      </c>
      <c r="AA57" s="253">
        <v>17728</v>
      </c>
      <c r="AB57" s="276">
        <v>96</v>
      </c>
      <c r="AC57" s="276">
        <v>16083</v>
      </c>
      <c r="AD57" s="252">
        <v>106</v>
      </c>
      <c r="AE57" s="253">
        <v>0</v>
      </c>
      <c r="AF57" s="276">
        <v>0</v>
      </c>
      <c r="AG57" s="276">
        <v>0</v>
      </c>
      <c r="AH57" s="252">
        <v>26</v>
      </c>
      <c r="AI57" s="253">
        <v>33759</v>
      </c>
      <c r="AJ57" s="267">
        <v>10</v>
      </c>
      <c r="AK57" s="268">
        <v>6500</v>
      </c>
      <c r="AL57" s="252"/>
      <c r="AM57" s="253"/>
      <c r="AN57" s="276"/>
      <c r="AO57" s="276"/>
      <c r="AP57" s="255">
        <f t="shared" si="8"/>
        <v>106</v>
      </c>
      <c r="AQ57" s="256">
        <f t="shared" si="9"/>
        <v>1293248</v>
      </c>
      <c r="AR57" s="257">
        <f t="shared" si="10"/>
        <v>100</v>
      </c>
      <c r="AS57" s="258">
        <f t="shared" si="11"/>
        <v>1286033</v>
      </c>
      <c r="AT57" s="259">
        <v>16</v>
      </c>
      <c r="AU57" s="253">
        <v>104506</v>
      </c>
      <c r="AV57" s="267">
        <v>22</v>
      </c>
      <c r="AW57" s="268">
        <v>130127</v>
      </c>
      <c r="AX57" s="252">
        <v>16</v>
      </c>
      <c r="AY57" s="253">
        <v>76289</v>
      </c>
      <c r="AZ57" s="267">
        <v>18</v>
      </c>
      <c r="BA57" s="268">
        <v>109577</v>
      </c>
      <c r="BB57" s="252">
        <v>16</v>
      </c>
      <c r="BC57" s="253">
        <v>3136</v>
      </c>
      <c r="BD57" s="267">
        <v>21</v>
      </c>
      <c r="BE57" s="268">
        <v>3858</v>
      </c>
      <c r="BF57" s="252">
        <v>16</v>
      </c>
      <c r="BG57" s="253">
        <v>75340</v>
      </c>
      <c r="BH57" s="267">
        <v>21</v>
      </c>
      <c r="BI57" s="268">
        <v>91685</v>
      </c>
      <c r="BJ57" s="252">
        <v>16</v>
      </c>
      <c r="BK57" s="253">
        <v>5614</v>
      </c>
      <c r="BL57" s="267">
        <v>21</v>
      </c>
      <c r="BM57" s="268">
        <v>4195</v>
      </c>
      <c r="BN57" s="252">
        <v>16</v>
      </c>
      <c r="BO57" s="253">
        <v>2488</v>
      </c>
      <c r="BP57" s="267">
        <v>21</v>
      </c>
      <c r="BQ57" s="268">
        <v>3484</v>
      </c>
      <c r="BR57" s="252">
        <v>16</v>
      </c>
      <c r="BS57" s="253">
        <v>0</v>
      </c>
      <c r="BT57" s="267">
        <v>0</v>
      </c>
      <c r="BU57" s="268">
        <v>0</v>
      </c>
      <c r="BV57" s="252">
        <v>5</v>
      </c>
      <c r="BW57" s="253">
        <v>5144</v>
      </c>
      <c r="BX57" s="267">
        <v>0</v>
      </c>
      <c r="BY57" s="268">
        <v>0</v>
      </c>
      <c r="BZ57" s="252"/>
      <c r="CA57" s="253"/>
      <c r="CB57" s="267"/>
      <c r="CC57" s="268"/>
      <c r="CD57" s="255">
        <f t="shared" si="12"/>
        <v>16</v>
      </c>
      <c r="CE57" s="256">
        <f t="shared" si="13"/>
        <v>272517</v>
      </c>
      <c r="CF57" s="257">
        <f t="shared" si="14"/>
        <v>22</v>
      </c>
      <c r="CG57" s="261">
        <f t="shared" si="15"/>
        <v>342926</v>
      </c>
    </row>
    <row r="58" spans="1:85" s="263" customFormat="1" ht="12.75" customHeight="1">
      <c r="A58" s="273" t="s">
        <v>743</v>
      </c>
      <c r="B58" s="472" t="s">
        <v>755</v>
      </c>
      <c r="C58" s="477" t="s">
        <v>1195</v>
      </c>
      <c r="D58" s="273">
        <v>367459</v>
      </c>
      <c r="E58" s="275">
        <v>9</v>
      </c>
      <c r="F58" s="252">
        <v>130</v>
      </c>
      <c r="G58" s="253">
        <v>769798</v>
      </c>
      <c r="H58" s="276">
        <v>145</v>
      </c>
      <c r="I58" s="276">
        <v>816961</v>
      </c>
      <c r="J58" s="252">
        <v>130</v>
      </c>
      <c r="K58" s="253">
        <v>877513</v>
      </c>
      <c r="L58" s="276">
        <v>141</v>
      </c>
      <c r="M58" s="276">
        <v>3891</v>
      </c>
      <c r="N58" s="252">
        <v>129</v>
      </c>
      <c r="O58" s="253">
        <v>26885</v>
      </c>
      <c r="P58" s="276">
        <v>140</v>
      </c>
      <c r="Q58" s="276">
        <v>28532</v>
      </c>
      <c r="R58" s="252">
        <v>130</v>
      </c>
      <c r="S58" s="253">
        <v>431153</v>
      </c>
      <c r="T58" s="276">
        <v>143</v>
      </c>
      <c r="U58" s="276">
        <v>447408</v>
      </c>
      <c r="V58" s="252">
        <v>130</v>
      </c>
      <c r="W58" s="253">
        <v>22357</v>
      </c>
      <c r="X58" s="276">
        <v>143</v>
      </c>
      <c r="Y58" s="276">
        <v>69276</v>
      </c>
      <c r="Z58" s="252">
        <v>130</v>
      </c>
      <c r="AA58" s="253">
        <v>3666</v>
      </c>
      <c r="AB58" s="276">
        <v>141</v>
      </c>
      <c r="AC58" s="276">
        <v>3891</v>
      </c>
      <c r="AD58" s="252">
        <v>130</v>
      </c>
      <c r="AE58" s="253">
        <v>3180</v>
      </c>
      <c r="AF58" s="276">
        <v>143</v>
      </c>
      <c r="AG58" s="276">
        <v>4330</v>
      </c>
      <c r="AH58" s="252">
        <v>18</v>
      </c>
      <c r="AI58" s="253">
        <v>8934</v>
      </c>
      <c r="AJ58" s="267">
        <v>59</v>
      </c>
      <c r="AK58" s="268">
        <v>30400</v>
      </c>
      <c r="AL58" s="252"/>
      <c r="AM58" s="253"/>
      <c r="AN58" s="276"/>
      <c r="AO58" s="276"/>
      <c r="AP58" s="255">
        <f t="shared" si="8"/>
        <v>130</v>
      </c>
      <c r="AQ58" s="256">
        <f t="shared" si="9"/>
        <v>2143486</v>
      </c>
      <c r="AR58" s="257">
        <f t="shared" si="10"/>
        <v>145</v>
      </c>
      <c r="AS58" s="258">
        <f t="shared" si="11"/>
        <v>1404689</v>
      </c>
      <c r="AT58" s="259">
        <v>1</v>
      </c>
      <c r="AU58" s="253">
        <v>5411</v>
      </c>
      <c r="AV58" s="267">
        <v>0</v>
      </c>
      <c r="AW58" s="268">
        <v>0</v>
      </c>
      <c r="AX58" s="252">
        <v>1</v>
      </c>
      <c r="AY58" s="253">
        <v>9699</v>
      </c>
      <c r="AZ58" s="267">
        <v>0</v>
      </c>
      <c r="BA58" s="268">
        <v>0</v>
      </c>
      <c r="BB58" s="252">
        <v>1</v>
      </c>
      <c r="BC58" s="253">
        <v>14</v>
      </c>
      <c r="BD58" s="267">
        <v>0</v>
      </c>
      <c r="BE58" s="268">
        <v>0</v>
      </c>
      <c r="BF58" s="252">
        <v>1</v>
      </c>
      <c r="BG58" s="253">
        <v>3179</v>
      </c>
      <c r="BH58" s="267">
        <v>0</v>
      </c>
      <c r="BI58" s="268">
        <v>0</v>
      </c>
      <c r="BJ58" s="252">
        <v>1</v>
      </c>
      <c r="BK58" s="253">
        <v>167</v>
      </c>
      <c r="BL58" s="267">
        <v>0</v>
      </c>
      <c r="BM58" s="268">
        <v>0</v>
      </c>
      <c r="BN58" s="252">
        <v>1</v>
      </c>
      <c r="BO58" s="253">
        <v>170</v>
      </c>
      <c r="BP58" s="267">
        <v>0</v>
      </c>
      <c r="BQ58" s="268">
        <v>0</v>
      </c>
      <c r="BR58" s="252">
        <v>1</v>
      </c>
      <c r="BS58" s="253">
        <v>24</v>
      </c>
      <c r="BT58" s="267">
        <v>0</v>
      </c>
      <c r="BU58" s="268">
        <v>0</v>
      </c>
      <c r="BV58" s="252">
        <v>1</v>
      </c>
      <c r="BW58" s="253">
        <v>100</v>
      </c>
      <c r="BX58" s="267">
        <v>0</v>
      </c>
      <c r="BY58" s="268">
        <v>0</v>
      </c>
      <c r="BZ58" s="252"/>
      <c r="CA58" s="253"/>
      <c r="CB58" s="267"/>
      <c r="CC58" s="268"/>
      <c r="CD58" s="255">
        <f t="shared" si="12"/>
        <v>1</v>
      </c>
      <c r="CE58" s="256">
        <f t="shared" si="13"/>
        <v>18764</v>
      </c>
      <c r="CF58" s="257">
        <f t="shared" si="14"/>
        <v>0</v>
      </c>
      <c r="CG58" s="261">
        <f t="shared" si="15"/>
        <v>0</v>
      </c>
    </row>
    <row r="59" spans="1:85" s="263" customFormat="1" ht="12.75" customHeight="1">
      <c r="A59" s="273" t="s">
        <v>743</v>
      </c>
      <c r="B59" s="274" t="s">
        <v>756</v>
      </c>
      <c r="C59" s="274"/>
      <c r="D59" s="273">
        <v>107327</v>
      </c>
      <c r="E59" s="275">
        <v>10</v>
      </c>
      <c r="F59" s="252">
        <v>77</v>
      </c>
      <c r="G59" s="253">
        <v>426273</v>
      </c>
      <c r="H59" s="276">
        <v>73</v>
      </c>
      <c r="I59" s="276">
        <v>406445</v>
      </c>
      <c r="J59" s="252">
        <v>70</v>
      </c>
      <c r="K59" s="253">
        <v>381960</v>
      </c>
      <c r="L59" s="276">
        <v>72</v>
      </c>
      <c r="M59" s="276">
        <v>369179</v>
      </c>
      <c r="N59" s="252">
        <v>77</v>
      </c>
      <c r="O59" s="253">
        <v>20286</v>
      </c>
      <c r="P59" s="276">
        <v>73</v>
      </c>
      <c r="Q59" s="276">
        <v>19071</v>
      </c>
      <c r="R59" s="252">
        <v>77</v>
      </c>
      <c r="S59" s="253">
        <v>256628</v>
      </c>
      <c r="T59" s="276">
        <v>73</v>
      </c>
      <c r="U59" s="276">
        <v>241404</v>
      </c>
      <c r="V59" s="252"/>
      <c r="W59" s="253"/>
      <c r="X59" s="276">
        <v>73</v>
      </c>
      <c r="Y59" s="276">
        <v>9467</v>
      </c>
      <c r="Z59" s="252">
        <v>77</v>
      </c>
      <c r="AA59" s="253">
        <v>40998</v>
      </c>
      <c r="AB59" s="276">
        <v>73</v>
      </c>
      <c r="AC59" s="276">
        <v>38241</v>
      </c>
      <c r="AD59" s="252"/>
      <c r="AE59" s="253"/>
      <c r="AF59" s="276">
        <v>73</v>
      </c>
      <c r="AG59" s="276">
        <v>947</v>
      </c>
      <c r="AH59" s="252">
        <v>12</v>
      </c>
      <c r="AI59" s="253">
        <v>8222</v>
      </c>
      <c r="AJ59" s="267">
        <v>10</v>
      </c>
      <c r="AK59" s="268">
        <v>8839</v>
      </c>
      <c r="AL59" s="252"/>
      <c r="AM59" s="253"/>
      <c r="AN59" s="276"/>
      <c r="AO59" s="276"/>
      <c r="AP59" s="255">
        <f t="shared" si="8"/>
        <v>77</v>
      </c>
      <c r="AQ59" s="256">
        <f t="shared" si="9"/>
        <v>1134367</v>
      </c>
      <c r="AR59" s="257">
        <f t="shared" si="10"/>
        <v>73</v>
      </c>
      <c r="AS59" s="258">
        <f t="shared" si="11"/>
        <v>1093593</v>
      </c>
      <c r="AT59" s="259">
        <v>5</v>
      </c>
      <c r="AU59" s="253">
        <v>40779</v>
      </c>
      <c r="AV59" s="267">
        <v>6</v>
      </c>
      <c r="AW59" s="268">
        <v>47958</v>
      </c>
      <c r="AX59" s="252">
        <v>5</v>
      </c>
      <c r="AY59" s="253">
        <v>26837</v>
      </c>
      <c r="AZ59" s="267">
        <v>6</v>
      </c>
      <c r="BA59" s="268">
        <v>32109</v>
      </c>
      <c r="BB59" s="252">
        <v>5</v>
      </c>
      <c r="BC59" s="253">
        <v>1556</v>
      </c>
      <c r="BD59" s="267">
        <v>6</v>
      </c>
      <c r="BE59" s="268">
        <v>1871</v>
      </c>
      <c r="BF59" s="252">
        <v>5</v>
      </c>
      <c r="BG59" s="253">
        <v>25026</v>
      </c>
      <c r="BH59" s="267">
        <v>6</v>
      </c>
      <c r="BI59" s="268">
        <v>29788</v>
      </c>
      <c r="BJ59" s="252"/>
      <c r="BK59" s="253"/>
      <c r="BL59" s="267">
        <v>6</v>
      </c>
      <c r="BM59" s="268">
        <v>1168</v>
      </c>
      <c r="BN59" s="252">
        <v>5</v>
      </c>
      <c r="BO59" s="253">
        <v>4080</v>
      </c>
      <c r="BP59" s="267">
        <v>6</v>
      </c>
      <c r="BQ59" s="268">
        <v>4805</v>
      </c>
      <c r="BR59" s="252"/>
      <c r="BS59" s="253"/>
      <c r="BT59" s="267">
        <v>6</v>
      </c>
      <c r="BU59" s="268">
        <v>117</v>
      </c>
      <c r="BV59" s="252">
        <v>1</v>
      </c>
      <c r="BW59" s="253">
        <v>614</v>
      </c>
      <c r="BX59" s="267">
        <v>1</v>
      </c>
      <c r="BY59" s="268">
        <v>428</v>
      </c>
      <c r="BZ59" s="252"/>
      <c r="CA59" s="253"/>
      <c r="CB59" s="267"/>
      <c r="CC59" s="268"/>
      <c r="CD59" s="255">
        <f t="shared" si="12"/>
        <v>5</v>
      </c>
      <c r="CE59" s="256">
        <f t="shared" si="13"/>
        <v>98892</v>
      </c>
      <c r="CF59" s="257">
        <f t="shared" si="14"/>
        <v>6</v>
      </c>
      <c r="CG59" s="261">
        <f t="shared" si="15"/>
        <v>118244</v>
      </c>
    </row>
    <row r="60" spans="1:85" s="263" customFormat="1" ht="12.75" customHeight="1">
      <c r="A60" s="273" t="s">
        <v>743</v>
      </c>
      <c r="B60" s="274" t="s">
        <v>757</v>
      </c>
      <c r="C60" s="274"/>
      <c r="D60" s="273">
        <v>420538</v>
      </c>
      <c r="E60" s="275">
        <v>10</v>
      </c>
      <c r="F60" s="252">
        <v>43</v>
      </c>
      <c r="G60" s="253">
        <v>181633</v>
      </c>
      <c r="H60" s="276">
        <v>48</v>
      </c>
      <c r="I60" s="276">
        <v>203559</v>
      </c>
      <c r="J60" s="252">
        <v>37</v>
      </c>
      <c r="K60" s="253">
        <v>180265</v>
      </c>
      <c r="L60" s="276">
        <v>42</v>
      </c>
      <c r="M60" s="276">
        <v>219185</v>
      </c>
      <c r="N60" s="252">
        <v>43</v>
      </c>
      <c r="O60" s="253">
        <v>6084</v>
      </c>
      <c r="P60" s="276">
        <v>48</v>
      </c>
      <c r="Q60" s="276">
        <v>6494</v>
      </c>
      <c r="R60" s="252">
        <v>43</v>
      </c>
      <c r="S60" s="253">
        <v>133935</v>
      </c>
      <c r="T60" s="276">
        <v>48</v>
      </c>
      <c r="U60" s="276">
        <v>149556</v>
      </c>
      <c r="V60" s="252"/>
      <c r="W60" s="253"/>
      <c r="X60" s="276">
        <v>48</v>
      </c>
      <c r="Y60" s="276">
        <v>0</v>
      </c>
      <c r="Z60" s="252">
        <v>43</v>
      </c>
      <c r="AA60" s="253">
        <v>7032</v>
      </c>
      <c r="AB60" s="276">
        <v>48</v>
      </c>
      <c r="AC60" s="276">
        <v>7654</v>
      </c>
      <c r="AD60" s="252"/>
      <c r="AE60" s="253"/>
      <c r="AF60" s="276">
        <v>48</v>
      </c>
      <c r="AG60" s="276">
        <v>0</v>
      </c>
      <c r="AH60" s="252"/>
      <c r="AI60" s="253"/>
      <c r="AJ60" s="267"/>
      <c r="AK60" s="268"/>
      <c r="AL60" s="252"/>
      <c r="AM60" s="253"/>
      <c r="AN60" s="276"/>
      <c r="AO60" s="276"/>
      <c r="AP60" s="255">
        <f t="shared" si="8"/>
        <v>43</v>
      </c>
      <c r="AQ60" s="256">
        <f t="shared" si="9"/>
        <v>508949</v>
      </c>
      <c r="AR60" s="257">
        <f t="shared" si="10"/>
        <v>48</v>
      </c>
      <c r="AS60" s="258">
        <f t="shared" si="11"/>
        <v>586448</v>
      </c>
      <c r="AT60" s="259"/>
      <c r="AU60" s="253"/>
      <c r="AV60" s="267"/>
      <c r="AW60" s="268"/>
      <c r="AX60" s="252"/>
      <c r="AY60" s="253"/>
      <c r="AZ60" s="267"/>
      <c r="BA60" s="268"/>
      <c r="BB60" s="252"/>
      <c r="BC60" s="253"/>
      <c r="BD60" s="267"/>
      <c r="BE60" s="268"/>
      <c r="BF60" s="252"/>
      <c r="BG60" s="253"/>
      <c r="BH60" s="267"/>
      <c r="BI60" s="268"/>
      <c r="BJ60" s="252"/>
      <c r="BK60" s="253"/>
      <c r="BL60" s="267"/>
      <c r="BM60" s="268"/>
      <c r="BN60" s="252"/>
      <c r="BO60" s="253"/>
      <c r="BP60" s="267"/>
      <c r="BQ60" s="268"/>
      <c r="BR60" s="252"/>
      <c r="BS60" s="253"/>
      <c r="BT60" s="267"/>
      <c r="BU60" s="268"/>
      <c r="BV60" s="252"/>
      <c r="BW60" s="253"/>
      <c r="BX60" s="267"/>
      <c r="BY60" s="268"/>
      <c r="BZ60" s="252"/>
      <c r="CA60" s="253"/>
      <c r="CB60" s="267"/>
      <c r="CC60" s="268"/>
      <c r="CD60" s="255">
        <f t="shared" si="12"/>
        <v>0</v>
      </c>
      <c r="CE60" s="256">
        <f t="shared" si="13"/>
        <v>0</v>
      </c>
      <c r="CF60" s="257">
        <f t="shared" si="14"/>
        <v>0</v>
      </c>
      <c r="CG60" s="261">
        <f t="shared" si="15"/>
        <v>0</v>
      </c>
    </row>
    <row r="61" spans="1:85" s="263" customFormat="1" ht="12.75" customHeight="1">
      <c r="A61" s="273" t="s">
        <v>743</v>
      </c>
      <c r="B61" s="274" t="s">
        <v>758</v>
      </c>
      <c r="C61" s="274"/>
      <c r="D61" s="273">
        <v>440402</v>
      </c>
      <c r="E61" s="275">
        <v>10</v>
      </c>
      <c r="F61" s="252">
        <v>45</v>
      </c>
      <c r="G61" s="253">
        <v>205564</v>
      </c>
      <c r="H61" s="276">
        <v>45</v>
      </c>
      <c r="I61" s="276">
        <v>205646</v>
      </c>
      <c r="J61" s="252">
        <v>40</v>
      </c>
      <c r="K61" s="253">
        <v>165820</v>
      </c>
      <c r="L61" s="276">
        <v>39</v>
      </c>
      <c r="M61" s="276">
        <v>179649</v>
      </c>
      <c r="N61" s="252">
        <v>46</v>
      </c>
      <c r="O61" s="253">
        <v>5346</v>
      </c>
      <c r="P61" s="276">
        <v>45</v>
      </c>
      <c r="Q61" s="276">
        <v>6435</v>
      </c>
      <c r="R61" s="252">
        <v>47</v>
      </c>
      <c r="S61" s="253">
        <v>137200</v>
      </c>
      <c r="T61" s="276">
        <v>45</v>
      </c>
      <c r="U61" s="276">
        <v>140355</v>
      </c>
      <c r="V61" s="252">
        <v>47</v>
      </c>
      <c r="W61" s="253">
        <v>5340</v>
      </c>
      <c r="X61" s="276">
        <v>45</v>
      </c>
      <c r="Y61" s="276">
        <v>22106</v>
      </c>
      <c r="Z61" s="252">
        <v>47</v>
      </c>
      <c r="AA61" s="253">
        <v>4782</v>
      </c>
      <c r="AB61" s="276">
        <v>45</v>
      </c>
      <c r="AC61" s="276">
        <v>5940</v>
      </c>
      <c r="AD61" s="252">
        <v>47</v>
      </c>
      <c r="AE61" s="253">
        <v>2471</v>
      </c>
      <c r="AF61" s="276">
        <v>45</v>
      </c>
      <c r="AG61" s="276">
        <v>3060</v>
      </c>
      <c r="AH61" s="252">
        <v>23</v>
      </c>
      <c r="AI61" s="253">
        <v>12466</v>
      </c>
      <c r="AJ61" s="267">
        <v>14</v>
      </c>
      <c r="AK61" s="268">
        <v>24248</v>
      </c>
      <c r="AL61" s="252"/>
      <c r="AM61" s="253"/>
      <c r="AN61" s="276"/>
      <c r="AO61" s="276"/>
      <c r="AP61" s="255">
        <f t="shared" si="8"/>
        <v>47</v>
      </c>
      <c r="AQ61" s="256">
        <f t="shared" si="9"/>
        <v>538989</v>
      </c>
      <c r="AR61" s="257">
        <f t="shared" si="10"/>
        <v>45</v>
      </c>
      <c r="AS61" s="258">
        <f t="shared" si="11"/>
        <v>587439</v>
      </c>
      <c r="AT61" s="259">
        <v>18</v>
      </c>
      <c r="AU61" s="253">
        <v>89091</v>
      </c>
      <c r="AV61" s="267">
        <v>17</v>
      </c>
      <c r="AW61" s="268">
        <v>90697</v>
      </c>
      <c r="AX61" s="252">
        <v>17</v>
      </c>
      <c r="AY61" s="253">
        <v>85466</v>
      </c>
      <c r="AZ61" s="267">
        <v>17</v>
      </c>
      <c r="BA61" s="268">
        <v>81826</v>
      </c>
      <c r="BB61" s="252">
        <v>18</v>
      </c>
      <c r="BC61" s="253">
        <v>2708</v>
      </c>
      <c r="BD61" s="267">
        <v>17</v>
      </c>
      <c r="BE61" s="268">
        <v>2999</v>
      </c>
      <c r="BF61" s="252">
        <v>18</v>
      </c>
      <c r="BG61" s="253">
        <v>62081</v>
      </c>
      <c r="BH61" s="267">
        <v>17</v>
      </c>
      <c r="BI61" s="268">
        <v>65560</v>
      </c>
      <c r="BJ61" s="252">
        <v>18</v>
      </c>
      <c r="BK61" s="253">
        <v>2552</v>
      </c>
      <c r="BL61" s="267">
        <v>17</v>
      </c>
      <c r="BM61" s="268">
        <v>10327</v>
      </c>
      <c r="BN61" s="252">
        <v>18</v>
      </c>
      <c r="BO61" s="253">
        <v>2700</v>
      </c>
      <c r="BP61" s="267">
        <v>17</v>
      </c>
      <c r="BQ61" s="268">
        <v>2754</v>
      </c>
      <c r="BR61" s="252">
        <v>18</v>
      </c>
      <c r="BS61" s="253">
        <v>1181</v>
      </c>
      <c r="BT61" s="267">
        <v>17</v>
      </c>
      <c r="BU61" s="268">
        <v>1445</v>
      </c>
      <c r="BV61" s="252">
        <v>16</v>
      </c>
      <c r="BW61" s="253">
        <v>7680</v>
      </c>
      <c r="BX61" s="267">
        <v>1</v>
      </c>
      <c r="BY61" s="268">
        <v>1755</v>
      </c>
      <c r="BZ61" s="252"/>
      <c r="CA61" s="253"/>
      <c r="CB61" s="267"/>
      <c r="CC61" s="268"/>
      <c r="CD61" s="255">
        <f t="shared" si="12"/>
        <v>18</v>
      </c>
      <c r="CE61" s="256">
        <f t="shared" si="13"/>
        <v>253459</v>
      </c>
      <c r="CF61" s="257">
        <f t="shared" si="14"/>
        <v>17</v>
      </c>
      <c r="CG61" s="261">
        <f t="shared" si="15"/>
        <v>257363</v>
      </c>
    </row>
    <row r="62" spans="1:85" s="263" customFormat="1" ht="12.75" customHeight="1">
      <c r="A62" s="273" t="s">
        <v>743</v>
      </c>
      <c r="B62" s="472" t="s">
        <v>759</v>
      </c>
      <c r="C62" s="477" t="s">
        <v>1190</v>
      </c>
      <c r="D62" s="273">
        <v>106625</v>
      </c>
      <c r="E62" s="275">
        <v>10</v>
      </c>
      <c r="F62" s="252">
        <v>59</v>
      </c>
      <c r="G62" s="253">
        <v>345765</v>
      </c>
      <c r="H62" s="276">
        <v>64</v>
      </c>
      <c r="I62" s="276">
        <v>370879</v>
      </c>
      <c r="J62" s="252"/>
      <c r="K62" s="253"/>
      <c r="L62" s="276"/>
      <c r="M62" s="276"/>
      <c r="N62" s="252"/>
      <c r="O62" s="253"/>
      <c r="P62" s="276"/>
      <c r="Q62" s="276"/>
      <c r="R62" s="252">
        <v>59</v>
      </c>
      <c r="S62" s="253">
        <v>188936</v>
      </c>
      <c r="T62" s="276">
        <v>64</v>
      </c>
      <c r="U62" s="276">
        <v>202659</v>
      </c>
      <c r="V62" s="252">
        <v>59</v>
      </c>
      <c r="W62" s="253">
        <v>5680</v>
      </c>
      <c r="X62" s="276">
        <v>64</v>
      </c>
      <c r="Y62" s="276">
        <v>18544</v>
      </c>
      <c r="Z62" s="252"/>
      <c r="AA62" s="253"/>
      <c r="AB62" s="276"/>
      <c r="AC62" s="276"/>
      <c r="AD62" s="252"/>
      <c r="AE62" s="253"/>
      <c r="AF62" s="276"/>
      <c r="AG62" s="276"/>
      <c r="AH62" s="252"/>
      <c r="AI62" s="253"/>
      <c r="AJ62" s="267"/>
      <c r="AK62" s="268"/>
      <c r="AL62" s="252">
        <v>59</v>
      </c>
      <c r="AM62" s="253">
        <v>330060</v>
      </c>
      <c r="AN62" s="276">
        <v>0</v>
      </c>
      <c r="AO62" s="276">
        <v>0</v>
      </c>
      <c r="AP62" s="255">
        <f t="shared" si="8"/>
        <v>59</v>
      </c>
      <c r="AQ62" s="256">
        <f t="shared" si="9"/>
        <v>870441</v>
      </c>
      <c r="AR62" s="257">
        <f t="shared" si="10"/>
        <v>64</v>
      </c>
      <c r="AS62" s="258">
        <f t="shared" si="11"/>
        <v>592082</v>
      </c>
      <c r="AT62" s="259">
        <v>4</v>
      </c>
      <c r="AU62" s="253">
        <v>26672</v>
      </c>
      <c r="AV62" s="267">
        <v>4</v>
      </c>
      <c r="AW62" s="268">
        <v>27361</v>
      </c>
      <c r="AX62" s="252"/>
      <c r="AY62" s="253"/>
      <c r="AZ62" s="267"/>
      <c r="BA62" s="268"/>
      <c r="BB62" s="252"/>
      <c r="BC62" s="253"/>
      <c r="BD62" s="267"/>
      <c r="BE62" s="268"/>
      <c r="BF62" s="252">
        <v>4</v>
      </c>
      <c r="BG62" s="253">
        <v>14574</v>
      </c>
      <c r="BH62" s="267">
        <v>4</v>
      </c>
      <c r="BI62" s="268">
        <v>14951</v>
      </c>
      <c r="BJ62" s="252">
        <v>4</v>
      </c>
      <c r="BK62" s="253">
        <v>438</v>
      </c>
      <c r="BL62" s="267">
        <v>4</v>
      </c>
      <c r="BM62" s="268">
        <v>1368</v>
      </c>
      <c r="BN62" s="252"/>
      <c r="BO62" s="253"/>
      <c r="BP62" s="267"/>
      <c r="BQ62" s="268"/>
      <c r="BR62" s="252"/>
      <c r="BS62" s="253"/>
      <c r="BT62" s="267"/>
      <c r="BU62" s="268"/>
      <c r="BV62" s="252"/>
      <c r="BW62" s="253"/>
      <c r="BX62" s="267"/>
      <c r="BY62" s="268"/>
      <c r="BZ62" s="252">
        <v>4</v>
      </c>
      <c r="CA62" s="253">
        <v>12756</v>
      </c>
      <c r="CB62" s="267">
        <v>0</v>
      </c>
      <c r="CC62" s="268">
        <v>0</v>
      </c>
      <c r="CD62" s="255">
        <f t="shared" si="12"/>
        <v>4</v>
      </c>
      <c r="CE62" s="256">
        <f t="shared" si="13"/>
        <v>54440</v>
      </c>
      <c r="CF62" s="257">
        <f t="shared" si="14"/>
        <v>4</v>
      </c>
      <c r="CG62" s="261">
        <f t="shared" si="15"/>
        <v>43680</v>
      </c>
    </row>
    <row r="63" spans="1:85" s="263" customFormat="1" ht="12.75" customHeight="1">
      <c r="A63" s="273" t="s">
        <v>743</v>
      </c>
      <c r="B63" s="274" t="s">
        <v>760</v>
      </c>
      <c r="C63" s="274"/>
      <c r="D63" s="273">
        <v>106795</v>
      </c>
      <c r="E63" s="275">
        <v>10</v>
      </c>
      <c r="F63" s="252">
        <v>30</v>
      </c>
      <c r="G63" s="253">
        <v>162994</v>
      </c>
      <c r="H63" s="276">
        <v>31</v>
      </c>
      <c r="I63" s="276">
        <v>165812</v>
      </c>
      <c r="J63" s="252">
        <v>28</v>
      </c>
      <c r="K63" s="253">
        <v>154536</v>
      </c>
      <c r="L63" s="276">
        <v>29</v>
      </c>
      <c r="M63" s="276">
        <v>165648</v>
      </c>
      <c r="N63" s="252"/>
      <c r="O63" s="253"/>
      <c r="P63" s="276"/>
      <c r="Q63" s="276"/>
      <c r="R63" s="252">
        <v>30</v>
      </c>
      <c r="S63" s="253">
        <v>92990</v>
      </c>
      <c r="T63" s="276">
        <v>31</v>
      </c>
      <c r="U63" s="276">
        <v>94705</v>
      </c>
      <c r="V63" s="252">
        <v>30</v>
      </c>
      <c r="W63" s="253">
        <v>243</v>
      </c>
      <c r="X63" s="276">
        <v>31</v>
      </c>
      <c r="Y63" s="276">
        <v>13742</v>
      </c>
      <c r="Z63" s="252">
        <v>30</v>
      </c>
      <c r="AA63" s="253">
        <v>1512</v>
      </c>
      <c r="AB63" s="276">
        <v>31</v>
      </c>
      <c r="AC63" s="276">
        <v>1562</v>
      </c>
      <c r="AD63" s="252"/>
      <c r="AE63" s="253"/>
      <c r="AF63" s="276">
        <v>31</v>
      </c>
      <c r="AG63" s="276">
        <v>1486</v>
      </c>
      <c r="AH63" s="252"/>
      <c r="AI63" s="253"/>
      <c r="AJ63" s="267"/>
      <c r="AK63" s="268"/>
      <c r="AL63" s="252"/>
      <c r="AM63" s="253"/>
      <c r="AN63" s="276"/>
      <c r="AO63" s="276"/>
      <c r="AP63" s="255">
        <f t="shared" si="8"/>
        <v>30</v>
      </c>
      <c r="AQ63" s="256">
        <f t="shared" si="9"/>
        <v>412275</v>
      </c>
      <c r="AR63" s="257">
        <f t="shared" si="10"/>
        <v>31</v>
      </c>
      <c r="AS63" s="258">
        <f t="shared" si="11"/>
        <v>442955</v>
      </c>
      <c r="AT63" s="259">
        <v>3</v>
      </c>
      <c r="AU63" s="253">
        <v>15716</v>
      </c>
      <c r="AV63" s="267">
        <v>3</v>
      </c>
      <c r="AW63" s="268">
        <v>15716</v>
      </c>
      <c r="AX63" s="252">
        <v>3</v>
      </c>
      <c r="AY63" s="253">
        <v>17136</v>
      </c>
      <c r="AZ63" s="267">
        <v>3</v>
      </c>
      <c r="BA63" s="268">
        <v>17136</v>
      </c>
      <c r="BB63" s="252"/>
      <c r="BC63" s="253"/>
      <c r="BD63" s="267"/>
      <c r="BE63" s="268"/>
      <c r="BF63" s="252">
        <v>3</v>
      </c>
      <c r="BG63" s="253">
        <v>9113</v>
      </c>
      <c r="BH63" s="267">
        <v>3</v>
      </c>
      <c r="BI63" s="268">
        <v>9113</v>
      </c>
      <c r="BJ63" s="252">
        <v>3</v>
      </c>
      <c r="BK63" s="253">
        <v>24</v>
      </c>
      <c r="BL63" s="267">
        <v>3</v>
      </c>
      <c r="BM63" s="268">
        <v>1322</v>
      </c>
      <c r="BN63" s="252">
        <v>3</v>
      </c>
      <c r="BO63" s="253">
        <v>151</v>
      </c>
      <c r="BP63" s="267">
        <v>3</v>
      </c>
      <c r="BQ63" s="268">
        <v>151</v>
      </c>
      <c r="BR63" s="252"/>
      <c r="BS63" s="253"/>
      <c r="BT63" s="267">
        <v>3</v>
      </c>
      <c r="BU63" s="268">
        <v>143</v>
      </c>
      <c r="BV63" s="252"/>
      <c r="BW63" s="253"/>
      <c r="BX63" s="267"/>
      <c r="BY63" s="268"/>
      <c r="BZ63" s="252"/>
      <c r="CA63" s="253"/>
      <c r="CB63" s="267"/>
      <c r="CC63" s="268"/>
      <c r="CD63" s="255">
        <f t="shared" si="12"/>
        <v>3</v>
      </c>
      <c r="CE63" s="256">
        <f t="shared" si="13"/>
        <v>42140</v>
      </c>
      <c r="CF63" s="257">
        <f t="shared" si="14"/>
        <v>3</v>
      </c>
      <c r="CG63" s="261">
        <f t="shared" si="15"/>
        <v>43581</v>
      </c>
    </row>
    <row r="64" spans="1:85" s="263" customFormat="1" ht="12.75" customHeight="1">
      <c r="A64" s="273" t="s">
        <v>743</v>
      </c>
      <c r="B64" s="274" t="s">
        <v>761</v>
      </c>
      <c r="C64" s="274"/>
      <c r="D64" s="273">
        <v>106883</v>
      </c>
      <c r="E64" s="275">
        <v>10</v>
      </c>
      <c r="F64" s="252">
        <v>29</v>
      </c>
      <c r="G64" s="253">
        <v>193822</v>
      </c>
      <c r="H64" s="276">
        <v>28</v>
      </c>
      <c r="I64" s="276">
        <v>180978</v>
      </c>
      <c r="J64" s="252">
        <v>29</v>
      </c>
      <c r="K64" s="253">
        <v>169299</v>
      </c>
      <c r="L64" s="276">
        <v>28</v>
      </c>
      <c r="M64" s="276">
        <v>164171</v>
      </c>
      <c r="N64" s="252">
        <v>29</v>
      </c>
      <c r="O64" s="253">
        <v>5538</v>
      </c>
      <c r="P64" s="276">
        <v>28</v>
      </c>
      <c r="Q64" s="276">
        <v>5214</v>
      </c>
      <c r="R64" s="252">
        <v>29</v>
      </c>
      <c r="S64" s="253">
        <v>105910</v>
      </c>
      <c r="T64" s="276">
        <v>28</v>
      </c>
      <c r="U64" s="276">
        <v>99718</v>
      </c>
      <c r="V64" s="252">
        <v>29</v>
      </c>
      <c r="W64" s="253">
        <v>2215</v>
      </c>
      <c r="X64" s="276">
        <v>28</v>
      </c>
      <c r="Y64" s="276">
        <v>6909</v>
      </c>
      <c r="Z64" s="252">
        <v>29</v>
      </c>
      <c r="AA64" s="253">
        <v>2332</v>
      </c>
      <c r="AB64" s="276">
        <v>28</v>
      </c>
      <c r="AC64" s="276">
        <v>1981</v>
      </c>
      <c r="AD64" s="252"/>
      <c r="AE64" s="253"/>
      <c r="AF64" s="276"/>
      <c r="AG64" s="276"/>
      <c r="AH64" s="252">
        <v>2</v>
      </c>
      <c r="AI64" s="253">
        <v>408</v>
      </c>
      <c r="AJ64" s="267">
        <v>1</v>
      </c>
      <c r="AK64" s="268">
        <v>272</v>
      </c>
      <c r="AL64" s="252"/>
      <c r="AM64" s="253"/>
      <c r="AN64" s="276"/>
      <c r="AO64" s="276"/>
      <c r="AP64" s="255">
        <f t="shared" si="8"/>
        <v>29</v>
      </c>
      <c r="AQ64" s="256">
        <f t="shared" si="9"/>
        <v>479524</v>
      </c>
      <c r="AR64" s="257">
        <f t="shared" si="10"/>
        <v>28</v>
      </c>
      <c r="AS64" s="258">
        <f t="shared" si="11"/>
        <v>459243</v>
      </c>
      <c r="AT64" s="259">
        <v>8</v>
      </c>
      <c r="AU64" s="253">
        <v>52255</v>
      </c>
      <c r="AV64" s="267">
        <v>6</v>
      </c>
      <c r="AW64" s="268">
        <v>42614</v>
      </c>
      <c r="AX64" s="252">
        <v>8</v>
      </c>
      <c r="AY64" s="253">
        <v>46362</v>
      </c>
      <c r="AZ64" s="267">
        <v>6</v>
      </c>
      <c r="BA64" s="268">
        <v>35115</v>
      </c>
      <c r="BB64" s="252">
        <v>8</v>
      </c>
      <c r="BC64" s="253">
        <v>1541</v>
      </c>
      <c r="BD64" s="267">
        <v>6</v>
      </c>
      <c r="BE64" s="268">
        <v>1218</v>
      </c>
      <c r="BF64" s="252">
        <v>8</v>
      </c>
      <c r="BG64" s="253">
        <v>29473</v>
      </c>
      <c r="BH64" s="267">
        <v>6</v>
      </c>
      <c r="BI64" s="268">
        <v>23286</v>
      </c>
      <c r="BJ64" s="252">
        <v>8</v>
      </c>
      <c r="BK64" s="253">
        <v>231</v>
      </c>
      <c r="BL64" s="267">
        <v>6</v>
      </c>
      <c r="BM64" s="268">
        <v>1613</v>
      </c>
      <c r="BN64" s="252">
        <v>8</v>
      </c>
      <c r="BO64" s="253">
        <v>643</v>
      </c>
      <c r="BP64" s="267">
        <v>6</v>
      </c>
      <c r="BQ64" s="268">
        <v>1218</v>
      </c>
      <c r="BR64" s="252"/>
      <c r="BS64" s="253"/>
      <c r="BT64" s="267"/>
      <c r="BU64" s="268"/>
      <c r="BV64" s="252">
        <v>2</v>
      </c>
      <c r="BW64" s="253">
        <v>876</v>
      </c>
      <c r="BX64" s="267">
        <v>1</v>
      </c>
      <c r="BY64" s="268">
        <v>125</v>
      </c>
      <c r="BZ64" s="252"/>
      <c r="CA64" s="253"/>
      <c r="CB64" s="267"/>
      <c r="CC64" s="268"/>
      <c r="CD64" s="255">
        <f t="shared" si="12"/>
        <v>8</v>
      </c>
      <c r="CE64" s="256">
        <f t="shared" si="13"/>
        <v>131381</v>
      </c>
      <c r="CF64" s="257">
        <f t="shared" si="14"/>
        <v>6</v>
      </c>
      <c r="CG64" s="261">
        <f t="shared" si="15"/>
        <v>105189</v>
      </c>
    </row>
    <row r="65" spans="1:105" s="263" customFormat="1" ht="12.75" customHeight="1">
      <c r="A65" s="273" t="s">
        <v>743</v>
      </c>
      <c r="B65" s="274" t="s">
        <v>762</v>
      </c>
      <c r="C65" s="274"/>
      <c r="D65" s="273">
        <v>107318</v>
      </c>
      <c r="E65" s="275">
        <v>10</v>
      </c>
      <c r="F65" s="252">
        <v>23</v>
      </c>
      <c r="G65" s="253">
        <v>132480</v>
      </c>
      <c r="H65" s="276">
        <v>28</v>
      </c>
      <c r="I65" s="276">
        <v>160745</v>
      </c>
      <c r="J65" s="252">
        <v>21</v>
      </c>
      <c r="K65" s="253">
        <v>114552</v>
      </c>
      <c r="L65" s="276">
        <v>25</v>
      </c>
      <c r="M65" s="276">
        <v>143112</v>
      </c>
      <c r="N65" s="252">
        <v>23</v>
      </c>
      <c r="O65" s="253">
        <v>4419</v>
      </c>
      <c r="P65" s="276">
        <v>28</v>
      </c>
      <c r="Q65" s="276">
        <v>5378</v>
      </c>
      <c r="R65" s="252">
        <v>23</v>
      </c>
      <c r="S65" s="253">
        <v>72391</v>
      </c>
      <c r="T65" s="276">
        <v>28</v>
      </c>
      <c r="U65" s="276">
        <v>88093</v>
      </c>
      <c r="V65" s="252">
        <v>23</v>
      </c>
      <c r="W65" s="253">
        <v>23</v>
      </c>
      <c r="X65" s="276">
        <v>28</v>
      </c>
      <c r="Y65" s="276">
        <v>28</v>
      </c>
      <c r="Z65" s="252">
        <v>23</v>
      </c>
      <c r="AA65" s="253">
        <v>1159</v>
      </c>
      <c r="AB65" s="276">
        <v>28</v>
      </c>
      <c r="AC65" s="276">
        <v>1411</v>
      </c>
      <c r="AD65" s="252">
        <v>23</v>
      </c>
      <c r="AE65" s="253">
        <v>23</v>
      </c>
      <c r="AF65" s="276">
        <v>28</v>
      </c>
      <c r="AG65" s="276">
        <v>28</v>
      </c>
      <c r="AH65" s="252"/>
      <c r="AI65" s="253"/>
      <c r="AJ65" s="267"/>
      <c r="AK65" s="268"/>
      <c r="AL65" s="252"/>
      <c r="AM65" s="253"/>
      <c r="AN65" s="276"/>
      <c r="AO65" s="276"/>
      <c r="AP65" s="255">
        <f t="shared" si="8"/>
        <v>23</v>
      </c>
      <c r="AQ65" s="256">
        <f t="shared" si="9"/>
        <v>325047</v>
      </c>
      <c r="AR65" s="257">
        <f t="shared" si="10"/>
        <v>28</v>
      </c>
      <c r="AS65" s="258">
        <f t="shared" si="11"/>
        <v>398795</v>
      </c>
      <c r="AT65" s="259">
        <v>8</v>
      </c>
      <c r="AU65" s="253">
        <v>58030</v>
      </c>
      <c r="AV65" s="267">
        <v>12</v>
      </c>
      <c r="AW65" s="268">
        <v>91484</v>
      </c>
      <c r="AX65" s="252">
        <v>8</v>
      </c>
      <c r="AY65" s="253">
        <v>34896</v>
      </c>
      <c r="AZ65" s="267">
        <v>10</v>
      </c>
      <c r="BA65" s="268">
        <v>51720</v>
      </c>
      <c r="BB65" s="252">
        <v>8</v>
      </c>
      <c r="BC65" s="253">
        <v>1935</v>
      </c>
      <c r="BD65" s="267">
        <v>12</v>
      </c>
      <c r="BE65" s="268">
        <v>3052</v>
      </c>
      <c r="BF65" s="252">
        <v>8</v>
      </c>
      <c r="BG65" s="253">
        <v>31709</v>
      </c>
      <c r="BH65" s="267">
        <v>12</v>
      </c>
      <c r="BI65" s="268">
        <v>49990</v>
      </c>
      <c r="BJ65" s="252">
        <v>8</v>
      </c>
      <c r="BK65" s="253">
        <v>8</v>
      </c>
      <c r="BL65" s="267">
        <v>12</v>
      </c>
      <c r="BM65" s="268">
        <v>12</v>
      </c>
      <c r="BN65" s="252">
        <v>8</v>
      </c>
      <c r="BO65" s="253">
        <v>403</v>
      </c>
      <c r="BP65" s="267">
        <v>12</v>
      </c>
      <c r="BQ65" s="268">
        <v>605</v>
      </c>
      <c r="BR65" s="252">
        <v>8</v>
      </c>
      <c r="BS65" s="253">
        <v>8</v>
      </c>
      <c r="BT65" s="267">
        <v>12</v>
      </c>
      <c r="BU65" s="268">
        <v>12</v>
      </c>
      <c r="BV65" s="252"/>
      <c r="BW65" s="253"/>
      <c r="BX65" s="267"/>
      <c r="BY65" s="268"/>
      <c r="BZ65" s="252"/>
      <c r="CA65" s="253"/>
      <c r="CB65" s="267"/>
      <c r="CC65" s="268"/>
      <c r="CD65" s="255">
        <f t="shared" si="12"/>
        <v>8</v>
      </c>
      <c r="CE65" s="256">
        <f t="shared" si="13"/>
        <v>126989</v>
      </c>
      <c r="CF65" s="257">
        <f t="shared" si="14"/>
        <v>12</v>
      </c>
      <c r="CG65" s="261">
        <f t="shared" si="15"/>
        <v>196875</v>
      </c>
    </row>
    <row r="66" spans="1:105" s="263" customFormat="1" ht="12.75" customHeight="1">
      <c r="A66" s="273" t="s">
        <v>743</v>
      </c>
      <c r="B66" s="474" t="s">
        <v>763</v>
      </c>
      <c r="C66" s="475" t="s">
        <v>1194</v>
      </c>
      <c r="D66" s="273">
        <v>106980</v>
      </c>
      <c r="E66" s="476">
        <v>9</v>
      </c>
      <c r="F66" s="252">
        <v>73</v>
      </c>
      <c r="G66" s="253">
        <v>441846</v>
      </c>
      <c r="H66" s="276">
        <v>77</v>
      </c>
      <c r="I66" s="276">
        <v>461230</v>
      </c>
      <c r="J66" s="252">
        <v>68</v>
      </c>
      <c r="K66" s="253">
        <v>364752</v>
      </c>
      <c r="L66" s="276">
        <v>72</v>
      </c>
      <c r="M66" s="276">
        <v>387936</v>
      </c>
      <c r="N66" s="252">
        <v>73</v>
      </c>
      <c r="O66" s="253">
        <v>9153</v>
      </c>
      <c r="P66" s="276">
        <v>77</v>
      </c>
      <c r="Q66" s="276">
        <v>9625</v>
      </c>
      <c r="R66" s="252">
        <v>73</v>
      </c>
      <c r="S66" s="253">
        <v>241437</v>
      </c>
      <c r="T66" s="276">
        <v>77</v>
      </c>
      <c r="U66" s="276">
        <v>252021</v>
      </c>
      <c r="V66" s="252">
        <v>73</v>
      </c>
      <c r="W66" s="253">
        <v>10414</v>
      </c>
      <c r="X66" s="276">
        <v>77</v>
      </c>
      <c r="Y66" s="276">
        <v>22715</v>
      </c>
      <c r="Z66" s="252">
        <v>73</v>
      </c>
      <c r="AA66" s="253">
        <v>8410</v>
      </c>
      <c r="AB66" s="276">
        <v>77</v>
      </c>
      <c r="AC66" s="276">
        <v>8855</v>
      </c>
      <c r="AD66" s="252"/>
      <c r="AE66" s="253"/>
      <c r="AF66" s="276">
        <v>77</v>
      </c>
      <c r="AG66" s="276">
        <v>5313</v>
      </c>
      <c r="AH66" s="252">
        <v>8</v>
      </c>
      <c r="AI66" s="253">
        <v>8406</v>
      </c>
      <c r="AJ66" s="267">
        <v>13</v>
      </c>
      <c r="AK66" s="268">
        <v>8597</v>
      </c>
      <c r="AL66" s="252"/>
      <c r="AM66" s="253"/>
      <c r="AN66" s="276"/>
      <c r="AO66" s="276"/>
      <c r="AP66" s="255">
        <f t="shared" si="8"/>
        <v>73</v>
      </c>
      <c r="AQ66" s="256">
        <f t="shared" si="9"/>
        <v>1084418</v>
      </c>
      <c r="AR66" s="257">
        <f t="shared" si="10"/>
        <v>77</v>
      </c>
      <c r="AS66" s="258">
        <f t="shared" si="11"/>
        <v>1156292</v>
      </c>
      <c r="AT66" s="259">
        <v>18</v>
      </c>
      <c r="AU66" s="253">
        <v>134575</v>
      </c>
      <c r="AV66" s="267">
        <v>14</v>
      </c>
      <c r="AW66" s="268">
        <v>103768</v>
      </c>
      <c r="AX66" s="252">
        <v>15</v>
      </c>
      <c r="AY66" s="253">
        <v>80460</v>
      </c>
      <c r="AZ66" s="267">
        <v>11</v>
      </c>
      <c r="BA66" s="268">
        <v>59268</v>
      </c>
      <c r="BB66" s="252">
        <v>18</v>
      </c>
      <c r="BC66" s="253">
        <v>2788</v>
      </c>
      <c r="BD66" s="267">
        <v>14</v>
      </c>
      <c r="BE66" s="268">
        <v>2142</v>
      </c>
      <c r="BF66" s="252">
        <v>18</v>
      </c>
      <c r="BG66" s="253">
        <v>73536</v>
      </c>
      <c r="BH66" s="267">
        <v>14</v>
      </c>
      <c r="BI66" s="268">
        <v>56700</v>
      </c>
      <c r="BJ66" s="252">
        <v>18</v>
      </c>
      <c r="BK66" s="253">
        <v>3173</v>
      </c>
      <c r="BL66" s="267">
        <v>14</v>
      </c>
      <c r="BM66" s="268">
        <v>5110</v>
      </c>
      <c r="BN66" s="252">
        <v>18</v>
      </c>
      <c r="BO66" s="253">
        <v>2070</v>
      </c>
      <c r="BP66" s="267">
        <v>14</v>
      </c>
      <c r="BQ66" s="268">
        <v>1610</v>
      </c>
      <c r="BR66" s="252"/>
      <c r="BS66" s="253"/>
      <c r="BT66" s="267"/>
      <c r="BU66" s="268"/>
      <c r="BV66" s="252"/>
      <c r="BW66" s="253"/>
      <c r="BX66" s="267">
        <v>1</v>
      </c>
      <c r="BY66" s="268">
        <v>926</v>
      </c>
      <c r="BZ66" s="252"/>
      <c r="CA66" s="253"/>
      <c r="CB66" s="267"/>
      <c r="CC66" s="268"/>
      <c r="CD66" s="255">
        <f t="shared" si="12"/>
        <v>18</v>
      </c>
      <c r="CE66" s="256">
        <f t="shared" si="13"/>
        <v>296602</v>
      </c>
      <c r="CF66" s="257">
        <f t="shared" si="14"/>
        <v>14</v>
      </c>
      <c r="CG66" s="261">
        <f t="shared" si="15"/>
        <v>229524</v>
      </c>
    </row>
    <row r="67" spans="1:105" s="263" customFormat="1" ht="12.75" customHeight="1">
      <c r="A67" s="273" t="s">
        <v>743</v>
      </c>
      <c r="B67" s="274" t="s">
        <v>764</v>
      </c>
      <c r="C67" s="274"/>
      <c r="D67" s="273">
        <v>107460</v>
      </c>
      <c r="E67" s="275">
        <v>10</v>
      </c>
      <c r="F67" s="252">
        <v>57</v>
      </c>
      <c r="G67" s="253">
        <v>357388</v>
      </c>
      <c r="H67" s="276">
        <v>56</v>
      </c>
      <c r="I67" s="276">
        <v>366563</v>
      </c>
      <c r="J67" s="252">
        <v>48</v>
      </c>
      <c r="K67" s="253">
        <v>544896</v>
      </c>
      <c r="L67" s="276">
        <v>45</v>
      </c>
      <c r="M67" s="276">
        <v>511056</v>
      </c>
      <c r="N67" s="252">
        <v>57</v>
      </c>
      <c r="O67" s="253">
        <v>7972</v>
      </c>
      <c r="P67" s="276">
        <v>56</v>
      </c>
      <c r="Q67" s="276">
        <v>7593</v>
      </c>
      <c r="R67" s="252">
        <v>57</v>
      </c>
      <c r="S67" s="253">
        <v>210309</v>
      </c>
      <c r="T67" s="276">
        <v>56</v>
      </c>
      <c r="U67" s="276">
        <v>200301</v>
      </c>
      <c r="V67" s="252">
        <v>57</v>
      </c>
      <c r="W67" s="253">
        <v>13471</v>
      </c>
      <c r="X67" s="276">
        <v>56</v>
      </c>
      <c r="Y67" s="276">
        <v>2357</v>
      </c>
      <c r="Z67" s="252">
        <v>57</v>
      </c>
      <c r="AA67" s="253">
        <v>5223</v>
      </c>
      <c r="AB67" s="276">
        <v>56</v>
      </c>
      <c r="AC67" s="276">
        <v>4975</v>
      </c>
      <c r="AD67" s="252">
        <v>57</v>
      </c>
      <c r="AE67" s="253">
        <v>17594</v>
      </c>
      <c r="AF67" s="276">
        <v>56</v>
      </c>
      <c r="AG67" s="276">
        <v>0</v>
      </c>
      <c r="AH67" s="252">
        <v>6</v>
      </c>
      <c r="AI67" s="253">
        <v>4993</v>
      </c>
      <c r="AJ67" s="267">
        <v>7</v>
      </c>
      <c r="AK67" s="268">
        <v>5956</v>
      </c>
      <c r="AL67" s="252"/>
      <c r="AM67" s="253"/>
      <c r="AN67" s="276"/>
      <c r="AO67" s="276"/>
      <c r="AP67" s="255">
        <f t="shared" si="8"/>
        <v>57</v>
      </c>
      <c r="AQ67" s="256">
        <f t="shared" si="9"/>
        <v>1161846</v>
      </c>
      <c r="AR67" s="257">
        <f t="shared" si="10"/>
        <v>56</v>
      </c>
      <c r="AS67" s="258">
        <f t="shared" si="11"/>
        <v>1098801</v>
      </c>
      <c r="AT67" s="259">
        <v>9</v>
      </c>
      <c r="AU67" s="253">
        <v>64792</v>
      </c>
      <c r="AV67" s="267">
        <v>9</v>
      </c>
      <c r="AW67" s="268">
        <v>70614</v>
      </c>
      <c r="AX67" s="252">
        <v>9</v>
      </c>
      <c r="AY67" s="253">
        <v>102168</v>
      </c>
      <c r="AZ67" s="267">
        <v>9</v>
      </c>
      <c r="BA67" s="268">
        <v>102168</v>
      </c>
      <c r="BB67" s="252">
        <v>9</v>
      </c>
      <c r="BC67" s="253">
        <v>1445</v>
      </c>
      <c r="BD67" s="267">
        <v>9</v>
      </c>
      <c r="BE67" s="268">
        <v>1463</v>
      </c>
      <c r="BF67" s="252">
        <v>9</v>
      </c>
      <c r="BG67" s="253">
        <v>38128</v>
      </c>
      <c r="BH67" s="267">
        <v>9</v>
      </c>
      <c r="BI67" s="268">
        <v>38586</v>
      </c>
      <c r="BJ67" s="252">
        <v>9</v>
      </c>
      <c r="BK67" s="253">
        <v>2442</v>
      </c>
      <c r="BL67" s="267">
        <v>9</v>
      </c>
      <c r="BM67" s="268">
        <v>454</v>
      </c>
      <c r="BN67" s="252">
        <v>9</v>
      </c>
      <c r="BO67" s="253">
        <v>947</v>
      </c>
      <c r="BP67" s="267">
        <v>9</v>
      </c>
      <c r="BQ67" s="268">
        <v>958</v>
      </c>
      <c r="BR67" s="252">
        <v>9</v>
      </c>
      <c r="BS67" s="253">
        <v>3189</v>
      </c>
      <c r="BT67" s="267">
        <v>9</v>
      </c>
      <c r="BU67" s="268">
        <v>0</v>
      </c>
      <c r="BV67" s="252">
        <v>3</v>
      </c>
      <c r="BW67" s="253">
        <v>1509</v>
      </c>
      <c r="BX67" s="267">
        <v>2</v>
      </c>
      <c r="BY67" s="268">
        <v>1006</v>
      </c>
      <c r="BZ67" s="252"/>
      <c r="CA67" s="253"/>
      <c r="CB67" s="267"/>
      <c r="CC67" s="268"/>
      <c r="CD67" s="255">
        <f t="shared" si="12"/>
        <v>9</v>
      </c>
      <c r="CE67" s="256">
        <f t="shared" si="13"/>
        <v>214620</v>
      </c>
      <c r="CF67" s="257">
        <f t="shared" si="14"/>
        <v>9</v>
      </c>
      <c r="CG67" s="261">
        <f t="shared" si="15"/>
        <v>215249</v>
      </c>
    </row>
    <row r="68" spans="1:105" s="263" customFormat="1" ht="12.75" customHeight="1">
      <c r="A68" s="273" t="s">
        <v>743</v>
      </c>
      <c r="B68" s="274" t="s">
        <v>765</v>
      </c>
      <c r="C68" s="274"/>
      <c r="D68" s="273">
        <v>107521</v>
      </c>
      <c r="E68" s="275">
        <v>10</v>
      </c>
      <c r="F68" s="252">
        <v>32</v>
      </c>
      <c r="G68" s="253">
        <v>187737</v>
      </c>
      <c r="H68" s="276">
        <v>32</v>
      </c>
      <c r="I68" s="276">
        <v>186486</v>
      </c>
      <c r="J68" s="252">
        <v>21</v>
      </c>
      <c r="K68" s="253">
        <v>98280</v>
      </c>
      <c r="L68" s="276">
        <v>29</v>
      </c>
      <c r="M68" s="276">
        <v>135720</v>
      </c>
      <c r="N68" s="252"/>
      <c r="O68" s="253"/>
      <c r="P68" s="276"/>
      <c r="Q68" s="276"/>
      <c r="R68" s="252">
        <v>32</v>
      </c>
      <c r="S68" s="253">
        <v>102249</v>
      </c>
      <c r="T68" s="276">
        <v>32</v>
      </c>
      <c r="U68" s="276">
        <v>105330</v>
      </c>
      <c r="V68" s="252">
        <v>32</v>
      </c>
      <c r="W68" s="253">
        <v>0</v>
      </c>
      <c r="X68" s="276">
        <v>32</v>
      </c>
      <c r="Y68" s="276">
        <v>4263</v>
      </c>
      <c r="Z68" s="252"/>
      <c r="AA68" s="253"/>
      <c r="AB68" s="276"/>
      <c r="AC68" s="276"/>
      <c r="AD68" s="252">
        <v>32</v>
      </c>
      <c r="AE68" s="253">
        <v>6227</v>
      </c>
      <c r="AF68" s="276">
        <v>32</v>
      </c>
      <c r="AG68" s="276">
        <v>646</v>
      </c>
      <c r="AH68" s="252">
        <v>12</v>
      </c>
      <c r="AI68" s="253">
        <v>8933</v>
      </c>
      <c r="AJ68" s="267">
        <v>7</v>
      </c>
      <c r="AK68" s="268">
        <v>5936</v>
      </c>
      <c r="AL68" s="252">
        <v>21</v>
      </c>
      <c r="AM68" s="253">
        <v>4762</v>
      </c>
      <c r="AN68" s="276">
        <v>0</v>
      </c>
      <c r="AO68" s="276">
        <v>0</v>
      </c>
      <c r="AP68" s="255">
        <f t="shared" si="8"/>
        <v>32</v>
      </c>
      <c r="AQ68" s="256">
        <f t="shared" si="9"/>
        <v>408188</v>
      </c>
      <c r="AR68" s="257">
        <f t="shared" si="10"/>
        <v>32</v>
      </c>
      <c r="AS68" s="258">
        <f t="shared" si="11"/>
        <v>438381</v>
      </c>
      <c r="AT68" s="259">
        <v>7</v>
      </c>
      <c r="AU68" s="253">
        <v>40794</v>
      </c>
      <c r="AV68" s="267">
        <v>8</v>
      </c>
      <c r="AW68" s="268">
        <v>44570</v>
      </c>
      <c r="AX68" s="252">
        <v>6</v>
      </c>
      <c r="AY68" s="253">
        <v>28080</v>
      </c>
      <c r="AZ68" s="267">
        <v>7</v>
      </c>
      <c r="BA68" s="268">
        <v>32760</v>
      </c>
      <c r="BB68" s="252"/>
      <c r="BC68" s="253"/>
      <c r="BD68" s="267"/>
      <c r="BE68" s="268"/>
      <c r="BF68" s="252">
        <v>7</v>
      </c>
      <c r="BG68" s="253">
        <v>22218</v>
      </c>
      <c r="BH68" s="267">
        <v>8</v>
      </c>
      <c r="BI68" s="268">
        <v>25174</v>
      </c>
      <c r="BJ68" s="252">
        <v>7</v>
      </c>
      <c r="BK68" s="253">
        <v>0</v>
      </c>
      <c r="BL68" s="267">
        <v>8</v>
      </c>
      <c r="BM68" s="268">
        <v>1066</v>
      </c>
      <c r="BN68" s="252"/>
      <c r="BO68" s="253"/>
      <c r="BP68" s="267"/>
      <c r="BQ68" s="268"/>
      <c r="BR68" s="252">
        <v>7</v>
      </c>
      <c r="BS68" s="253">
        <v>1362</v>
      </c>
      <c r="BT68" s="267">
        <v>8</v>
      </c>
      <c r="BU68" s="268">
        <v>1236</v>
      </c>
      <c r="BV68" s="252"/>
      <c r="BW68" s="253"/>
      <c r="BX68" s="267"/>
      <c r="BY68" s="268"/>
      <c r="BZ68" s="252">
        <v>6</v>
      </c>
      <c r="CA68" s="253">
        <v>1237</v>
      </c>
      <c r="CB68" s="267">
        <v>0</v>
      </c>
      <c r="CC68" s="268">
        <v>0</v>
      </c>
      <c r="CD68" s="255">
        <f t="shared" si="12"/>
        <v>7</v>
      </c>
      <c r="CE68" s="256">
        <f t="shared" si="13"/>
        <v>93691</v>
      </c>
      <c r="CF68" s="257">
        <f t="shared" si="14"/>
        <v>8</v>
      </c>
      <c r="CG68" s="261">
        <f t="shared" si="15"/>
        <v>104806</v>
      </c>
    </row>
    <row r="69" spans="1:105" s="263" customFormat="1" ht="12.75" customHeight="1">
      <c r="A69" s="273" t="s">
        <v>743</v>
      </c>
      <c r="B69" s="274" t="s">
        <v>766</v>
      </c>
      <c r="C69" s="274"/>
      <c r="D69" s="273">
        <v>107549</v>
      </c>
      <c r="E69" s="275">
        <v>10</v>
      </c>
      <c r="F69" s="252">
        <v>27</v>
      </c>
      <c r="G69" s="253">
        <v>136029</v>
      </c>
      <c r="H69" s="276">
        <v>28</v>
      </c>
      <c r="I69" s="276">
        <v>140211</v>
      </c>
      <c r="J69" s="252">
        <v>27</v>
      </c>
      <c r="K69" s="253">
        <v>249312</v>
      </c>
      <c r="L69" s="276">
        <v>28</v>
      </c>
      <c r="M69" s="276">
        <v>273123</v>
      </c>
      <c r="N69" s="252">
        <v>27</v>
      </c>
      <c r="O69" s="253">
        <v>3121</v>
      </c>
      <c r="P69" s="276">
        <v>28</v>
      </c>
      <c r="Q69" s="276">
        <v>3246</v>
      </c>
      <c r="R69" s="252">
        <v>27</v>
      </c>
      <c r="S69" s="253">
        <v>82333</v>
      </c>
      <c r="T69" s="276">
        <v>28</v>
      </c>
      <c r="U69" s="276">
        <v>85622</v>
      </c>
      <c r="V69" s="252">
        <v>27</v>
      </c>
      <c r="W69" s="253">
        <v>0</v>
      </c>
      <c r="X69" s="276">
        <v>28</v>
      </c>
      <c r="Y69" s="276">
        <v>0</v>
      </c>
      <c r="Z69" s="252"/>
      <c r="AA69" s="253"/>
      <c r="AB69" s="276"/>
      <c r="AC69" s="276"/>
      <c r="AD69" s="252">
        <v>27</v>
      </c>
      <c r="AE69" s="253">
        <v>0</v>
      </c>
      <c r="AF69" s="276">
        <v>28</v>
      </c>
      <c r="AG69" s="276">
        <v>0</v>
      </c>
      <c r="AH69" s="252">
        <v>12</v>
      </c>
      <c r="AI69" s="253">
        <v>16960</v>
      </c>
      <c r="AJ69" s="267">
        <v>7</v>
      </c>
      <c r="AK69" s="268">
        <v>7555</v>
      </c>
      <c r="AL69" s="252"/>
      <c r="AM69" s="253"/>
      <c r="AN69" s="276"/>
      <c r="AO69" s="276"/>
      <c r="AP69" s="255">
        <f t="shared" si="8"/>
        <v>27</v>
      </c>
      <c r="AQ69" s="256">
        <f t="shared" si="9"/>
        <v>487755</v>
      </c>
      <c r="AR69" s="257">
        <f t="shared" si="10"/>
        <v>28</v>
      </c>
      <c r="AS69" s="258">
        <f t="shared" si="11"/>
        <v>509757</v>
      </c>
      <c r="AT69" s="259">
        <v>6</v>
      </c>
      <c r="AU69" s="253">
        <v>35089</v>
      </c>
      <c r="AV69" s="267">
        <v>7</v>
      </c>
      <c r="AW69" s="268">
        <v>41022</v>
      </c>
      <c r="AX69" s="252">
        <v>6</v>
      </c>
      <c r="AY69" s="253">
        <v>57632</v>
      </c>
      <c r="AZ69" s="267">
        <v>7</v>
      </c>
      <c r="BA69" s="268">
        <v>69377</v>
      </c>
      <c r="BB69" s="252">
        <v>6</v>
      </c>
      <c r="BC69" s="253">
        <v>848</v>
      </c>
      <c r="BD69" s="267">
        <v>7</v>
      </c>
      <c r="BE69" s="268">
        <v>991</v>
      </c>
      <c r="BF69" s="252">
        <v>6</v>
      </c>
      <c r="BG69" s="253">
        <v>22369</v>
      </c>
      <c r="BH69" s="267">
        <v>7</v>
      </c>
      <c r="BI69" s="268">
        <v>26151</v>
      </c>
      <c r="BJ69" s="252">
        <v>6</v>
      </c>
      <c r="BK69" s="253">
        <v>0</v>
      </c>
      <c r="BL69" s="267">
        <v>7</v>
      </c>
      <c r="BM69" s="268">
        <v>0</v>
      </c>
      <c r="BN69" s="252"/>
      <c r="BO69" s="253"/>
      <c r="BP69" s="267"/>
      <c r="BQ69" s="268"/>
      <c r="BR69" s="252">
        <v>6</v>
      </c>
      <c r="BS69" s="253">
        <v>0</v>
      </c>
      <c r="BT69" s="267">
        <v>7</v>
      </c>
      <c r="BU69" s="268">
        <v>0</v>
      </c>
      <c r="BV69" s="252">
        <v>2</v>
      </c>
      <c r="BW69" s="253">
        <v>320</v>
      </c>
      <c r="BX69" s="267">
        <v>1</v>
      </c>
      <c r="BY69" s="268">
        <v>2555</v>
      </c>
      <c r="BZ69" s="252"/>
      <c r="CA69" s="253"/>
      <c r="CB69" s="267"/>
      <c r="CC69" s="268"/>
      <c r="CD69" s="255">
        <f t="shared" si="12"/>
        <v>6</v>
      </c>
      <c r="CE69" s="256">
        <f t="shared" si="13"/>
        <v>116258</v>
      </c>
      <c r="CF69" s="257">
        <f t="shared" si="14"/>
        <v>7</v>
      </c>
      <c r="CG69" s="261">
        <f t="shared" si="15"/>
        <v>140096</v>
      </c>
    </row>
    <row r="70" spans="1:105" s="263" customFormat="1" ht="12.75" customHeight="1">
      <c r="A70" s="273" t="s">
        <v>743</v>
      </c>
      <c r="B70" s="274" t="s">
        <v>767</v>
      </c>
      <c r="C70" s="274"/>
      <c r="D70" s="273">
        <v>107619</v>
      </c>
      <c r="E70" s="275">
        <v>10</v>
      </c>
      <c r="F70" s="252">
        <v>66</v>
      </c>
      <c r="G70" s="253">
        <v>251784</v>
      </c>
      <c r="H70" s="276">
        <v>66</v>
      </c>
      <c r="I70" s="276">
        <v>256100</v>
      </c>
      <c r="J70" s="252">
        <v>63</v>
      </c>
      <c r="K70" s="253">
        <v>332328</v>
      </c>
      <c r="L70" s="276">
        <v>62</v>
      </c>
      <c r="M70" s="276">
        <v>311225</v>
      </c>
      <c r="N70" s="252">
        <v>66</v>
      </c>
      <c r="O70" s="253">
        <v>6546</v>
      </c>
      <c r="P70" s="276">
        <v>66</v>
      </c>
      <c r="Q70" s="276">
        <v>6546</v>
      </c>
      <c r="R70" s="252">
        <v>66</v>
      </c>
      <c r="S70" s="253">
        <v>192614</v>
      </c>
      <c r="T70" s="276">
        <v>66</v>
      </c>
      <c r="U70" s="276">
        <v>195917</v>
      </c>
      <c r="V70" s="252">
        <v>66</v>
      </c>
      <c r="W70" s="253">
        <v>24927</v>
      </c>
      <c r="X70" s="276">
        <v>66</v>
      </c>
      <c r="Y70" s="276">
        <v>2817</v>
      </c>
      <c r="Z70" s="252">
        <v>66</v>
      </c>
      <c r="AA70" s="253">
        <v>6043</v>
      </c>
      <c r="AB70" s="276">
        <v>66</v>
      </c>
      <c r="AC70" s="276">
        <v>6146</v>
      </c>
      <c r="AD70" s="252">
        <v>66</v>
      </c>
      <c r="AE70" s="253">
        <v>2520</v>
      </c>
      <c r="AF70" s="276">
        <v>66</v>
      </c>
      <c r="AG70" s="276">
        <v>8707</v>
      </c>
      <c r="AH70" s="252">
        <v>15</v>
      </c>
      <c r="AI70" s="253">
        <v>8548</v>
      </c>
      <c r="AJ70" s="267">
        <v>16</v>
      </c>
      <c r="AK70" s="268">
        <v>9120</v>
      </c>
      <c r="AL70" s="252"/>
      <c r="AM70" s="253"/>
      <c r="AN70" s="276"/>
      <c r="AO70" s="276"/>
      <c r="AP70" s="255">
        <f t="shared" si="8"/>
        <v>66</v>
      </c>
      <c r="AQ70" s="256">
        <f t="shared" si="9"/>
        <v>825310</v>
      </c>
      <c r="AR70" s="257">
        <f t="shared" si="10"/>
        <v>66</v>
      </c>
      <c r="AS70" s="258">
        <f t="shared" si="11"/>
        <v>796578</v>
      </c>
      <c r="AT70" s="259">
        <v>13</v>
      </c>
      <c r="AU70" s="253">
        <v>60417</v>
      </c>
      <c r="AV70" s="267">
        <v>13</v>
      </c>
      <c r="AW70" s="268">
        <v>60269</v>
      </c>
      <c r="AX70" s="252">
        <v>13</v>
      </c>
      <c r="AY70" s="253">
        <v>69016</v>
      </c>
      <c r="AZ70" s="267">
        <v>12</v>
      </c>
      <c r="BA70" s="268">
        <v>79635</v>
      </c>
      <c r="BB70" s="252">
        <v>13</v>
      </c>
      <c r="BC70" s="253">
        <v>1571</v>
      </c>
      <c r="BD70" s="267">
        <v>13</v>
      </c>
      <c r="BE70" s="268">
        <v>1567</v>
      </c>
      <c r="BF70" s="252">
        <v>13</v>
      </c>
      <c r="BG70" s="253">
        <v>46219</v>
      </c>
      <c r="BH70" s="267">
        <v>13</v>
      </c>
      <c r="BI70" s="268">
        <v>46106</v>
      </c>
      <c r="BJ70" s="252">
        <v>13</v>
      </c>
      <c r="BK70" s="253">
        <v>5981</v>
      </c>
      <c r="BL70" s="267">
        <v>13</v>
      </c>
      <c r="BM70" s="268">
        <v>663</v>
      </c>
      <c r="BN70" s="252">
        <v>13</v>
      </c>
      <c r="BO70" s="253">
        <v>1450</v>
      </c>
      <c r="BP70" s="267">
        <v>13</v>
      </c>
      <c r="BQ70" s="268">
        <v>1447</v>
      </c>
      <c r="BR70" s="252">
        <v>12</v>
      </c>
      <c r="BS70" s="253">
        <v>605</v>
      </c>
      <c r="BT70" s="267">
        <v>13</v>
      </c>
      <c r="BU70" s="268">
        <v>2049</v>
      </c>
      <c r="BV70" s="252">
        <v>3</v>
      </c>
      <c r="BW70" s="253">
        <v>1637</v>
      </c>
      <c r="BX70" s="267">
        <v>2</v>
      </c>
      <c r="BY70" s="268">
        <v>1140</v>
      </c>
      <c r="BZ70" s="252"/>
      <c r="CA70" s="253"/>
      <c r="CB70" s="267"/>
      <c r="CC70" s="268"/>
      <c r="CD70" s="255">
        <f t="shared" si="12"/>
        <v>13</v>
      </c>
      <c r="CE70" s="256">
        <f t="shared" si="13"/>
        <v>186896</v>
      </c>
      <c r="CF70" s="257">
        <f t="shared" si="14"/>
        <v>13</v>
      </c>
      <c r="CG70" s="261">
        <f t="shared" si="15"/>
        <v>192876</v>
      </c>
    </row>
    <row r="71" spans="1:105" s="263" customFormat="1" ht="12.75" customHeight="1">
      <c r="A71" s="273" t="s">
        <v>743</v>
      </c>
      <c r="B71" s="274" t="s">
        <v>768</v>
      </c>
      <c r="C71" s="274"/>
      <c r="D71" s="273">
        <v>107743</v>
      </c>
      <c r="E71" s="275">
        <v>10</v>
      </c>
      <c r="F71" s="252">
        <v>17</v>
      </c>
      <c r="G71" s="253">
        <v>113998</v>
      </c>
      <c r="H71" s="276">
        <v>19</v>
      </c>
      <c r="I71" s="276">
        <v>119898</v>
      </c>
      <c r="J71" s="252">
        <v>18</v>
      </c>
      <c r="K71" s="253">
        <v>184196</v>
      </c>
      <c r="L71" s="276">
        <v>19</v>
      </c>
      <c r="M71" s="276">
        <v>218880</v>
      </c>
      <c r="N71" s="252">
        <v>18</v>
      </c>
      <c r="O71" s="253">
        <v>864</v>
      </c>
      <c r="P71" s="276">
        <v>19</v>
      </c>
      <c r="Q71" s="276">
        <v>4963</v>
      </c>
      <c r="R71" s="252">
        <v>18</v>
      </c>
      <c r="S71" s="253">
        <v>68710</v>
      </c>
      <c r="T71" s="276">
        <v>19</v>
      </c>
      <c r="U71" s="276">
        <v>69028</v>
      </c>
      <c r="V71" s="252">
        <v>18</v>
      </c>
      <c r="W71" s="253">
        <v>594</v>
      </c>
      <c r="X71" s="276">
        <v>19</v>
      </c>
      <c r="Y71" s="276">
        <v>594</v>
      </c>
      <c r="Z71" s="252">
        <v>18</v>
      </c>
      <c r="AA71" s="253">
        <v>4659</v>
      </c>
      <c r="AB71" s="276">
        <v>19</v>
      </c>
      <c r="AC71" s="276">
        <v>958</v>
      </c>
      <c r="AD71" s="252">
        <v>18</v>
      </c>
      <c r="AE71" s="253">
        <v>594</v>
      </c>
      <c r="AF71" s="276">
        <v>19</v>
      </c>
      <c r="AG71" s="276">
        <v>594</v>
      </c>
      <c r="AH71" s="252"/>
      <c r="AI71" s="253"/>
      <c r="AJ71" s="267"/>
      <c r="AK71" s="268"/>
      <c r="AL71" s="252"/>
      <c r="AM71" s="253"/>
      <c r="AN71" s="276"/>
      <c r="AO71" s="276"/>
      <c r="AP71" s="255">
        <f t="shared" si="8"/>
        <v>18</v>
      </c>
      <c r="AQ71" s="256">
        <f t="shared" si="9"/>
        <v>373615</v>
      </c>
      <c r="AR71" s="257">
        <f t="shared" si="10"/>
        <v>19</v>
      </c>
      <c r="AS71" s="258">
        <f t="shared" si="11"/>
        <v>414915</v>
      </c>
      <c r="AT71" s="259">
        <v>2</v>
      </c>
      <c r="AU71" s="253">
        <v>13678</v>
      </c>
      <c r="AV71" s="267">
        <v>2</v>
      </c>
      <c r="AW71" s="268">
        <v>10471</v>
      </c>
      <c r="AX71" s="252">
        <v>1</v>
      </c>
      <c r="AY71" s="253">
        <v>11208</v>
      </c>
      <c r="AZ71" s="267">
        <v>2</v>
      </c>
      <c r="BA71" s="268">
        <v>23040</v>
      </c>
      <c r="BB71" s="252">
        <v>2</v>
      </c>
      <c r="BC71" s="253">
        <v>96</v>
      </c>
      <c r="BD71" s="267">
        <v>2</v>
      </c>
      <c r="BE71" s="268">
        <v>411</v>
      </c>
      <c r="BF71" s="252">
        <v>2</v>
      </c>
      <c r="BG71" s="253">
        <v>7739</v>
      </c>
      <c r="BH71" s="267">
        <v>2</v>
      </c>
      <c r="BI71" s="268">
        <v>5722</v>
      </c>
      <c r="BJ71" s="252">
        <v>2</v>
      </c>
      <c r="BK71" s="253">
        <v>66</v>
      </c>
      <c r="BL71" s="267">
        <v>2</v>
      </c>
      <c r="BM71" s="268">
        <v>66</v>
      </c>
      <c r="BN71" s="252">
        <v>2</v>
      </c>
      <c r="BO71" s="253">
        <v>560</v>
      </c>
      <c r="BP71" s="267">
        <v>2</v>
      </c>
      <c r="BQ71" s="268">
        <v>101</v>
      </c>
      <c r="BR71" s="252">
        <v>2</v>
      </c>
      <c r="BS71" s="253">
        <v>66</v>
      </c>
      <c r="BT71" s="267">
        <v>2</v>
      </c>
      <c r="BU71" s="268">
        <v>66</v>
      </c>
      <c r="BV71" s="252"/>
      <c r="BW71" s="253"/>
      <c r="BX71" s="267"/>
      <c r="BY71" s="268"/>
      <c r="BZ71" s="252"/>
      <c r="CA71" s="253"/>
      <c r="CB71" s="267"/>
      <c r="CC71" s="268"/>
      <c r="CD71" s="255">
        <f t="shared" si="12"/>
        <v>2</v>
      </c>
      <c r="CE71" s="256">
        <f t="shared" si="13"/>
        <v>33413</v>
      </c>
      <c r="CF71" s="257">
        <f t="shared" si="14"/>
        <v>2</v>
      </c>
      <c r="CG71" s="261">
        <f t="shared" si="15"/>
        <v>39877</v>
      </c>
    </row>
    <row r="72" spans="1:105" s="263" customFormat="1" ht="12.75" customHeight="1">
      <c r="A72" s="273" t="s">
        <v>743</v>
      </c>
      <c r="B72" s="274" t="s">
        <v>769</v>
      </c>
      <c r="C72" s="274"/>
      <c r="D72" s="273">
        <v>107974</v>
      </c>
      <c r="E72" s="275">
        <v>10</v>
      </c>
      <c r="F72" s="252">
        <v>31</v>
      </c>
      <c r="G72" s="253">
        <v>150527</v>
      </c>
      <c r="H72" s="276">
        <v>32</v>
      </c>
      <c r="I72" s="276">
        <v>162186</v>
      </c>
      <c r="J72" s="252">
        <v>31</v>
      </c>
      <c r="K72" s="253">
        <v>198730</v>
      </c>
      <c r="L72" s="276">
        <v>32</v>
      </c>
      <c r="M72" s="276">
        <v>200480</v>
      </c>
      <c r="N72" s="252">
        <v>31</v>
      </c>
      <c r="O72" s="253">
        <v>5317</v>
      </c>
      <c r="P72" s="276">
        <v>25</v>
      </c>
      <c r="Q72" s="276">
        <v>4247</v>
      </c>
      <c r="R72" s="252">
        <v>31</v>
      </c>
      <c r="S72" s="253">
        <v>111841</v>
      </c>
      <c r="T72" s="276">
        <v>32</v>
      </c>
      <c r="U72" s="276">
        <v>108951</v>
      </c>
      <c r="V72" s="252"/>
      <c r="W72" s="253"/>
      <c r="X72" s="276">
        <v>32</v>
      </c>
      <c r="Y72" s="276">
        <v>0</v>
      </c>
      <c r="Z72" s="252">
        <v>31</v>
      </c>
      <c r="AA72" s="253">
        <v>7794</v>
      </c>
      <c r="AB72" s="276">
        <v>32</v>
      </c>
      <c r="AC72" s="276">
        <v>7400</v>
      </c>
      <c r="AD72" s="252"/>
      <c r="AE72" s="253"/>
      <c r="AF72" s="276">
        <v>32</v>
      </c>
      <c r="AG72" s="276">
        <v>0</v>
      </c>
      <c r="AH72" s="252"/>
      <c r="AI72" s="253"/>
      <c r="AJ72" s="267">
        <v>1</v>
      </c>
      <c r="AK72" s="268">
        <v>100</v>
      </c>
      <c r="AL72" s="252"/>
      <c r="AM72" s="253"/>
      <c r="AN72" s="276"/>
      <c r="AO72" s="276"/>
      <c r="AP72" s="255">
        <f t="shared" ref="AP72:AP135" si="16">MAX(AL72,AH72,AD72,Z72,V72,R72,N72,J72,F72)</f>
        <v>31</v>
      </c>
      <c r="AQ72" s="256">
        <f t="shared" ref="AQ72:AQ135" si="17">SUM(AM72,AI72,AE72,AA72,W72,S72,O72,K72,G72)</f>
        <v>474209</v>
      </c>
      <c r="AR72" s="257">
        <f t="shared" ref="AR72:AR135" si="18">MAX(AN72,AJ72,AF72,AB72,X72,T72,P72,L72,H72)</f>
        <v>32</v>
      </c>
      <c r="AS72" s="258">
        <f t="shared" ref="AS72:AS135" si="19">SUM(AO72,AK72,AG72,AC72,Y72,U72,Q72,M72,I72)</f>
        <v>483364</v>
      </c>
      <c r="AT72" s="259">
        <v>28</v>
      </c>
      <c r="AU72" s="253">
        <v>167244</v>
      </c>
      <c r="AV72" s="267">
        <v>29</v>
      </c>
      <c r="AW72" s="268">
        <v>175844</v>
      </c>
      <c r="AX72" s="252">
        <v>28</v>
      </c>
      <c r="AY72" s="253">
        <v>169495</v>
      </c>
      <c r="AZ72" s="267">
        <v>29</v>
      </c>
      <c r="BA72" s="268">
        <v>175180</v>
      </c>
      <c r="BB72" s="252">
        <v>26</v>
      </c>
      <c r="BC72" s="253">
        <v>5385</v>
      </c>
      <c r="BD72" s="267">
        <v>24</v>
      </c>
      <c r="BE72" s="268">
        <v>4974</v>
      </c>
      <c r="BF72" s="252">
        <v>28</v>
      </c>
      <c r="BG72" s="253">
        <v>108050</v>
      </c>
      <c r="BH72" s="267">
        <v>29</v>
      </c>
      <c r="BI72" s="268">
        <v>111635</v>
      </c>
      <c r="BJ72" s="252"/>
      <c r="BK72" s="253"/>
      <c r="BL72" s="267">
        <v>29</v>
      </c>
      <c r="BM72" s="268">
        <v>0</v>
      </c>
      <c r="BN72" s="252">
        <v>28</v>
      </c>
      <c r="BO72" s="253">
        <v>6780</v>
      </c>
      <c r="BP72" s="267">
        <v>29</v>
      </c>
      <c r="BQ72" s="268">
        <v>6986</v>
      </c>
      <c r="BR72" s="252"/>
      <c r="BS72" s="253"/>
      <c r="BT72" s="267">
        <v>29</v>
      </c>
      <c r="BU72" s="268">
        <v>0</v>
      </c>
      <c r="BV72" s="252"/>
      <c r="BW72" s="253"/>
      <c r="BX72" s="267">
        <v>8</v>
      </c>
      <c r="BY72" s="268">
        <v>5334</v>
      </c>
      <c r="BZ72" s="252"/>
      <c r="CA72" s="253"/>
      <c r="CB72" s="267"/>
      <c r="CC72" s="268"/>
      <c r="CD72" s="255">
        <f t="shared" ref="CD72:CD135" si="20">MAX(BZ72,BV72,BR72,BN72,BJ72,BF72,BB72,AX72,AT72)</f>
        <v>28</v>
      </c>
      <c r="CE72" s="256">
        <f t="shared" ref="CE72:CE135" si="21">SUM(CA72,BW72,BS72,BO72,BK72,BG72,BC72,AY72,AU72)</f>
        <v>456954</v>
      </c>
      <c r="CF72" s="257">
        <f t="shared" ref="CF72:CF135" si="22">MAX(CB72,BX72,BT72,BP72,BL72,BH72,BD72,AZ72,AV72)</f>
        <v>29</v>
      </c>
      <c r="CG72" s="261">
        <f t="shared" ref="CG72:CG135" si="23">SUM(CC72,BY72,BU72,BQ72,BM72,BI72,BE72,BA72,AW72)</f>
        <v>479953</v>
      </c>
    </row>
    <row r="73" spans="1:105" s="263" customFormat="1" ht="12.75" customHeight="1">
      <c r="A73" s="273" t="s">
        <v>743</v>
      </c>
      <c r="B73" s="274" t="s">
        <v>770</v>
      </c>
      <c r="C73" s="274"/>
      <c r="D73" s="273">
        <v>107637</v>
      </c>
      <c r="E73" s="275">
        <v>10</v>
      </c>
      <c r="F73" s="252">
        <v>37</v>
      </c>
      <c r="G73" s="253">
        <v>203161</v>
      </c>
      <c r="H73" s="276">
        <v>43</v>
      </c>
      <c r="I73" s="276">
        <v>205913</v>
      </c>
      <c r="J73" s="252">
        <v>37</v>
      </c>
      <c r="K73" s="253">
        <v>191880</v>
      </c>
      <c r="L73" s="276">
        <v>43</v>
      </c>
      <c r="M73" s="276">
        <v>201240</v>
      </c>
      <c r="N73" s="252"/>
      <c r="O73" s="253"/>
      <c r="P73" s="276"/>
      <c r="Q73" s="276"/>
      <c r="R73" s="252">
        <v>37</v>
      </c>
      <c r="S73" s="253">
        <v>133822</v>
      </c>
      <c r="T73" s="276">
        <v>43</v>
      </c>
      <c r="U73" s="276">
        <v>120840</v>
      </c>
      <c r="V73" s="252"/>
      <c r="W73" s="253"/>
      <c r="X73" s="276"/>
      <c r="Y73" s="276"/>
      <c r="Z73" s="252"/>
      <c r="AA73" s="253"/>
      <c r="AB73" s="276"/>
      <c r="AC73" s="276"/>
      <c r="AD73" s="252"/>
      <c r="AE73" s="253"/>
      <c r="AF73" s="276"/>
      <c r="AG73" s="276"/>
      <c r="AH73" s="252">
        <v>37</v>
      </c>
      <c r="AI73" s="253">
        <v>22422</v>
      </c>
      <c r="AJ73" s="267">
        <v>6</v>
      </c>
      <c r="AK73" s="268">
        <v>4331</v>
      </c>
      <c r="AL73" s="252"/>
      <c r="AM73" s="253"/>
      <c r="AN73" s="276"/>
      <c r="AO73" s="276"/>
      <c r="AP73" s="255">
        <f t="shared" si="16"/>
        <v>37</v>
      </c>
      <c r="AQ73" s="256">
        <f t="shared" si="17"/>
        <v>551285</v>
      </c>
      <c r="AR73" s="257">
        <f t="shared" si="18"/>
        <v>43</v>
      </c>
      <c r="AS73" s="258">
        <f t="shared" si="19"/>
        <v>532324</v>
      </c>
      <c r="AT73" s="259">
        <v>6</v>
      </c>
      <c r="AU73" s="253">
        <v>33715</v>
      </c>
      <c r="AV73" s="267">
        <v>5</v>
      </c>
      <c r="AW73" s="268">
        <v>32523</v>
      </c>
      <c r="AX73" s="252">
        <v>6</v>
      </c>
      <c r="AY73" s="253">
        <v>32760</v>
      </c>
      <c r="AZ73" s="267">
        <v>5</v>
      </c>
      <c r="BA73" s="268">
        <v>23400</v>
      </c>
      <c r="BB73" s="252"/>
      <c r="BC73" s="253"/>
      <c r="BD73" s="267"/>
      <c r="BE73" s="268"/>
      <c r="BF73" s="252">
        <v>6</v>
      </c>
      <c r="BG73" s="253">
        <v>22391</v>
      </c>
      <c r="BH73" s="267">
        <v>5</v>
      </c>
      <c r="BI73" s="268">
        <v>18407</v>
      </c>
      <c r="BJ73" s="252"/>
      <c r="BK73" s="253"/>
      <c r="BL73" s="267"/>
      <c r="BM73" s="268"/>
      <c r="BN73" s="252"/>
      <c r="BO73" s="253"/>
      <c r="BP73" s="267"/>
      <c r="BQ73" s="268"/>
      <c r="BR73" s="252"/>
      <c r="BS73" s="253"/>
      <c r="BT73" s="267"/>
      <c r="BU73" s="268"/>
      <c r="BV73" s="252"/>
      <c r="BW73" s="253"/>
      <c r="BX73" s="267"/>
      <c r="BY73" s="268"/>
      <c r="BZ73" s="252"/>
      <c r="CA73" s="253"/>
      <c r="CB73" s="267"/>
      <c r="CC73" s="268"/>
      <c r="CD73" s="255">
        <f t="shared" si="20"/>
        <v>6</v>
      </c>
      <c r="CE73" s="256">
        <f t="shared" si="21"/>
        <v>88866</v>
      </c>
      <c r="CF73" s="257">
        <f t="shared" si="22"/>
        <v>5</v>
      </c>
      <c r="CG73" s="261">
        <f t="shared" si="23"/>
        <v>74330</v>
      </c>
    </row>
    <row r="74" spans="1:105" s="263" customFormat="1" ht="12.75" customHeight="1">
      <c r="A74" s="273" t="s">
        <v>743</v>
      </c>
      <c r="B74" s="274" t="s">
        <v>771</v>
      </c>
      <c r="C74" s="274"/>
      <c r="D74" s="273">
        <v>107992</v>
      </c>
      <c r="E74" s="275">
        <v>10</v>
      </c>
      <c r="F74" s="252">
        <v>23</v>
      </c>
      <c r="G74" s="253">
        <v>117078</v>
      </c>
      <c r="H74" s="276">
        <v>22</v>
      </c>
      <c r="I74" s="276">
        <v>113043</v>
      </c>
      <c r="J74" s="252">
        <v>23</v>
      </c>
      <c r="K74" s="253">
        <v>88021</v>
      </c>
      <c r="L74" s="276">
        <v>22</v>
      </c>
      <c r="M74" s="276">
        <v>44868</v>
      </c>
      <c r="N74" s="252">
        <v>22</v>
      </c>
      <c r="O74" s="253">
        <v>3105</v>
      </c>
      <c r="P74" s="276">
        <v>20</v>
      </c>
      <c r="Q74" s="276">
        <v>2790</v>
      </c>
      <c r="R74" s="252">
        <v>23</v>
      </c>
      <c r="S74" s="253">
        <v>75000</v>
      </c>
      <c r="T74" s="276">
        <v>22</v>
      </c>
      <c r="U74" s="276">
        <v>70941</v>
      </c>
      <c r="V74" s="252">
        <v>23</v>
      </c>
      <c r="W74" s="253">
        <v>3235</v>
      </c>
      <c r="X74" s="276">
        <v>22</v>
      </c>
      <c r="Y74" s="276">
        <v>7233</v>
      </c>
      <c r="Z74" s="252">
        <v>23</v>
      </c>
      <c r="AA74" s="253">
        <v>3875</v>
      </c>
      <c r="AB74" s="276">
        <v>22</v>
      </c>
      <c r="AC74" s="276">
        <v>3864</v>
      </c>
      <c r="AD74" s="252">
        <v>23</v>
      </c>
      <c r="AE74" s="253">
        <v>3725</v>
      </c>
      <c r="AF74" s="276">
        <v>22</v>
      </c>
      <c r="AG74" s="276">
        <v>6213</v>
      </c>
      <c r="AH74" s="252">
        <v>2</v>
      </c>
      <c r="AI74" s="253">
        <v>1635</v>
      </c>
      <c r="AJ74" s="267">
        <v>2</v>
      </c>
      <c r="AK74" s="268">
        <v>2294</v>
      </c>
      <c r="AL74" s="252"/>
      <c r="AM74" s="253"/>
      <c r="AN74" s="276"/>
      <c r="AO74" s="276"/>
      <c r="AP74" s="255">
        <f t="shared" si="16"/>
        <v>23</v>
      </c>
      <c r="AQ74" s="256">
        <f t="shared" si="17"/>
        <v>295674</v>
      </c>
      <c r="AR74" s="257">
        <f t="shared" si="18"/>
        <v>22</v>
      </c>
      <c r="AS74" s="258">
        <f t="shared" si="19"/>
        <v>251246</v>
      </c>
      <c r="AT74" s="259">
        <v>9</v>
      </c>
      <c r="AU74" s="253">
        <v>50699</v>
      </c>
      <c r="AV74" s="267">
        <v>9</v>
      </c>
      <c r="AW74" s="268">
        <v>47797</v>
      </c>
      <c r="AX74" s="252">
        <v>9</v>
      </c>
      <c r="AY74" s="253">
        <v>34443</v>
      </c>
      <c r="AZ74" s="267">
        <v>9</v>
      </c>
      <c r="BA74" s="268">
        <v>33651</v>
      </c>
      <c r="BB74" s="252">
        <v>6</v>
      </c>
      <c r="BC74" s="253">
        <v>975</v>
      </c>
      <c r="BD74" s="267">
        <v>8</v>
      </c>
      <c r="BE74" s="268">
        <v>1239</v>
      </c>
      <c r="BF74" s="252">
        <v>9</v>
      </c>
      <c r="BG74" s="253">
        <v>32234</v>
      </c>
      <c r="BH74" s="267">
        <v>9</v>
      </c>
      <c r="BI74" s="268">
        <v>31414</v>
      </c>
      <c r="BJ74" s="252">
        <v>9</v>
      </c>
      <c r="BK74" s="253">
        <v>1390</v>
      </c>
      <c r="BL74" s="267">
        <v>9</v>
      </c>
      <c r="BM74" s="268">
        <v>3202</v>
      </c>
      <c r="BN74" s="252">
        <v>9</v>
      </c>
      <c r="BO74" s="253">
        <v>1664</v>
      </c>
      <c r="BP74" s="267">
        <v>9</v>
      </c>
      <c r="BQ74" s="268">
        <v>1671</v>
      </c>
      <c r="BR74" s="252">
        <v>9</v>
      </c>
      <c r="BS74" s="253">
        <v>1601</v>
      </c>
      <c r="BT74" s="267">
        <v>9</v>
      </c>
      <c r="BU74" s="268">
        <v>2751</v>
      </c>
      <c r="BV74" s="252">
        <v>1</v>
      </c>
      <c r="BW74" s="253">
        <v>318</v>
      </c>
      <c r="BX74" s="267">
        <v>2</v>
      </c>
      <c r="BY74" s="268">
        <v>2325</v>
      </c>
      <c r="BZ74" s="252"/>
      <c r="CA74" s="253"/>
      <c r="CB74" s="267"/>
      <c r="CC74" s="268"/>
      <c r="CD74" s="255">
        <f t="shared" si="20"/>
        <v>9</v>
      </c>
      <c r="CE74" s="256">
        <f t="shared" si="21"/>
        <v>123324</v>
      </c>
      <c r="CF74" s="257">
        <f t="shared" si="22"/>
        <v>9</v>
      </c>
      <c r="CG74" s="261">
        <f t="shared" si="23"/>
        <v>124050</v>
      </c>
    </row>
    <row r="75" spans="1:105" s="263" customFormat="1" ht="12.75" customHeight="1">
      <c r="A75" s="273" t="s">
        <v>743</v>
      </c>
      <c r="B75" s="274" t="s">
        <v>772</v>
      </c>
      <c r="C75" s="274"/>
      <c r="D75" s="273">
        <v>106999</v>
      </c>
      <c r="E75" s="275">
        <v>10</v>
      </c>
      <c r="F75" s="252">
        <v>29</v>
      </c>
      <c r="G75" s="253">
        <v>137122</v>
      </c>
      <c r="H75" s="276">
        <v>31</v>
      </c>
      <c r="I75" s="276">
        <v>164856</v>
      </c>
      <c r="J75" s="252">
        <v>20</v>
      </c>
      <c r="K75" s="253">
        <v>126059</v>
      </c>
      <c r="L75" s="276">
        <v>24</v>
      </c>
      <c r="M75" s="276">
        <v>167406</v>
      </c>
      <c r="N75" s="252">
        <v>29</v>
      </c>
      <c r="O75" s="253">
        <v>4832</v>
      </c>
      <c r="P75" s="276">
        <v>31</v>
      </c>
      <c r="Q75" s="276">
        <v>5200</v>
      </c>
      <c r="R75" s="252">
        <v>29</v>
      </c>
      <c r="S75" s="253">
        <v>90015</v>
      </c>
      <c r="T75" s="276">
        <v>31</v>
      </c>
      <c r="U75" s="276">
        <v>105888</v>
      </c>
      <c r="V75" s="252">
        <v>29</v>
      </c>
      <c r="W75" s="253">
        <v>0</v>
      </c>
      <c r="X75" s="276">
        <v>31</v>
      </c>
      <c r="Y75" s="276">
        <v>2800</v>
      </c>
      <c r="Z75" s="252">
        <v>29</v>
      </c>
      <c r="AA75" s="253">
        <v>3622</v>
      </c>
      <c r="AB75" s="276">
        <v>29</v>
      </c>
      <c r="AC75" s="276">
        <v>3602</v>
      </c>
      <c r="AD75" s="252">
        <v>29</v>
      </c>
      <c r="AE75" s="253">
        <v>0</v>
      </c>
      <c r="AF75" s="276">
        <v>31</v>
      </c>
      <c r="AG75" s="276">
        <v>0</v>
      </c>
      <c r="AH75" s="252"/>
      <c r="AI75" s="253"/>
      <c r="AJ75" s="267"/>
      <c r="AK75" s="268"/>
      <c r="AL75" s="252">
        <v>11</v>
      </c>
      <c r="AM75" s="253">
        <v>487</v>
      </c>
      <c r="AN75" s="276">
        <v>0</v>
      </c>
      <c r="AO75" s="276">
        <v>0</v>
      </c>
      <c r="AP75" s="255">
        <f t="shared" si="16"/>
        <v>29</v>
      </c>
      <c r="AQ75" s="256">
        <f t="shared" si="17"/>
        <v>362137</v>
      </c>
      <c r="AR75" s="257">
        <f t="shared" si="18"/>
        <v>31</v>
      </c>
      <c r="AS75" s="258">
        <f t="shared" si="19"/>
        <v>449752</v>
      </c>
      <c r="AT75" s="259">
        <v>20</v>
      </c>
      <c r="AU75" s="253">
        <v>113985</v>
      </c>
      <c r="AV75" s="267">
        <v>18</v>
      </c>
      <c r="AW75" s="268">
        <v>98688</v>
      </c>
      <c r="AX75" s="252">
        <v>16</v>
      </c>
      <c r="AY75" s="253">
        <v>2758</v>
      </c>
      <c r="AZ75" s="267">
        <v>13</v>
      </c>
      <c r="BA75" s="268">
        <v>67033</v>
      </c>
      <c r="BB75" s="252">
        <v>20</v>
      </c>
      <c r="BC75" s="253">
        <v>4054</v>
      </c>
      <c r="BD75" s="267">
        <v>18</v>
      </c>
      <c r="BE75" s="268">
        <v>4100</v>
      </c>
      <c r="BF75" s="252">
        <v>20</v>
      </c>
      <c r="BG75" s="253">
        <v>74186</v>
      </c>
      <c r="BH75" s="267">
        <v>18</v>
      </c>
      <c r="BI75" s="268">
        <v>57601</v>
      </c>
      <c r="BJ75" s="252">
        <v>20</v>
      </c>
      <c r="BK75" s="253">
        <v>0</v>
      </c>
      <c r="BL75" s="267">
        <v>18</v>
      </c>
      <c r="BM75" s="268">
        <v>1620</v>
      </c>
      <c r="BN75" s="252">
        <v>20</v>
      </c>
      <c r="BO75" s="253">
        <v>2758</v>
      </c>
      <c r="BP75" s="267">
        <v>18</v>
      </c>
      <c r="BQ75" s="268">
        <v>2531</v>
      </c>
      <c r="BR75" s="252">
        <v>20</v>
      </c>
      <c r="BS75" s="253">
        <v>0</v>
      </c>
      <c r="BT75" s="267">
        <v>18</v>
      </c>
      <c r="BU75" s="268">
        <v>0</v>
      </c>
      <c r="BV75" s="252"/>
      <c r="BW75" s="253"/>
      <c r="BX75" s="267"/>
      <c r="BY75" s="268"/>
      <c r="BZ75" s="252">
        <v>1</v>
      </c>
      <c r="CA75" s="253">
        <v>44</v>
      </c>
      <c r="CB75" s="267">
        <v>0</v>
      </c>
      <c r="CC75" s="268">
        <v>0</v>
      </c>
      <c r="CD75" s="255">
        <f t="shared" si="20"/>
        <v>20</v>
      </c>
      <c r="CE75" s="256">
        <f t="shared" si="21"/>
        <v>197785</v>
      </c>
      <c r="CF75" s="257">
        <f t="shared" si="22"/>
        <v>18</v>
      </c>
      <c r="CG75" s="261">
        <f t="shared" si="23"/>
        <v>231573</v>
      </c>
    </row>
    <row r="76" spans="1:105" s="263" customFormat="1" ht="12.75" customHeight="1">
      <c r="A76" s="273" t="s">
        <v>743</v>
      </c>
      <c r="B76" s="274" t="s">
        <v>773</v>
      </c>
      <c r="C76" s="274"/>
      <c r="D76" s="273">
        <v>107725</v>
      </c>
      <c r="E76" s="275">
        <v>10</v>
      </c>
      <c r="F76" s="252">
        <v>35</v>
      </c>
      <c r="G76" s="253">
        <v>159515</v>
      </c>
      <c r="H76" s="276">
        <v>32</v>
      </c>
      <c r="I76" s="276">
        <v>130570</v>
      </c>
      <c r="J76" s="252">
        <v>35</v>
      </c>
      <c r="K76" s="253">
        <v>277958</v>
      </c>
      <c r="L76" s="276">
        <v>32</v>
      </c>
      <c r="M76" s="276">
        <v>235200</v>
      </c>
      <c r="N76" s="252"/>
      <c r="O76" s="253"/>
      <c r="P76" s="276"/>
      <c r="Q76" s="276"/>
      <c r="R76" s="252">
        <v>35</v>
      </c>
      <c r="S76" s="253">
        <v>99485</v>
      </c>
      <c r="T76" s="276">
        <v>32</v>
      </c>
      <c r="U76" s="276">
        <v>85899</v>
      </c>
      <c r="V76" s="252">
        <v>35</v>
      </c>
      <c r="W76" s="253">
        <v>21197</v>
      </c>
      <c r="X76" s="276">
        <v>32</v>
      </c>
      <c r="Y76" s="276">
        <v>9151</v>
      </c>
      <c r="Z76" s="252">
        <v>35</v>
      </c>
      <c r="AA76" s="253">
        <v>1764</v>
      </c>
      <c r="AB76" s="276">
        <v>32</v>
      </c>
      <c r="AC76" s="276">
        <v>1279</v>
      </c>
      <c r="AD76" s="252">
        <v>35</v>
      </c>
      <c r="AE76" s="253">
        <v>0</v>
      </c>
      <c r="AF76" s="276">
        <v>32</v>
      </c>
      <c r="AG76" s="276">
        <v>0</v>
      </c>
      <c r="AH76" s="252"/>
      <c r="AI76" s="253"/>
      <c r="AJ76" s="267"/>
      <c r="AK76" s="268"/>
      <c r="AL76" s="252"/>
      <c r="AM76" s="253"/>
      <c r="AN76" s="276"/>
      <c r="AO76" s="276"/>
      <c r="AP76" s="255">
        <f t="shared" si="16"/>
        <v>35</v>
      </c>
      <c r="AQ76" s="256">
        <f t="shared" si="17"/>
        <v>559919</v>
      </c>
      <c r="AR76" s="257">
        <f t="shared" si="18"/>
        <v>32</v>
      </c>
      <c r="AS76" s="258">
        <f t="shared" si="19"/>
        <v>462099</v>
      </c>
      <c r="AT76" s="259">
        <v>5</v>
      </c>
      <c r="AU76" s="253">
        <v>33963</v>
      </c>
      <c r="AV76" s="267">
        <v>6</v>
      </c>
      <c r="AW76" s="268">
        <v>36531</v>
      </c>
      <c r="AX76" s="252">
        <v>5</v>
      </c>
      <c r="AY76" s="253">
        <v>21781</v>
      </c>
      <c r="AZ76" s="267">
        <v>6</v>
      </c>
      <c r="BA76" s="268">
        <v>49261</v>
      </c>
      <c r="BB76" s="252"/>
      <c r="BC76" s="253"/>
      <c r="BD76" s="267"/>
      <c r="BE76" s="268"/>
      <c r="BF76" s="252">
        <v>5</v>
      </c>
      <c r="BG76" s="253">
        <v>22011</v>
      </c>
      <c r="BH76" s="267">
        <v>6</v>
      </c>
      <c r="BI76" s="268">
        <v>24837</v>
      </c>
      <c r="BJ76" s="252">
        <v>5</v>
      </c>
      <c r="BK76" s="253">
        <v>4690</v>
      </c>
      <c r="BL76" s="267">
        <v>6</v>
      </c>
      <c r="BM76" s="268">
        <v>2646</v>
      </c>
      <c r="BN76" s="252">
        <v>5</v>
      </c>
      <c r="BO76" s="253">
        <v>252</v>
      </c>
      <c r="BP76" s="267">
        <v>6</v>
      </c>
      <c r="BQ76" s="268">
        <v>252</v>
      </c>
      <c r="BR76" s="252">
        <v>5</v>
      </c>
      <c r="BS76" s="253">
        <v>0</v>
      </c>
      <c r="BT76" s="267">
        <v>6</v>
      </c>
      <c r="BU76" s="268">
        <v>0</v>
      </c>
      <c r="BV76" s="252"/>
      <c r="BW76" s="253"/>
      <c r="BX76" s="267"/>
      <c r="BY76" s="268"/>
      <c r="BZ76" s="252"/>
      <c r="CA76" s="253"/>
      <c r="CB76" s="267"/>
      <c r="CC76" s="268"/>
      <c r="CD76" s="255">
        <f t="shared" si="20"/>
        <v>5</v>
      </c>
      <c r="CE76" s="256">
        <f t="shared" si="21"/>
        <v>82697</v>
      </c>
      <c r="CF76" s="257">
        <f t="shared" si="22"/>
        <v>6</v>
      </c>
      <c r="CG76" s="261">
        <f t="shared" si="23"/>
        <v>113527</v>
      </c>
    </row>
    <row r="77" spans="1:105" s="263" customFormat="1" ht="12.75" customHeight="1">
      <c r="A77" s="273" t="s">
        <v>743</v>
      </c>
      <c r="B77" s="274" t="s">
        <v>774</v>
      </c>
      <c r="C77" s="274"/>
      <c r="D77" s="273">
        <v>107585</v>
      </c>
      <c r="E77" s="275">
        <v>10</v>
      </c>
      <c r="F77" s="252">
        <v>56</v>
      </c>
      <c r="G77" s="253">
        <v>331158</v>
      </c>
      <c r="H77" s="276">
        <v>68</v>
      </c>
      <c r="I77" s="276">
        <v>382890</v>
      </c>
      <c r="J77" s="252"/>
      <c r="K77" s="253"/>
      <c r="L77" s="276"/>
      <c r="M77" s="276"/>
      <c r="N77" s="252">
        <v>60</v>
      </c>
      <c r="O77" s="253">
        <v>8537</v>
      </c>
      <c r="P77" s="276">
        <v>68</v>
      </c>
      <c r="Q77" s="276">
        <v>9656</v>
      </c>
      <c r="R77" s="252">
        <v>60</v>
      </c>
      <c r="S77" s="253">
        <v>173719</v>
      </c>
      <c r="T77" s="276">
        <v>68</v>
      </c>
      <c r="U77" s="276">
        <v>199647</v>
      </c>
      <c r="V77" s="252">
        <v>60</v>
      </c>
      <c r="W77" s="253">
        <v>949</v>
      </c>
      <c r="X77" s="276">
        <v>68</v>
      </c>
      <c r="Y77" s="276">
        <v>14500</v>
      </c>
      <c r="Z77" s="252">
        <v>60</v>
      </c>
      <c r="AA77" s="253">
        <v>3834</v>
      </c>
      <c r="AB77" s="276">
        <v>68</v>
      </c>
      <c r="AC77" s="276">
        <v>4346</v>
      </c>
      <c r="AD77" s="252"/>
      <c r="AE77" s="253"/>
      <c r="AF77" s="276"/>
      <c r="AG77" s="276"/>
      <c r="AH77" s="252">
        <v>4</v>
      </c>
      <c r="AI77" s="253">
        <v>5373</v>
      </c>
      <c r="AJ77" s="267">
        <v>13</v>
      </c>
      <c r="AK77" s="268">
        <v>9172</v>
      </c>
      <c r="AL77" s="252">
        <v>53</v>
      </c>
      <c r="AM77" s="253">
        <v>310242</v>
      </c>
      <c r="AN77" s="276">
        <v>0</v>
      </c>
      <c r="AO77" s="276">
        <v>0</v>
      </c>
      <c r="AP77" s="255">
        <f t="shared" si="16"/>
        <v>60</v>
      </c>
      <c r="AQ77" s="256">
        <f t="shared" si="17"/>
        <v>833812</v>
      </c>
      <c r="AR77" s="257">
        <f t="shared" si="18"/>
        <v>68</v>
      </c>
      <c r="AS77" s="258">
        <f t="shared" si="19"/>
        <v>620211</v>
      </c>
      <c r="AT77" s="259"/>
      <c r="AU77" s="253"/>
      <c r="AV77" s="267"/>
      <c r="AW77" s="268"/>
      <c r="AX77" s="252"/>
      <c r="AY77" s="253"/>
      <c r="AZ77" s="267"/>
      <c r="BA77" s="268"/>
      <c r="BB77" s="252"/>
      <c r="BC77" s="253"/>
      <c r="BD77" s="267"/>
      <c r="BE77" s="268"/>
      <c r="BF77" s="252"/>
      <c r="BG77" s="253"/>
      <c r="BH77" s="267"/>
      <c r="BI77" s="268"/>
      <c r="BJ77" s="252"/>
      <c r="BK77" s="253"/>
      <c r="BL77" s="267"/>
      <c r="BM77" s="268"/>
      <c r="BN77" s="252"/>
      <c r="BO77" s="253"/>
      <c r="BP77" s="267"/>
      <c r="BQ77" s="268"/>
      <c r="BR77" s="252"/>
      <c r="BS77" s="253"/>
      <c r="BT77" s="267"/>
      <c r="BU77" s="268"/>
      <c r="BV77" s="252"/>
      <c r="BW77" s="253"/>
      <c r="BX77" s="267"/>
      <c r="BY77" s="268"/>
      <c r="BZ77" s="252"/>
      <c r="CA77" s="253"/>
      <c r="CB77" s="267"/>
      <c r="CC77" s="268"/>
      <c r="CD77" s="255">
        <f t="shared" si="20"/>
        <v>0</v>
      </c>
      <c r="CE77" s="256">
        <f t="shared" si="21"/>
        <v>0</v>
      </c>
      <c r="CF77" s="257">
        <f t="shared" si="22"/>
        <v>0</v>
      </c>
      <c r="CG77" s="261">
        <f t="shared" si="23"/>
        <v>0</v>
      </c>
    </row>
    <row r="78" spans="1:105" s="263" customFormat="1" ht="12.75" customHeight="1">
      <c r="A78" s="280" t="s">
        <v>154</v>
      </c>
      <c r="B78" s="281" t="s">
        <v>1129</v>
      </c>
      <c r="C78" s="281"/>
      <c r="D78" s="282">
        <v>130943</v>
      </c>
      <c r="E78" s="283">
        <v>1</v>
      </c>
      <c r="F78" s="252">
        <v>1029</v>
      </c>
      <c r="G78" s="253">
        <v>11100322</v>
      </c>
      <c r="H78" s="267">
        <v>1039</v>
      </c>
      <c r="I78" s="268">
        <v>11421684</v>
      </c>
      <c r="J78" s="252">
        <v>1029</v>
      </c>
      <c r="K78" s="253">
        <v>10961110</v>
      </c>
      <c r="L78" s="267">
        <v>1039</v>
      </c>
      <c r="M78" s="268">
        <v>12334024</v>
      </c>
      <c r="N78" s="252">
        <v>1029</v>
      </c>
      <c r="O78" s="253">
        <v>272579</v>
      </c>
      <c r="P78" s="267">
        <v>1039</v>
      </c>
      <c r="Q78" s="268">
        <v>284847</v>
      </c>
      <c r="R78" s="252">
        <v>1029</v>
      </c>
      <c r="S78" s="253">
        <v>7042483</v>
      </c>
      <c r="T78" s="267">
        <v>1039</v>
      </c>
      <c r="U78" s="268">
        <v>7206497</v>
      </c>
      <c r="V78" s="252">
        <v>1029</v>
      </c>
      <c r="W78" s="253">
        <v>209916</v>
      </c>
      <c r="X78" s="267">
        <v>1039</v>
      </c>
      <c r="Y78" s="268">
        <v>211956</v>
      </c>
      <c r="Z78" s="252">
        <v>1029</v>
      </c>
      <c r="AA78" s="253">
        <v>325431</v>
      </c>
      <c r="AB78" s="267">
        <v>1039</v>
      </c>
      <c r="AC78" s="268">
        <v>342406</v>
      </c>
      <c r="AD78" s="252">
        <v>1029</v>
      </c>
      <c r="AE78" s="253">
        <v>409653</v>
      </c>
      <c r="AF78" s="267">
        <v>1039</v>
      </c>
      <c r="AG78" s="268">
        <v>333468</v>
      </c>
      <c r="AH78" s="252">
        <v>146</v>
      </c>
      <c r="AI78" s="253">
        <v>884206</v>
      </c>
      <c r="AJ78" s="267">
        <v>145</v>
      </c>
      <c r="AK78" s="268">
        <v>1265080</v>
      </c>
      <c r="AL78" s="252"/>
      <c r="AM78" s="253"/>
      <c r="AN78" s="267"/>
      <c r="AO78" s="268"/>
      <c r="AP78" s="255">
        <f t="shared" si="16"/>
        <v>1029</v>
      </c>
      <c r="AQ78" s="256">
        <f t="shared" si="17"/>
        <v>31205700</v>
      </c>
      <c r="AR78" s="257">
        <f t="shared" si="18"/>
        <v>1039</v>
      </c>
      <c r="AS78" s="258">
        <f t="shared" si="19"/>
        <v>33399962</v>
      </c>
      <c r="AT78" s="259">
        <v>83</v>
      </c>
      <c r="AU78" s="253">
        <v>1109309</v>
      </c>
      <c r="AV78" s="267">
        <v>87</v>
      </c>
      <c r="AW78" s="268">
        <v>1124980</v>
      </c>
      <c r="AX78" s="252">
        <v>83</v>
      </c>
      <c r="AY78" s="253">
        <v>905522</v>
      </c>
      <c r="AZ78" s="267">
        <v>87</v>
      </c>
      <c r="BA78" s="268">
        <v>1102913</v>
      </c>
      <c r="BB78" s="252">
        <v>83</v>
      </c>
      <c r="BC78" s="253">
        <v>27082</v>
      </c>
      <c r="BD78" s="267">
        <v>87</v>
      </c>
      <c r="BE78" s="268">
        <v>27858</v>
      </c>
      <c r="BF78" s="252">
        <v>83</v>
      </c>
      <c r="BG78" s="253">
        <v>643296</v>
      </c>
      <c r="BH78" s="267">
        <v>87</v>
      </c>
      <c r="BI78" s="268">
        <v>657866</v>
      </c>
      <c r="BJ78" s="252">
        <v>83</v>
      </c>
      <c r="BK78" s="253">
        <v>16932</v>
      </c>
      <c r="BL78" s="267">
        <v>87</v>
      </c>
      <c r="BM78" s="268">
        <v>17748</v>
      </c>
      <c r="BN78" s="252">
        <v>83</v>
      </c>
      <c r="BO78" s="253">
        <v>32211</v>
      </c>
      <c r="BP78" s="267">
        <v>87</v>
      </c>
      <c r="BQ78" s="268">
        <v>33772</v>
      </c>
      <c r="BR78" s="252">
        <v>83</v>
      </c>
      <c r="BS78" s="253">
        <v>40704</v>
      </c>
      <c r="BT78" s="267">
        <v>87</v>
      </c>
      <c r="BU78" s="268">
        <v>32615</v>
      </c>
      <c r="BV78" s="252">
        <v>12</v>
      </c>
      <c r="BW78" s="253">
        <v>68520</v>
      </c>
      <c r="BX78" s="267">
        <v>12</v>
      </c>
      <c r="BY78" s="268">
        <v>88469</v>
      </c>
      <c r="BZ78" s="252"/>
      <c r="CA78" s="253"/>
      <c r="CB78" s="267"/>
      <c r="CC78" s="268"/>
      <c r="CD78" s="255">
        <f t="shared" si="20"/>
        <v>83</v>
      </c>
      <c r="CE78" s="256">
        <f t="shared" si="21"/>
        <v>2843576</v>
      </c>
      <c r="CF78" s="257">
        <f t="shared" si="22"/>
        <v>87</v>
      </c>
      <c r="CG78" s="261">
        <f t="shared" si="23"/>
        <v>3086221</v>
      </c>
      <c r="CH78" s="262"/>
      <c r="CI78" s="262"/>
      <c r="CJ78" s="262"/>
      <c r="CK78" s="262"/>
      <c r="CL78" s="262"/>
      <c r="CM78" s="262"/>
      <c r="CN78" s="262"/>
      <c r="CO78" s="262"/>
      <c r="CP78" s="262"/>
      <c r="CQ78" s="262"/>
      <c r="CR78" s="262"/>
      <c r="CS78" s="262"/>
      <c r="CT78" s="262"/>
      <c r="CU78" s="262"/>
      <c r="CV78" s="262"/>
      <c r="CW78" s="262"/>
      <c r="CX78" s="262"/>
      <c r="CY78" s="262"/>
      <c r="CZ78" s="262"/>
      <c r="DA78" s="262"/>
    </row>
    <row r="79" spans="1:105" s="263" customFormat="1" ht="12.75" customHeight="1">
      <c r="A79" s="280" t="s">
        <v>154</v>
      </c>
      <c r="B79" s="480" t="s">
        <v>1130</v>
      </c>
      <c r="C79" s="481" t="s">
        <v>1185</v>
      </c>
      <c r="D79" s="282">
        <v>130934</v>
      </c>
      <c r="E79" s="283">
        <v>4</v>
      </c>
      <c r="F79" s="252">
        <v>135</v>
      </c>
      <c r="G79" s="253">
        <v>2348252</v>
      </c>
      <c r="H79" s="267">
        <v>148</v>
      </c>
      <c r="I79" s="268">
        <v>1679160</v>
      </c>
      <c r="J79" s="252">
        <v>135</v>
      </c>
      <c r="K79" s="253">
        <v>749542</v>
      </c>
      <c r="L79" s="267">
        <v>148</v>
      </c>
      <c r="M79" s="268">
        <v>1371807</v>
      </c>
      <c r="N79" s="252"/>
      <c r="O79" s="253"/>
      <c r="P79" s="267"/>
      <c r="Q79" s="268"/>
      <c r="R79" s="252">
        <v>135</v>
      </c>
      <c r="S79" s="253">
        <v>547424</v>
      </c>
      <c r="T79" s="267">
        <v>148</v>
      </c>
      <c r="U79" s="268">
        <v>746836</v>
      </c>
      <c r="V79" s="252">
        <v>135</v>
      </c>
      <c r="W79" s="253">
        <v>15010</v>
      </c>
      <c r="X79" s="267">
        <v>148</v>
      </c>
      <c r="Y79" s="268">
        <v>16596</v>
      </c>
      <c r="Z79" s="252">
        <v>135</v>
      </c>
      <c r="AA79" s="253">
        <v>27524</v>
      </c>
      <c r="AB79" s="267">
        <v>148</v>
      </c>
      <c r="AC79" s="268">
        <v>23277</v>
      </c>
      <c r="AD79" s="252">
        <v>135</v>
      </c>
      <c r="AE79" s="253">
        <v>176588</v>
      </c>
      <c r="AF79" s="267">
        <v>148</v>
      </c>
      <c r="AG79" s="268">
        <v>190370</v>
      </c>
      <c r="AH79" s="252"/>
      <c r="AI79" s="253"/>
      <c r="AJ79" s="267">
        <v>3</v>
      </c>
      <c r="AK79" s="268">
        <v>8852</v>
      </c>
      <c r="AL79" s="252"/>
      <c r="AM79" s="253"/>
      <c r="AN79" s="267"/>
      <c r="AO79" s="268"/>
      <c r="AP79" s="255">
        <f t="shared" si="16"/>
        <v>135</v>
      </c>
      <c r="AQ79" s="256">
        <f t="shared" si="17"/>
        <v>3864340</v>
      </c>
      <c r="AR79" s="257">
        <f t="shared" si="18"/>
        <v>148</v>
      </c>
      <c r="AS79" s="258">
        <f t="shared" si="19"/>
        <v>4036898</v>
      </c>
      <c r="AT79" s="259">
        <v>55</v>
      </c>
      <c r="AU79" s="253">
        <v>641280</v>
      </c>
      <c r="AV79" s="285">
        <v>50</v>
      </c>
      <c r="AW79" s="285">
        <v>654691</v>
      </c>
      <c r="AX79" s="252">
        <v>55</v>
      </c>
      <c r="AY79" s="253">
        <v>305369</v>
      </c>
      <c r="AZ79" s="267">
        <v>50</v>
      </c>
      <c r="BA79" s="268">
        <v>499043</v>
      </c>
      <c r="BB79" s="252"/>
      <c r="BC79" s="253"/>
      <c r="BD79" s="267"/>
      <c r="BE79" s="268"/>
      <c r="BF79" s="252">
        <v>55</v>
      </c>
      <c r="BG79" s="253">
        <v>260376</v>
      </c>
      <c r="BH79" s="267">
        <v>50</v>
      </c>
      <c r="BI79" s="268">
        <v>289638</v>
      </c>
      <c r="BJ79" s="252">
        <v>55</v>
      </c>
      <c r="BK79" s="253">
        <v>7139</v>
      </c>
      <c r="BL79" s="267">
        <v>50</v>
      </c>
      <c r="BM79" s="268">
        <v>6471</v>
      </c>
      <c r="BN79" s="252">
        <v>55</v>
      </c>
      <c r="BO79" s="253">
        <v>11214</v>
      </c>
      <c r="BP79" s="267">
        <v>50</v>
      </c>
      <c r="BQ79" s="268">
        <v>6052</v>
      </c>
      <c r="BR79" s="252">
        <v>55</v>
      </c>
      <c r="BS79" s="253">
        <v>83992</v>
      </c>
      <c r="BT79" s="267">
        <v>50</v>
      </c>
      <c r="BU79" s="268">
        <v>74224</v>
      </c>
      <c r="BV79" s="252"/>
      <c r="BW79" s="253"/>
      <c r="BX79" s="267">
        <v>1</v>
      </c>
      <c r="BY79" s="268">
        <v>2950</v>
      </c>
      <c r="BZ79" s="252"/>
      <c r="CA79" s="253"/>
      <c r="CB79" s="267"/>
      <c r="CC79" s="268"/>
      <c r="CD79" s="255">
        <f t="shared" si="20"/>
        <v>55</v>
      </c>
      <c r="CE79" s="256">
        <f t="shared" si="21"/>
        <v>1309370</v>
      </c>
      <c r="CF79" s="257">
        <f t="shared" si="22"/>
        <v>50</v>
      </c>
      <c r="CG79" s="261">
        <f t="shared" si="23"/>
        <v>1533069</v>
      </c>
      <c r="CH79" s="262"/>
      <c r="CI79" s="262"/>
      <c r="CJ79" s="262"/>
      <c r="CK79" s="262"/>
      <c r="CL79" s="262"/>
      <c r="CM79" s="262"/>
      <c r="CN79" s="262"/>
      <c r="CO79" s="262"/>
      <c r="CP79" s="262"/>
      <c r="CQ79" s="262"/>
      <c r="CR79" s="262"/>
      <c r="CS79" s="262"/>
      <c r="CT79" s="262"/>
      <c r="CU79" s="262"/>
      <c r="CV79" s="262"/>
      <c r="CW79" s="262"/>
      <c r="CX79" s="262"/>
      <c r="CY79" s="262"/>
      <c r="CZ79" s="262"/>
      <c r="DA79" s="262"/>
    </row>
    <row r="80" spans="1:105" s="263" customFormat="1" ht="12.75" customHeight="1">
      <c r="A80" s="280" t="s">
        <v>154</v>
      </c>
      <c r="B80" s="284" t="s">
        <v>1131</v>
      </c>
      <c r="C80" s="284"/>
      <c r="D80" s="282">
        <v>130891</v>
      </c>
      <c r="E80" s="283">
        <v>9</v>
      </c>
      <c r="F80" s="252">
        <v>79</v>
      </c>
      <c r="G80" s="253">
        <v>753485</v>
      </c>
      <c r="H80" s="267">
        <v>80</v>
      </c>
      <c r="I80" s="268">
        <v>877326</v>
      </c>
      <c r="J80" s="252">
        <v>71</v>
      </c>
      <c r="K80" s="253">
        <v>764257</v>
      </c>
      <c r="L80" s="267">
        <v>74</v>
      </c>
      <c r="M80" s="268">
        <v>853989</v>
      </c>
      <c r="N80" s="252">
        <v>79</v>
      </c>
      <c r="O80" s="253">
        <v>1114</v>
      </c>
      <c r="P80" s="267">
        <v>80</v>
      </c>
      <c r="Q80" s="268">
        <v>1597</v>
      </c>
      <c r="R80" s="252">
        <v>79</v>
      </c>
      <c r="S80" s="253">
        <v>377483</v>
      </c>
      <c r="T80" s="267">
        <v>80</v>
      </c>
      <c r="U80" s="268">
        <v>390206</v>
      </c>
      <c r="V80" s="252">
        <v>79</v>
      </c>
      <c r="W80" s="253">
        <v>8389</v>
      </c>
      <c r="X80" s="267">
        <v>80</v>
      </c>
      <c r="Y80" s="268">
        <v>8671</v>
      </c>
      <c r="Z80" s="252">
        <v>54</v>
      </c>
      <c r="AA80" s="253">
        <v>13748</v>
      </c>
      <c r="AB80" s="267">
        <v>48</v>
      </c>
      <c r="AC80" s="268">
        <v>9241</v>
      </c>
      <c r="AD80" s="252">
        <v>79</v>
      </c>
      <c r="AE80" s="253">
        <v>98688</v>
      </c>
      <c r="AF80" s="267">
        <v>80</v>
      </c>
      <c r="AG80" s="268">
        <v>99464</v>
      </c>
      <c r="AH80" s="252"/>
      <c r="AI80" s="253"/>
      <c r="AJ80" s="267"/>
      <c r="AK80" s="268"/>
      <c r="AL80" s="252"/>
      <c r="AM80" s="253"/>
      <c r="AN80" s="267"/>
      <c r="AO80" s="268"/>
      <c r="AP80" s="255">
        <f t="shared" si="16"/>
        <v>79</v>
      </c>
      <c r="AQ80" s="256">
        <f t="shared" si="17"/>
        <v>2017164</v>
      </c>
      <c r="AR80" s="257">
        <f t="shared" si="18"/>
        <v>80</v>
      </c>
      <c r="AS80" s="258">
        <f t="shared" si="19"/>
        <v>2240494</v>
      </c>
      <c r="AT80" s="259">
        <v>38</v>
      </c>
      <c r="AU80" s="253">
        <v>451772</v>
      </c>
      <c r="AV80" s="267">
        <v>41</v>
      </c>
      <c r="AW80" s="268">
        <v>574295</v>
      </c>
      <c r="AX80" s="252">
        <v>35</v>
      </c>
      <c r="AY80" s="253">
        <v>397675</v>
      </c>
      <c r="AZ80" s="267">
        <v>39</v>
      </c>
      <c r="BA80" s="268">
        <v>460540</v>
      </c>
      <c r="BB80" s="252">
        <v>38</v>
      </c>
      <c r="BC80" s="253">
        <v>2863</v>
      </c>
      <c r="BD80" s="267">
        <v>41</v>
      </c>
      <c r="BE80" s="268">
        <v>1981</v>
      </c>
      <c r="BF80" s="252">
        <v>38</v>
      </c>
      <c r="BG80" s="253">
        <v>226330</v>
      </c>
      <c r="BH80" s="267">
        <v>41</v>
      </c>
      <c r="BI80" s="268">
        <v>255428</v>
      </c>
      <c r="BJ80" s="252">
        <v>38</v>
      </c>
      <c r="BK80" s="253">
        <v>5030</v>
      </c>
      <c r="BL80" s="267">
        <v>41</v>
      </c>
      <c r="BM80" s="268">
        <v>5676</v>
      </c>
      <c r="BN80" s="252">
        <v>28</v>
      </c>
      <c r="BO80" s="253">
        <v>9473</v>
      </c>
      <c r="BP80" s="267">
        <v>27</v>
      </c>
      <c r="BQ80" s="268">
        <v>6365</v>
      </c>
      <c r="BR80" s="252">
        <v>38</v>
      </c>
      <c r="BS80" s="253">
        <v>59171</v>
      </c>
      <c r="BT80" s="267">
        <v>41</v>
      </c>
      <c r="BU80" s="268">
        <v>65109</v>
      </c>
      <c r="BV80" s="252"/>
      <c r="BW80" s="253"/>
      <c r="BX80" s="267"/>
      <c r="BY80" s="268"/>
      <c r="BZ80" s="252"/>
      <c r="CA80" s="253"/>
      <c r="CB80" s="267"/>
      <c r="CC80" s="268"/>
      <c r="CD80" s="255">
        <f t="shared" si="20"/>
        <v>38</v>
      </c>
      <c r="CE80" s="256">
        <f t="shared" si="21"/>
        <v>1152314</v>
      </c>
      <c r="CF80" s="257">
        <f t="shared" si="22"/>
        <v>41</v>
      </c>
      <c r="CG80" s="261">
        <f t="shared" si="23"/>
        <v>1369394</v>
      </c>
      <c r="CH80" s="262"/>
      <c r="CI80" s="262"/>
      <c r="CJ80" s="262"/>
      <c r="CK80" s="262"/>
      <c r="CL80" s="262"/>
      <c r="CM80" s="262"/>
      <c r="CN80" s="262"/>
      <c r="CO80" s="262"/>
      <c r="CP80" s="262"/>
      <c r="CQ80" s="262"/>
      <c r="CR80" s="262"/>
      <c r="CS80" s="262"/>
      <c r="CT80" s="262"/>
      <c r="CU80" s="262"/>
      <c r="CV80" s="262"/>
      <c r="CW80" s="262"/>
      <c r="CX80" s="262"/>
      <c r="CY80" s="262"/>
      <c r="CZ80" s="262"/>
      <c r="DA80" s="262"/>
    </row>
    <row r="81" spans="1:105" s="263" customFormat="1" ht="12.75" customHeight="1">
      <c r="A81" s="280" t="s">
        <v>154</v>
      </c>
      <c r="B81" s="478" t="s">
        <v>1132</v>
      </c>
      <c r="C81" s="479" t="s">
        <v>1196</v>
      </c>
      <c r="D81" s="282">
        <v>130916</v>
      </c>
      <c r="E81" s="283">
        <v>9</v>
      </c>
      <c r="F81" s="252">
        <v>131</v>
      </c>
      <c r="G81" s="253">
        <v>1249494</v>
      </c>
      <c r="H81" s="267">
        <v>134</v>
      </c>
      <c r="I81" s="268">
        <v>1480298</v>
      </c>
      <c r="J81" s="252">
        <v>111</v>
      </c>
      <c r="K81" s="253">
        <v>1086001</v>
      </c>
      <c r="L81" s="267">
        <v>115</v>
      </c>
      <c r="M81" s="268">
        <v>1364961</v>
      </c>
      <c r="N81" s="252">
        <v>131</v>
      </c>
      <c r="O81" s="253">
        <v>2343</v>
      </c>
      <c r="P81" s="267">
        <v>134</v>
      </c>
      <c r="Q81" s="268">
        <v>2365</v>
      </c>
      <c r="R81" s="252">
        <v>131</v>
      </c>
      <c r="S81" s="253">
        <v>625974</v>
      </c>
      <c r="T81" s="267">
        <v>134</v>
      </c>
      <c r="U81" s="268">
        <v>658389</v>
      </c>
      <c r="V81" s="252">
        <v>131</v>
      </c>
      <c r="W81" s="253">
        <v>13911</v>
      </c>
      <c r="X81" s="267">
        <v>134</v>
      </c>
      <c r="Y81" s="268">
        <v>14631</v>
      </c>
      <c r="Z81" s="252">
        <v>89</v>
      </c>
      <c r="AA81" s="253">
        <v>26351</v>
      </c>
      <c r="AB81" s="267">
        <v>88</v>
      </c>
      <c r="AC81" s="268">
        <v>18891</v>
      </c>
      <c r="AD81" s="252">
        <v>131</v>
      </c>
      <c r="AE81" s="253">
        <v>163653</v>
      </c>
      <c r="AF81" s="267">
        <v>134</v>
      </c>
      <c r="AG81" s="268">
        <v>167825</v>
      </c>
      <c r="AH81" s="252"/>
      <c r="AI81" s="253"/>
      <c r="AJ81" s="267"/>
      <c r="AK81" s="268"/>
      <c r="AL81" s="252"/>
      <c r="AM81" s="253"/>
      <c r="AN81" s="267"/>
      <c r="AO81" s="268"/>
      <c r="AP81" s="255">
        <f t="shared" si="16"/>
        <v>131</v>
      </c>
      <c r="AQ81" s="256">
        <f t="shared" si="17"/>
        <v>3167727</v>
      </c>
      <c r="AR81" s="257">
        <f t="shared" si="18"/>
        <v>134</v>
      </c>
      <c r="AS81" s="258">
        <f t="shared" si="19"/>
        <v>3707360</v>
      </c>
      <c r="AT81" s="259">
        <v>47</v>
      </c>
      <c r="AU81" s="253">
        <v>561502</v>
      </c>
      <c r="AV81" s="267">
        <v>45</v>
      </c>
      <c r="AW81" s="268">
        <v>652751</v>
      </c>
      <c r="AX81" s="252">
        <v>46</v>
      </c>
      <c r="AY81" s="253">
        <v>502411</v>
      </c>
      <c r="AZ81" s="267">
        <v>38</v>
      </c>
      <c r="BA81" s="268">
        <v>474577</v>
      </c>
      <c r="BB81" s="252">
        <v>47</v>
      </c>
      <c r="BC81" s="253">
        <v>927</v>
      </c>
      <c r="BD81" s="267">
        <v>45</v>
      </c>
      <c r="BE81" s="268">
        <v>1051</v>
      </c>
      <c r="BF81" s="252">
        <v>47</v>
      </c>
      <c r="BG81" s="253">
        <v>281302</v>
      </c>
      <c r="BH81" s="267">
        <v>45</v>
      </c>
      <c r="BI81" s="268">
        <v>290322</v>
      </c>
      <c r="BJ81" s="252">
        <v>47</v>
      </c>
      <c r="BK81" s="253">
        <v>6251</v>
      </c>
      <c r="BL81" s="267">
        <v>45</v>
      </c>
      <c r="BM81" s="268">
        <v>6452</v>
      </c>
      <c r="BN81" s="252">
        <v>31</v>
      </c>
      <c r="BO81" s="253">
        <v>10522</v>
      </c>
      <c r="BP81" s="267">
        <v>30</v>
      </c>
      <c r="BQ81" s="268">
        <v>7731</v>
      </c>
      <c r="BR81" s="252">
        <v>47</v>
      </c>
      <c r="BS81" s="253">
        <v>73543</v>
      </c>
      <c r="BT81" s="267">
        <v>45</v>
      </c>
      <c r="BU81" s="268">
        <v>74004</v>
      </c>
      <c r="BV81" s="252"/>
      <c r="BW81" s="253"/>
      <c r="BX81" s="267"/>
      <c r="BY81" s="268"/>
      <c r="BZ81" s="252"/>
      <c r="CA81" s="253"/>
      <c r="CB81" s="267"/>
      <c r="CC81" s="268"/>
      <c r="CD81" s="255">
        <f t="shared" si="20"/>
        <v>47</v>
      </c>
      <c r="CE81" s="256">
        <f t="shared" si="21"/>
        <v>1436458</v>
      </c>
      <c r="CF81" s="257">
        <f t="shared" si="22"/>
        <v>45</v>
      </c>
      <c r="CG81" s="261">
        <f t="shared" si="23"/>
        <v>1506888</v>
      </c>
      <c r="CH81" s="262"/>
      <c r="CI81" s="262"/>
      <c r="CJ81" s="262"/>
      <c r="CK81" s="262"/>
      <c r="CL81" s="262"/>
      <c r="CM81" s="262"/>
      <c r="CN81" s="262"/>
      <c r="CO81" s="262"/>
      <c r="CP81" s="262"/>
      <c r="CQ81" s="262"/>
      <c r="CR81" s="262"/>
      <c r="CS81" s="262"/>
      <c r="CT81" s="262"/>
      <c r="CU81" s="262"/>
      <c r="CV81" s="262"/>
      <c r="CW81" s="262"/>
      <c r="CX81" s="262"/>
      <c r="CY81" s="262"/>
      <c r="CZ81" s="262"/>
      <c r="DA81" s="262"/>
    </row>
    <row r="82" spans="1:105" s="263" customFormat="1" ht="12.75" customHeight="1">
      <c r="A82" s="280" t="s">
        <v>154</v>
      </c>
      <c r="B82" s="286" t="s">
        <v>1133</v>
      </c>
      <c r="C82" s="286"/>
      <c r="D82" s="282">
        <v>130907</v>
      </c>
      <c r="E82" s="283">
        <v>10</v>
      </c>
      <c r="F82" s="252">
        <v>60</v>
      </c>
      <c r="G82" s="253">
        <v>566287</v>
      </c>
      <c r="H82" s="267">
        <v>60</v>
      </c>
      <c r="I82" s="268">
        <v>657800</v>
      </c>
      <c r="J82" s="252">
        <v>53</v>
      </c>
      <c r="K82" s="253">
        <v>537754</v>
      </c>
      <c r="L82" s="267">
        <v>51</v>
      </c>
      <c r="M82" s="268">
        <v>633929</v>
      </c>
      <c r="N82" s="252">
        <v>60</v>
      </c>
      <c r="O82" s="253">
        <v>395</v>
      </c>
      <c r="P82" s="267">
        <v>60</v>
      </c>
      <c r="Q82" s="268">
        <v>405</v>
      </c>
      <c r="R82" s="252">
        <v>60</v>
      </c>
      <c r="S82" s="253">
        <v>283700</v>
      </c>
      <c r="T82" s="267">
        <v>60</v>
      </c>
      <c r="U82" s="268">
        <v>292568</v>
      </c>
      <c r="V82" s="252">
        <v>60</v>
      </c>
      <c r="W82" s="253">
        <v>6304</v>
      </c>
      <c r="X82" s="267">
        <v>60</v>
      </c>
      <c r="Y82" s="268">
        <v>6502</v>
      </c>
      <c r="Z82" s="252">
        <v>37</v>
      </c>
      <c r="AA82" s="253">
        <v>10844</v>
      </c>
      <c r="AB82" s="267">
        <v>37</v>
      </c>
      <c r="AC82" s="268">
        <v>8376</v>
      </c>
      <c r="AD82" s="252">
        <v>60</v>
      </c>
      <c r="AE82" s="253">
        <v>74170</v>
      </c>
      <c r="AF82" s="267">
        <v>60</v>
      </c>
      <c r="AG82" s="268">
        <v>74576</v>
      </c>
      <c r="AH82" s="252"/>
      <c r="AI82" s="253"/>
      <c r="AJ82" s="267"/>
      <c r="AK82" s="268"/>
      <c r="AL82" s="252"/>
      <c r="AM82" s="253"/>
      <c r="AN82" s="267"/>
      <c r="AO82" s="268"/>
      <c r="AP82" s="255">
        <f t="shared" si="16"/>
        <v>60</v>
      </c>
      <c r="AQ82" s="256">
        <f t="shared" si="17"/>
        <v>1479454</v>
      </c>
      <c r="AR82" s="257">
        <f t="shared" si="18"/>
        <v>60</v>
      </c>
      <c r="AS82" s="258">
        <f t="shared" si="19"/>
        <v>1674156</v>
      </c>
      <c r="AT82" s="259">
        <v>21</v>
      </c>
      <c r="AU82" s="253">
        <v>251990</v>
      </c>
      <c r="AV82" s="267">
        <v>24</v>
      </c>
      <c r="AW82" s="268">
        <v>340750</v>
      </c>
      <c r="AX82" s="252">
        <v>21</v>
      </c>
      <c r="AY82" s="253">
        <v>224502</v>
      </c>
      <c r="AZ82" s="267">
        <v>23</v>
      </c>
      <c r="BA82" s="268">
        <v>265546</v>
      </c>
      <c r="BB82" s="252">
        <v>0</v>
      </c>
      <c r="BC82" s="253">
        <v>0</v>
      </c>
      <c r="BD82" s="267">
        <v>0</v>
      </c>
      <c r="BE82" s="268">
        <v>0</v>
      </c>
      <c r="BF82" s="252">
        <v>21</v>
      </c>
      <c r="BG82" s="253">
        <v>126243</v>
      </c>
      <c r="BH82" s="267">
        <v>24</v>
      </c>
      <c r="BI82" s="268">
        <v>151555</v>
      </c>
      <c r="BJ82" s="252">
        <v>21</v>
      </c>
      <c r="BK82" s="253">
        <v>2805</v>
      </c>
      <c r="BL82" s="267">
        <v>24</v>
      </c>
      <c r="BM82" s="268">
        <v>3368</v>
      </c>
      <c r="BN82" s="252">
        <v>11</v>
      </c>
      <c r="BO82" s="253">
        <v>3244</v>
      </c>
      <c r="BP82" s="267">
        <v>13</v>
      </c>
      <c r="BQ82" s="268">
        <v>2431</v>
      </c>
      <c r="BR82" s="252">
        <v>21</v>
      </c>
      <c r="BS82" s="253">
        <v>33005</v>
      </c>
      <c r="BT82" s="267">
        <v>24</v>
      </c>
      <c r="BU82" s="268">
        <v>38632</v>
      </c>
      <c r="BV82" s="252"/>
      <c r="BW82" s="253"/>
      <c r="BX82" s="267"/>
      <c r="BY82" s="268"/>
      <c r="BZ82" s="252"/>
      <c r="CA82" s="253"/>
      <c r="CB82" s="267"/>
      <c r="CC82" s="268"/>
      <c r="CD82" s="255">
        <f t="shared" si="20"/>
        <v>21</v>
      </c>
      <c r="CE82" s="256">
        <f t="shared" si="21"/>
        <v>641789</v>
      </c>
      <c r="CF82" s="257">
        <f t="shared" si="22"/>
        <v>24</v>
      </c>
      <c r="CG82" s="261">
        <f t="shared" si="23"/>
        <v>802282</v>
      </c>
      <c r="CH82" s="262"/>
      <c r="CI82" s="262"/>
      <c r="CJ82" s="262"/>
      <c r="CK82" s="262"/>
      <c r="CL82" s="262"/>
      <c r="CM82" s="262"/>
      <c r="CN82" s="262"/>
      <c r="CO82" s="262"/>
      <c r="CP82" s="262"/>
      <c r="CQ82" s="262"/>
      <c r="CR82" s="262"/>
      <c r="CS82" s="262"/>
      <c r="CT82" s="262"/>
      <c r="CU82" s="262"/>
      <c r="CV82" s="262"/>
      <c r="CW82" s="262"/>
      <c r="CX82" s="262"/>
      <c r="CY82" s="262"/>
      <c r="CZ82" s="262"/>
      <c r="DA82" s="262"/>
    </row>
    <row r="83" spans="1:105" s="263" customFormat="1" ht="12.75" customHeight="1">
      <c r="A83" s="287" t="s">
        <v>155</v>
      </c>
      <c r="B83" s="288" t="s">
        <v>160</v>
      </c>
      <c r="C83" s="288"/>
      <c r="D83" s="289">
        <v>133951</v>
      </c>
      <c r="E83" s="290">
        <v>1</v>
      </c>
      <c r="F83" s="252">
        <v>790</v>
      </c>
      <c r="G83" s="253">
        <v>8717384.6009999998</v>
      </c>
      <c r="H83" s="291">
        <v>806</v>
      </c>
      <c r="I83" s="291">
        <v>6766084</v>
      </c>
      <c r="J83" s="252">
        <v>753</v>
      </c>
      <c r="K83" s="253">
        <v>7214065.316999997</v>
      </c>
      <c r="L83" s="291">
        <v>774</v>
      </c>
      <c r="M83" s="291">
        <v>7934450</v>
      </c>
      <c r="N83" s="252"/>
      <c r="O83" s="253"/>
      <c r="P83" s="292"/>
      <c r="Q83" s="293"/>
      <c r="R83" s="252">
        <v>788</v>
      </c>
      <c r="S83" s="253">
        <v>4658249.7</v>
      </c>
      <c r="T83" s="291">
        <v>806</v>
      </c>
      <c r="U83" s="291">
        <v>3977458</v>
      </c>
      <c r="V83" s="252"/>
      <c r="W83" s="253"/>
      <c r="X83" s="291">
        <v>0</v>
      </c>
      <c r="Y83" s="291">
        <v>0</v>
      </c>
      <c r="Z83" s="252">
        <v>643</v>
      </c>
      <c r="AA83" s="253">
        <v>124120.11599999995</v>
      </c>
      <c r="AB83" s="291">
        <v>655</v>
      </c>
      <c r="AC83" s="291">
        <v>128819</v>
      </c>
      <c r="AD83" s="252"/>
      <c r="AE83" s="253"/>
      <c r="AF83" s="291">
        <v>0</v>
      </c>
      <c r="AG83" s="291">
        <v>0</v>
      </c>
      <c r="AH83" s="252"/>
      <c r="AI83" s="253"/>
      <c r="AJ83" s="292"/>
      <c r="AK83" s="293"/>
      <c r="AL83" s="252"/>
      <c r="AM83" s="253"/>
      <c r="AN83" s="292"/>
      <c r="AO83" s="293"/>
      <c r="AP83" s="255">
        <f t="shared" si="16"/>
        <v>790</v>
      </c>
      <c r="AQ83" s="256">
        <f t="shared" si="17"/>
        <v>20713819.733999997</v>
      </c>
      <c r="AR83" s="257">
        <f t="shared" si="18"/>
        <v>806</v>
      </c>
      <c r="AS83" s="258">
        <f t="shared" si="19"/>
        <v>18806811</v>
      </c>
      <c r="AT83" s="259">
        <v>49</v>
      </c>
      <c r="AU83" s="253">
        <v>651003.94800000009</v>
      </c>
      <c r="AV83" s="291">
        <v>52</v>
      </c>
      <c r="AW83" s="291">
        <v>642941</v>
      </c>
      <c r="AX83" s="252">
        <v>47</v>
      </c>
      <c r="AY83" s="253">
        <v>480537.01800000004</v>
      </c>
      <c r="AZ83" s="291">
        <v>49</v>
      </c>
      <c r="BA83" s="291">
        <v>473815</v>
      </c>
      <c r="BB83" s="252"/>
      <c r="BC83" s="253"/>
      <c r="BD83" s="292"/>
      <c r="BE83" s="293"/>
      <c r="BF83" s="252">
        <v>49</v>
      </c>
      <c r="BG83" s="253">
        <v>244207.26</v>
      </c>
      <c r="BH83" s="291">
        <v>52</v>
      </c>
      <c r="BI83" s="291">
        <v>284952</v>
      </c>
      <c r="BJ83" s="252"/>
      <c r="BK83" s="253"/>
      <c r="BL83" s="291">
        <v>0</v>
      </c>
      <c r="BM83" s="291">
        <v>0</v>
      </c>
      <c r="BN83" s="252">
        <v>45</v>
      </c>
      <c r="BO83" s="253">
        <v>13578.002999999999</v>
      </c>
      <c r="BP83" s="291">
        <v>46</v>
      </c>
      <c r="BQ83" s="291">
        <v>13594</v>
      </c>
      <c r="BR83" s="252"/>
      <c r="BS83" s="253"/>
      <c r="BT83" s="291">
        <v>0</v>
      </c>
      <c r="BU83" s="291">
        <v>0</v>
      </c>
      <c r="BV83" s="252"/>
      <c r="BW83" s="253"/>
      <c r="BX83" s="292"/>
      <c r="BY83" s="293"/>
      <c r="BZ83" s="252"/>
      <c r="CA83" s="253"/>
      <c r="CB83" s="292"/>
      <c r="CC83" s="293"/>
      <c r="CD83" s="255">
        <f t="shared" si="20"/>
        <v>49</v>
      </c>
      <c r="CE83" s="256">
        <f t="shared" si="21"/>
        <v>1389326.2290000003</v>
      </c>
      <c r="CF83" s="257">
        <f t="shared" si="22"/>
        <v>52</v>
      </c>
      <c r="CG83" s="261">
        <f t="shared" si="23"/>
        <v>1415302</v>
      </c>
    </row>
    <row r="84" spans="1:105" s="263" customFormat="1" ht="12.75" customHeight="1">
      <c r="A84" s="287" t="s">
        <v>155</v>
      </c>
      <c r="B84" s="294" t="s">
        <v>156</v>
      </c>
      <c r="C84" s="294"/>
      <c r="D84" s="295">
        <v>134097</v>
      </c>
      <c r="E84" s="295">
        <v>1</v>
      </c>
      <c r="F84" s="252">
        <v>1189</v>
      </c>
      <c r="G84" s="253">
        <v>9993412.2599999998</v>
      </c>
      <c r="H84" s="291">
        <v>1144</v>
      </c>
      <c r="I84" s="291">
        <v>10005207</v>
      </c>
      <c r="J84" s="252">
        <v>1114</v>
      </c>
      <c r="K84" s="253">
        <v>9639500</v>
      </c>
      <c r="L84" s="291">
        <v>1063</v>
      </c>
      <c r="M84" s="291">
        <v>9771788</v>
      </c>
      <c r="N84" s="252"/>
      <c r="O84" s="253"/>
      <c r="P84" s="292"/>
      <c r="Q84" s="293"/>
      <c r="R84" s="252">
        <v>1189</v>
      </c>
      <c r="S84" s="253">
        <v>6751102.2599999998</v>
      </c>
      <c r="T84" s="291">
        <v>1144</v>
      </c>
      <c r="U84" s="291">
        <v>6559684</v>
      </c>
      <c r="V84" s="252">
        <v>1189</v>
      </c>
      <c r="W84" s="253">
        <v>145086.0765</v>
      </c>
      <c r="X84" s="291">
        <v>1144</v>
      </c>
      <c r="Y84" s="291">
        <v>330776</v>
      </c>
      <c r="Z84" s="252">
        <v>865</v>
      </c>
      <c r="AA84" s="253">
        <v>227496.48</v>
      </c>
      <c r="AB84" s="291">
        <v>847</v>
      </c>
      <c r="AC84" s="291">
        <v>225772</v>
      </c>
      <c r="AD84" s="252">
        <v>1189</v>
      </c>
      <c r="AE84" s="253">
        <v>145086.0765</v>
      </c>
      <c r="AF84" s="291">
        <v>1144</v>
      </c>
      <c r="AG84" s="291">
        <v>330776</v>
      </c>
      <c r="AH84" s="252"/>
      <c r="AI84" s="253"/>
      <c r="AJ84" s="292"/>
      <c r="AK84" s="293"/>
      <c r="AL84" s="252"/>
      <c r="AM84" s="253"/>
      <c r="AN84" s="292"/>
      <c r="AO84" s="293"/>
      <c r="AP84" s="255">
        <f t="shared" si="16"/>
        <v>1189</v>
      </c>
      <c r="AQ84" s="256">
        <f t="shared" si="17"/>
        <v>26901683.152999997</v>
      </c>
      <c r="AR84" s="257">
        <f t="shared" si="18"/>
        <v>1144</v>
      </c>
      <c r="AS84" s="258">
        <f t="shared" si="19"/>
        <v>27224003</v>
      </c>
      <c r="AT84" s="259">
        <v>104</v>
      </c>
      <c r="AU84" s="253">
        <v>764249.92</v>
      </c>
      <c r="AV84" s="291">
        <v>104</v>
      </c>
      <c r="AW84" s="291">
        <v>788091</v>
      </c>
      <c r="AX84" s="252">
        <v>94</v>
      </c>
      <c r="AY84" s="253">
        <v>832885</v>
      </c>
      <c r="AZ84" s="291">
        <v>95</v>
      </c>
      <c r="BA84" s="291">
        <v>911341</v>
      </c>
      <c r="BB84" s="252"/>
      <c r="BC84" s="253"/>
      <c r="BD84" s="292"/>
      <c r="BE84" s="293"/>
      <c r="BF84" s="252">
        <v>104</v>
      </c>
      <c r="BG84" s="253">
        <v>541359.72</v>
      </c>
      <c r="BH84" s="291">
        <v>104</v>
      </c>
      <c r="BI84" s="291">
        <v>537960</v>
      </c>
      <c r="BJ84" s="252">
        <v>104</v>
      </c>
      <c r="BK84" s="253">
        <v>11230.852500000001</v>
      </c>
      <c r="BL84" s="291">
        <v>104</v>
      </c>
      <c r="BM84" s="291">
        <v>25881</v>
      </c>
      <c r="BN84" s="252">
        <v>71</v>
      </c>
      <c r="BO84" s="253">
        <v>17114.759999999998</v>
      </c>
      <c r="BP84" s="291">
        <v>70</v>
      </c>
      <c r="BQ84" s="291">
        <v>16846</v>
      </c>
      <c r="BR84" s="252">
        <v>104</v>
      </c>
      <c r="BS84" s="253">
        <v>11230.852500000001</v>
      </c>
      <c r="BT84" s="291">
        <v>104</v>
      </c>
      <c r="BU84" s="291">
        <v>25881</v>
      </c>
      <c r="BV84" s="252"/>
      <c r="BW84" s="253"/>
      <c r="BX84" s="292"/>
      <c r="BY84" s="293"/>
      <c r="BZ84" s="252"/>
      <c r="CA84" s="253"/>
      <c r="CB84" s="292"/>
      <c r="CC84" s="293"/>
      <c r="CD84" s="255">
        <f t="shared" si="20"/>
        <v>104</v>
      </c>
      <c r="CE84" s="256">
        <f t="shared" si="21"/>
        <v>2178071.105</v>
      </c>
      <c r="CF84" s="257">
        <f t="shared" si="22"/>
        <v>104</v>
      </c>
      <c r="CG84" s="261">
        <f t="shared" si="23"/>
        <v>2306000</v>
      </c>
    </row>
    <row r="85" spans="1:105" s="263" customFormat="1" ht="12.75" customHeight="1">
      <c r="A85" s="287" t="s">
        <v>155</v>
      </c>
      <c r="B85" s="296" t="s">
        <v>161</v>
      </c>
      <c r="C85" s="296"/>
      <c r="D85" s="297">
        <v>132903</v>
      </c>
      <c r="E85" s="297">
        <v>1</v>
      </c>
      <c r="F85" s="252">
        <v>976</v>
      </c>
      <c r="G85" s="253">
        <v>7204237</v>
      </c>
      <c r="H85" s="291">
        <v>1012</v>
      </c>
      <c r="I85" s="291">
        <v>7419917</v>
      </c>
      <c r="J85" s="252">
        <v>976</v>
      </c>
      <c r="K85" s="253">
        <v>7062977</v>
      </c>
      <c r="L85" s="291">
        <v>1012</v>
      </c>
      <c r="M85" s="291">
        <v>7274430</v>
      </c>
      <c r="N85" s="252"/>
      <c r="O85" s="253"/>
      <c r="P85" s="292"/>
      <c r="Q85" s="293"/>
      <c r="R85" s="252">
        <v>976</v>
      </c>
      <c r="S85" s="253">
        <v>5204885</v>
      </c>
      <c r="T85" s="291">
        <v>1012</v>
      </c>
      <c r="U85" s="291">
        <v>5341214</v>
      </c>
      <c r="V85" s="252">
        <v>976</v>
      </c>
      <c r="W85" s="253">
        <v>105942</v>
      </c>
      <c r="X85" s="291">
        <v>1012</v>
      </c>
      <c r="Y85" s="291">
        <v>363721</v>
      </c>
      <c r="Z85" s="252">
        <v>976</v>
      </c>
      <c r="AA85" s="253">
        <v>265908</v>
      </c>
      <c r="AB85" s="291">
        <v>1012</v>
      </c>
      <c r="AC85" s="291">
        <v>273773</v>
      </c>
      <c r="AD85" s="252">
        <v>976</v>
      </c>
      <c r="AE85" s="253">
        <v>423776</v>
      </c>
      <c r="AF85" s="291">
        <v>1012</v>
      </c>
      <c r="AG85" s="291">
        <v>363721</v>
      </c>
      <c r="AH85" s="252"/>
      <c r="AI85" s="253"/>
      <c r="AJ85" s="292"/>
      <c r="AK85" s="293"/>
      <c r="AL85" s="252"/>
      <c r="AM85" s="253"/>
      <c r="AN85" s="292"/>
      <c r="AO85" s="293"/>
      <c r="AP85" s="255">
        <f t="shared" si="16"/>
        <v>976</v>
      </c>
      <c r="AQ85" s="256">
        <f t="shared" si="17"/>
        <v>20267725</v>
      </c>
      <c r="AR85" s="257">
        <f t="shared" si="18"/>
        <v>1012</v>
      </c>
      <c r="AS85" s="258">
        <f t="shared" si="19"/>
        <v>21036776</v>
      </c>
      <c r="AT85" s="259">
        <v>121</v>
      </c>
      <c r="AU85" s="253">
        <v>1386790</v>
      </c>
      <c r="AV85" s="291">
        <v>133</v>
      </c>
      <c r="AW85" s="291">
        <v>1528691</v>
      </c>
      <c r="AX85" s="252">
        <v>121</v>
      </c>
      <c r="AY85" s="253">
        <v>1359599</v>
      </c>
      <c r="AZ85" s="291">
        <v>133</v>
      </c>
      <c r="BA85" s="291">
        <v>1498717</v>
      </c>
      <c r="BB85" s="252"/>
      <c r="BC85" s="253"/>
      <c r="BD85" s="292"/>
      <c r="BE85" s="293"/>
      <c r="BF85" s="252">
        <v>121</v>
      </c>
      <c r="BG85" s="253">
        <v>843649</v>
      </c>
      <c r="BH85" s="291">
        <v>133</v>
      </c>
      <c r="BI85" s="291">
        <v>926997</v>
      </c>
      <c r="BJ85" s="252">
        <v>121</v>
      </c>
      <c r="BK85" s="253">
        <v>20392</v>
      </c>
      <c r="BL85" s="291">
        <v>133</v>
      </c>
      <c r="BM85" s="291">
        <v>74936</v>
      </c>
      <c r="BN85" s="252">
        <v>121</v>
      </c>
      <c r="BO85" s="253">
        <v>52325</v>
      </c>
      <c r="BP85" s="291">
        <v>133</v>
      </c>
      <c r="BQ85" s="291">
        <v>57688</v>
      </c>
      <c r="BR85" s="252">
        <v>121</v>
      </c>
      <c r="BS85" s="253">
        <v>81574</v>
      </c>
      <c r="BT85" s="291">
        <v>133</v>
      </c>
      <c r="BU85" s="291">
        <v>74936</v>
      </c>
      <c r="BV85" s="252"/>
      <c r="BW85" s="253"/>
      <c r="BX85" s="292"/>
      <c r="BY85" s="293"/>
      <c r="BZ85" s="252"/>
      <c r="CA85" s="253"/>
      <c r="CB85" s="292"/>
      <c r="CC85" s="293"/>
      <c r="CD85" s="255">
        <f t="shared" si="20"/>
        <v>121</v>
      </c>
      <c r="CE85" s="256">
        <f t="shared" si="21"/>
        <v>3744329</v>
      </c>
      <c r="CF85" s="257">
        <f t="shared" si="22"/>
        <v>133</v>
      </c>
      <c r="CG85" s="261">
        <f t="shared" si="23"/>
        <v>4161965</v>
      </c>
    </row>
    <row r="86" spans="1:105" s="263" customFormat="1" ht="12.75" customHeight="1">
      <c r="A86" s="287" t="s">
        <v>155</v>
      </c>
      <c r="B86" s="294" t="s">
        <v>157</v>
      </c>
      <c r="C86" s="294"/>
      <c r="D86" s="295">
        <v>134130</v>
      </c>
      <c r="E86" s="295">
        <v>1</v>
      </c>
      <c r="F86" s="252">
        <v>1297</v>
      </c>
      <c r="G86" s="253">
        <v>11952183.82</v>
      </c>
      <c r="H86" s="291">
        <v>1303</v>
      </c>
      <c r="I86" s="291">
        <v>12624878</v>
      </c>
      <c r="J86" s="252">
        <v>1297</v>
      </c>
      <c r="K86" s="253">
        <v>13420654</v>
      </c>
      <c r="L86" s="291">
        <v>1303</v>
      </c>
      <c r="M86" s="291">
        <v>14155940</v>
      </c>
      <c r="N86" s="252"/>
      <c r="O86" s="253"/>
      <c r="P86" s="292"/>
      <c r="Q86" s="293"/>
      <c r="R86" s="252">
        <v>1297</v>
      </c>
      <c r="S86" s="253">
        <v>8046620.3599999994</v>
      </c>
      <c r="T86" s="291">
        <v>1303</v>
      </c>
      <c r="U86" s="291">
        <v>8376425</v>
      </c>
      <c r="V86" s="252"/>
      <c r="W86" s="253"/>
      <c r="X86" s="291">
        <v>0</v>
      </c>
      <c r="Y86" s="291">
        <v>0</v>
      </c>
      <c r="Z86" s="252">
        <v>1297</v>
      </c>
      <c r="AA86" s="253">
        <v>249121.92000000001</v>
      </c>
      <c r="AB86" s="291">
        <v>1303</v>
      </c>
      <c r="AC86" s="291">
        <v>263143</v>
      </c>
      <c r="AD86" s="252">
        <v>1297</v>
      </c>
      <c r="AE86" s="253">
        <v>114589.03</v>
      </c>
      <c r="AF86" s="291">
        <v>1303</v>
      </c>
      <c r="AG86" s="291">
        <v>121039</v>
      </c>
      <c r="AH86" s="252"/>
      <c r="AI86" s="253"/>
      <c r="AJ86" s="292"/>
      <c r="AK86" s="293"/>
      <c r="AL86" s="252"/>
      <c r="AM86" s="253"/>
      <c r="AN86" s="292"/>
      <c r="AO86" s="293"/>
      <c r="AP86" s="255">
        <f t="shared" si="16"/>
        <v>1297</v>
      </c>
      <c r="AQ86" s="256">
        <f t="shared" si="17"/>
        <v>33783169.129999995</v>
      </c>
      <c r="AR86" s="257">
        <f t="shared" si="18"/>
        <v>1303</v>
      </c>
      <c r="AS86" s="258">
        <f t="shared" si="19"/>
        <v>35541425</v>
      </c>
      <c r="AT86" s="259">
        <v>690</v>
      </c>
      <c r="AU86" s="253">
        <v>6997049.8899999997</v>
      </c>
      <c r="AV86" s="291">
        <v>689</v>
      </c>
      <c r="AW86" s="291">
        <v>7274706</v>
      </c>
      <c r="AX86" s="252">
        <v>690</v>
      </c>
      <c r="AY86" s="253">
        <v>7162788</v>
      </c>
      <c r="AZ86" s="291">
        <v>689</v>
      </c>
      <c r="BA86" s="291">
        <v>7650922</v>
      </c>
      <c r="BB86" s="252"/>
      <c r="BC86" s="253"/>
      <c r="BD86" s="292"/>
      <c r="BE86" s="293"/>
      <c r="BF86" s="252">
        <v>690</v>
      </c>
      <c r="BG86" s="253">
        <v>4650601.72</v>
      </c>
      <c r="BH86" s="291">
        <v>689</v>
      </c>
      <c r="BI86" s="291">
        <v>4780662</v>
      </c>
      <c r="BJ86" s="252"/>
      <c r="BK86" s="253"/>
      <c r="BL86" s="291">
        <v>0</v>
      </c>
      <c r="BM86" s="291">
        <v>0</v>
      </c>
      <c r="BN86" s="252">
        <v>690</v>
      </c>
      <c r="BO86" s="253">
        <v>145841.60999999999</v>
      </c>
      <c r="BP86" s="291">
        <v>689</v>
      </c>
      <c r="BQ86" s="291">
        <v>151628</v>
      </c>
      <c r="BR86" s="252">
        <v>690</v>
      </c>
      <c r="BS86" s="253">
        <v>67083.38</v>
      </c>
      <c r="BT86" s="291">
        <v>689</v>
      </c>
      <c r="BU86" s="291">
        <v>69745</v>
      </c>
      <c r="BV86" s="252"/>
      <c r="BW86" s="253"/>
      <c r="BX86" s="292"/>
      <c r="BY86" s="293"/>
      <c r="BZ86" s="252"/>
      <c r="CA86" s="253"/>
      <c r="CB86" s="292"/>
      <c r="CC86" s="293"/>
      <c r="CD86" s="255">
        <f t="shared" si="20"/>
        <v>690</v>
      </c>
      <c r="CE86" s="256">
        <f t="shared" si="21"/>
        <v>19023364.600000001</v>
      </c>
      <c r="CF86" s="257">
        <f t="shared" si="22"/>
        <v>689</v>
      </c>
      <c r="CG86" s="261">
        <f t="shared" si="23"/>
        <v>19927663</v>
      </c>
    </row>
    <row r="87" spans="1:105" s="263" customFormat="1" ht="12.75" customHeight="1">
      <c r="A87" s="287" t="s">
        <v>155</v>
      </c>
      <c r="B87" s="294" t="s">
        <v>158</v>
      </c>
      <c r="C87" s="294"/>
      <c r="D87" s="295">
        <v>137351</v>
      </c>
      <c r="E87" s="295">
        <v>1</v>
      </c>
      <c r="F87" s="252">
        <v>1026</v>
      </c>
      <c r="G87" s="253">
        <v>8274280</v>
      </c>
      <c r="H87" s="291">
        <v>1056</v>
      </c>
      <c r="I87" s="291">
        <v>8799263</v>
      </c>
      <c r="J87" s="252">
        <v>960</v>
      </c>
      <c r="K87" s="253">
        <v>6893739</v>
      </c>
      <c r="L87" s="291">
        <v>999</v>
      </c>
      <c r="M87" s="291">
        <v>7519320</v>
      </c>
      <c r="N87" s="252"/>
      <c r="O87" s="253"/>
      <c r="P87" s="292"/>
      <c r="Q87" s="293"/>
      <c r="R87" s="252">
        <v>1024</v>
      </c>
      <c r="S87" s="253">
        <v>5030044.5</v>
      </c>
      <c r="T87" s="291">
        <v>1053</v>
      </c>
      <c r="U87" s="291">
        <v>5034827</v>
      </c>
      <c r="V87" s="252">
        <v>1026</v>
      </c>
      <c r="W87" s="253">
        <v>24050</v>
      </c>
      <c r="X87" s="291">
        <v>1056</v>
      </c>
      <c r="Y87" s="291">
        <v>25065</v>
      </c>
      <c r="Z87" s="252">
        <v>799</v>
      </c>
      <c r="AA87" s="253">
        <v>104834</v>
      </c>
      <c r="AB87" s="291">
        <v>821</v>
      </c>
      <c r="AC87" s="291">
        <v>107878</v>
      </c>
      <c r="AD87" s="252">
        <v>1026</v>
      </c>
      <c r="AE87" s="253">
        <v>689391</v>
      </c>
      <c r="AF87" s="291">
        <v>1056</v>
      </c>
      <c r="AG87" s="291">
        <v>718470</v>
      </c>
      <c r="AH87" s="252"/>
      <c r="AI87" s="253"/>
      <c r="AJ87" s="292"/>
      <c r="AK87" s="293"/>
      <c r="AL87" s="252"/>
      <c r="AM87" s="253"/>
      <c r="AN87" s="292"/>
      <c r="AO87" s="293"/>
      <c r="AP87" s="255">
        <f t="shared" si="16"/>
        <v>1026</v>
      </c>
      <c r="AQ87" s="256">
        <f t="shared" si="17"/>
        <v>21016338.5</v>
      </c>
      <c r="AR87" s="257">
        <f t="shared" si="18"/>
        <v>1056</v>
      </c>
      <c r="AS87" s="258">
        <f t="shared" si="19"/>
        <v>22204823</v>
      </c>
      <c r="AT87" s="259">
        <v>261</v>
      </c>
      <c r="AU87" s="253">
        <v>2445036</v>
      </c>
      <c r="AV87" s="291">
        <v>297</v>
      </c>
      <c r="AW87" s="291">
        <v>2882445</v>
      </c>
      <c r="AX87" s="252">
        <v>241</v>
      </c>
      <c r="AY87" s="253">
        <v>2369528</v>
      </c>
      <c r="AZ87" s="291">
        <v>278</v>
      </c>
      <c r="BA87" s="291">
        <v>2768072</v>
      </c>
      <c r="BB87" s="252"/>
      <c r="BC87" s="253"/>
      <c r="BD87" s="292"/>
      <c r="BE87" s="293"/>
      <c r="BF87" s="252">
        <v>260</v>
      </c>
      <c r="BG87" s="253">
        <v>1429105</v>
      </c>
      <c r="BH87" s="291">
        <v>296</v>
      </c>
      <c r="BI87" s="291">
        <v>1597550.8</v>
      </c>
      <c r="BJ87" s="252">
        <v>261</v>
      </c>
      <c r="BK87" s="253">
        <v>6928</v>
      </c>
      <c r="BL87" s="291">
        <v>297</v>
      </c>
      <c r="BM87" s="291">
        <v>7935.9</v>
      </c>
      <c r="BN87" s="252">
        <v>205</v>
      </c>
      <c r="BO87" s="253">
        <v>39221</v>
      </c>
      <c r="BP87" s="291">
        <v>235</v>
      </c>
      <c r="BQ87" s="291">
        <v>44508.2</v>
      </c>
      <c r="BR87" s="252">
        <v>261</v>
      </c>
      <c r="BS87" s="253">
        <v>198583</v>
      </c>
      <c r="BT87" s="291">
        <v>297</v>
      </c>
      <c r="BU87" s="291">
        <v>227511.30000000002</v>
      </c>
      <c r="BV87" s="252"/>
      <c r="BW87" s="253"/>
      <c r="BX87" s="292"/>
      <c r="BY87" s="293"/>
      <c r="BZ87" s="252"/>
      <c r="CA87" s="253"/>
      <c r="CB87" s="292"/>
      <c r="CC87" s="293"/>
      <c r="CD87" s="255">
        <f t="shared" si="20"/>
        <v>261</v>
      </c>
      <c r="CE87" s="256">
        <f t="shared" si="21"/>
        <v>6488401</v>
      </c>
      <c r="CF87" s="257">
        <f t="shared" si="22"/>
        <v>297</v>
      </c>
      <c r="CG87" s="261">
        <f t="shared" si="23"/>
        <v>7528023.2000000002</v>
      </c>
    </row>
    <row r="88" spans="1:105" s="263" customFormat="1" ht="12.75" customHeight="1">
      <c r="A88" s="287" t="s">
        <v>155</v>
      </c>
      <c r="B88" s="294" t="s">
        <v>159</v>
      </c>
      <c r="C88" s="294"/>
      <c r="D88" s="295">
        <v>133669</v>
      </c>
      <c r="E88" s="295">
        <v>2</v>
      </c>
      <c r="F88" s="252">
        <v>722</v>
      </c>
      <c r="G88" s="253">
        <v>5149831.4620480007</v>
      </c>
      <c r="H88" s="291">
        <v>719</v>
      </c>
      <c r="I88" s="291">
        <v>5376637</v>
      </c>
      <c r="J88" s="252">
        <v>684</v>
      </c>
      <c r="K88" s="253">
        <v>5339052</v>
      </c>
      <c r="L88" s="291">
        <v>686</v>
      </c>
      <c r="M88" s="291">
        <v>6517607</v>
      </c>
      <c r="N88" s="252"/>
      <c r="O88" s="253"/>
      <c r="P88" s="292"/>
      <c r="Q88" s="293"/>
      <c r="R88" s="252">
        <v>722</v>
      </c>
      <c r="S88" s="253">
        <v>3003528.6888200003</v>
      </c>
      <c r="T88" s="291">
        <v>719</v>
      </c>
      <c r="U88" s="291">
        <v>3796831</v>
      </c>
      <c r="V88" s="252">
        <v>722</v>
      </c>
      <c r="W88" s="253">
        <v>524671.75635000004</v>
      </c>
      <c r="X88" s="291">
        <v>719</v>
      </c>
      <c r="Y88" s="291">
        <v>537768</v>
      </c>
      <c r="Z88" s="252">
        <v>559</v>
      </c>
      <c r="AA88" s="253">
        <v>209812.23955839995</v>
      </c>
      <c r="AB88" s="291">
        <v>544</v>
      </c>
      <c r="AC88" s="291">
        <v>88713</v>
      </c>
      <c r="AD88" s="252">
        <v>722</v>
      </c>
      <c r="AE88" s="253">
        <v>299812.4322000001</v>
      </c>
      <c r="AF88" s="291">
        <v>719</v>
      </c>
      <c r="AG88" s="291">
        <v>306472</v>
      </c>
      <c r="AH88" s="252"/>
      <c r="AI88" s="253"/>
      <c r="AJ88" s="292"/>
      <c r="AK88" s="293"/>
      <c r="AL88" s="252"/>
      <c r="AM88" s="253"/>
      <c r="AN88" s="292"/>
      <c r="AO88" s="293"/>
      <c r="AP88" s="255">
        <f t="shared" si="16"/>
        <v>722</v>
      </c>
      <c r="AQ88" s="256">
        <f t="shared" si="17"/>
        <v>14526708.5789764</v>
      </c>
      <c r="AR88" s="257">
        <f t="shared" si="18"/>
        <v>719</v>
      </c>
      <c r="AS88" s="258">
        <f t="shared" si="19"/>
        <v>16624028</v>
      </c>
      <c r="AT88" s="259">
        <v>57</v>
      </c>
      <c r="AU88" s="253">
        <v>455024.62672900007</v>
      </c>
      <c r="AV88" s="291">
        <v>55</v>
      </c>
      <c r="AW88" s="291">
        <v>455919</v>
      </c>
      <c r="AX88" s="252">
        <v>54</v>
      </c>
      <c r="AY88" s="253">
        <v>407411</v>
      </c>
      <c r="AZ88" s="291">
        <v>51</v>
      </c>
      <c r="BA88" s="291">
        <v>470992</v>
      </c>
      <c r="BB88" s="252"/>
      <c r="BC88" s="253"/>
      <c r="BD88" s="292"/>
      <c r="BE88" s="293"/>
      <c r="BF88" s="252">
        <v>57</v>
      </c>
      <c r="BG88" s="253">
        <v>263643.41777999996</v>
      </c>
      <c r="BH88" s="291">
        <v>55</v>
      </c>
      <c r="BI88" s="291">
        <v>325174</v>
      </c>
      <c r="BJ88" s="252">
        <v>57</v>
      </c>
      <c r="BK88" s="253">
        <v>46148.169585000003</v>
      </c>
      <c r="BL88" s="291">
        <v>55</v>
      </c>
      <c r="BM88" s="291">
        <v>45878</v>
      </c>
      <c r="BN88" s="252">
        <v>45</v>
      </c>
      <c r="BO88" s="253">
        <v>18487.306644479999</v>
      </c>
      <c r="BP88" s="291">
        <v>41</v>
      </c>
      <c r="BQ88" s="291">
        <v>7384</v>
      </c>
      <c r="BR88" s="252">
        <v>57</v>
      </c>
      <c r="BS88" s="253">
        <v>26370.382620000004</v>
      </c>
      <c r="BT88" s="291">
        <v>55</v>
      </c>
      <c r="BU88" s="291">
        <v>26216</v>
      </c>
      <c r="BV88" s="252"/>
      <c r="BW88" s="253"/>
      <c r="BX88" s="292"/>
      <c r="BY88" s="293"/>
      <c r="BZ88" s="252"/>
      <c r="CA88" s="253"/>
      <c r="CB88" s="292"/>
      <c r="CC88" s="293"/>
      <c r="CD88" s="255">
        <f t="shared" si="20"/>
        <v>57</v>
      </c>
      <c r="CE88" s="256">
        <f t="shared" si="21"/>
        <v>1217084.90335848</v>
      </c>
      <c r="CF88" s="257">
        <f t="shared" si="22"/>
        <v>55</v>
      </c>
      <c r="CG88" s="261">
        <f t="shared" si="23"/>
        <v>1331563</v>
      </c>
    </row>
    <row r="89" spans="1:105" s="263" customFormat="1" ht="12.75" customHeight="1">
      <c r="A89" s="287" t="s">
        <v>155</v>
      </c>
      <c r="B89" s="294" t="s">
        <v>162</v>
      </c>
      <c r="C89" s="294"/>
      <c r="D89" s="295">
        <v>133650</v>
      </c>
      <c r="E89" s="295">
        <v>3</v>
      </c>
      <c r="F89" s="252">
        <v>355</v>
      </c>
      <c r="G89" s="253">
        <v>3364773</v>
      </c>
      <c r="H89" s="291">
        <v>355</v>
      </c>
      <c r="I89" s="291">
        <v>3364773</v>
      </c>
      <c r="J89" s="252">
        <v>331</v>
      </c>
      <c r="K89" s="253">
        <v>2786081</v>
      </c>
      <c r="L89" s="291">
        <v>331</v>
      </c>
      <c r="M89" s="291">
        <v>2786081</v>
      </c>
      <c r="N89" s="252"/>
      <c r="O89" s="253"/>
      <c r="P89" s="292"/>
      <c r="Q89" s="293"/>
      <c r="R89" s="252">
        <v>358</v>
      </c>
      <c r="S89" s="253">
        <v>2317466</v>
      </c>
      <c r="T89" s="291">
        <v>358</v>
      </c>
      <c r="U89" s="291">
        <v>2317466</v>
      </c>
      <c r="V89" s="252">
        <v>375</v>
      </c>
      <c r="W89" s="253">
        <v>155551</v>
      </c>
      <c r="X89" s="291">
        <v>375</v>
      </c>
      <c r="Y89" s="291">
        <v>155551</v>
      </c>
      <c r="Z89" s="252">
        <v>257</v>
      </c>
      <c r="AA89" s="253">
        <v>40550</v>
      </c>
      <c r="AB89" s="291">
        <v>257</v>
      </c>
      <c r="AC89" s="291">
        <v>40550</v>
      </c>
      <c r="AD89" s="252">
        <v>375</v>
      </c>
      <c r="AE89" s="253">
        <v>155793</v>
      </c>
      <c r="AF89" s="291">
        <v>375</v>
      </c>
      <c r="AG89" s="291">
        <v>155793</v>
      </c>
      <c r="AH89" s="252"/>
      <c r="AI89" s="253"/>
      <c r="AJ89" s="292"/>
      <c r="AK89" s="293"/>
      <c r="AL89" s="252"/>
      <c r="AM89" s="253"/>
      <c r="AN89" s="292"/>
      <c r="AO89" s="293"/>
      <c r="AP89" s="255">
        <f t="shared" si="16"/>
        <v>375</v>
      </c>
      <c r="AQ89" s="256">
        <f t="shared" si="17"/>
        <v>8820214</v>
      </c>
      <c r="AR89" s="257">
        <f t="shared" si="18"/>
        <v>375</v>
      </c>
      <c r="AS89" s="258">
        <f t="shared" si="19"/>
        <v>8820214</v>
      </c>
      <c r="AT89" s="259">
        <v>206</v>
      </c>
      <c r="AU89" s="253">
        <v>1912388</v>
      </c>
      <c r="AV89" s="291">
        <v>206</v>
      </c>
      <c r="AW89" s="291">
        <v>1912388</v>
      </c>
      <c r="AX89" s="252">
        <v>189</v>
      </c>
      <c r="AY89" s="253">
        <v>1680511</v>
      </c>
      <c r="AZ89" s="291">
        <v>189</v>
      </c>
      <c r="BA89" s="291">
        <v>1680511</v>
      </c>
      <c r="BB89" s="252"/>
      <c r="BC89" s="253"/>
      <c r="BD89" s="292"/>
      <c r="BE89" s="293"/>
      <c r="BF89" s="252">
        <v>206</v>
      </c>
      <c r="BG89" s="253">
        <v>1261181</v>
      </c>
      <c r="BH89" s="291">
        <v>206</v>
      </c>
      <c r="BI89" s="291">
        <v>1261181</v>
      </c>
      <c r="BJ89" s="252">
        <v>215</v>
      </c>
      <c r="BK89" s="253">
        <v>112648</v>
      </c>
      <c r="BL89" s="291">
        <v>215</v>
      </c>
      <c r="BM89" s="291">
        <v>112648</v>
      </c>
      <c r="BN89" s="252">
        <v>154</v>
      </c>
      <c r="BO89" s="253">
        <v>30429</v>
      </c>
      <c r="BP89" s="291">
        <v>154</v>
      </c>
      <c r="BQ89" s="291">
        <v>30429</v>
      </c>
      <c r="BR89" s="252">
        <v>215</v>
      </c>
      <c r="BS89" s="253">
        <v>112648</v>
      </c>
      <c r="BT89" s="291">
        <v>215</v>
      </c>
      <c r="BU89" s="291">
        <v>112648</v>
      </c>
      <c r="BV89" s="252"/>
      <c r="BW89" s="253"/>
      <c r="BX89" s="292"/>
      <c r="BY89" s="293"/>
      <c r="BZ89" s="252"/>
      <c r="CA89" s="253"/>
      <c r="CB89" s="292"/>
      <c r="CC89" s="293"/>
      <c r="CD89" s="255">
        <f t="shared" si="20"/>
        <v>215</v>
      </c>
      <c r="CE89" s="256">
        <f t="shared" si="21"/>
        <v>5109805</v>
      </c>
      <c r="CF89" s="257">
        <f t="shared" si="22"/>
        <v>215</v>
      </c>
      <c r="CG89" s="261">
        <f t="shared" si="23"/>
        <v>5109805</v>
      </c>
    </row>
    <row r="90" spans="1:105" s="263" customFormat="1" ht="12.75" customHeight="1">
      <c r="A90" s="287" t="s">
        <v>155</v>
      </c>
      <c r="B90" s="294" t="s">
        <v>163</v>
      </c>
      <c r="C90" s="294"/>
      <c r="D90" s="295">
        <v>136172</v>
      </c>
      <c r="E90" s="295">
        <v>3</v>
      </c>
      <c r="F90" s="252">
        <v>433</v>
      </c>
      <c r="G90" s="253">
        <v>2752372</v>
      </c>
      <c r="H90" s="291">
        <v>416</v>
      </c>
      <c r="I90" s="291">
        <v>2688922</v>
      </c>
      <c r="J90" s="252">
        <v>393</v>
      </c>
      <c r="K90" s="253">
        <v>2579313.42</v>
      </c>
      <c r="L90" s="291">
        <v>383</v>
      </c>
      <c r="M90" s="291">
        <v>2705336</v>
      </c>
      <c r="N90" s="252"/>
      <c r="O90" s="253"/>
      <c r="P90" s="292"/>
      <c r="Q90" s="293"/>
      <c r="R90" s="252">
        <v>435</v>
      </c>
      <c r="S90" s="253">
        <v>1453919</v>
      </c>
      <c r="T90" s="291">
        <v>415</v>
      </c>
      <c r="U90" s="291">
        <v>1433076</v>
      </c>
      <c r="V90" s="252"/>
      <c r="W90" s="253"/>
      <c r="X90" s="291">
        <v>0</v>
      </c>
      <c r="Y90" s="291">
        <v>0</v>
      </c>
      <c r="Z90" s="252">
        <v>317</v>
      </c>
      <c r="AA90" s="253">
        <v>44485</v>
      </c>
      <c r="AB90" s="291">
        <v>305</v>
      </c>
      <c r="AC90" s="291">
        <v>34461</v>
      </c>
      <c r="AD90" s="252">
        <v>435</v>
      </c>
      <c r="AE90" s="253">
        <v>68730</v>
      </c>
      <c r="AF90" s="291">
        <v>415</v>
      </c>
      <c r="AG90" s="291">
        <v>134385</v>
      </c>
      <c r="AH90" s="252"/>
      <c r="AI90" s="253"/>
      <c r="AJ90" s="292"/>
      <c r="AK90" s="293"/>
      <c r="AL90" s="252"/>
      <c r="AM90" s="253"/>
      <c r="AN90" s="292"/>
      <c r="AO90" s="293"/>
      <c r="AP90" s="255">
        <f t="shared" si="16"/>
        <v>435</v>
      </c>
      <c r="AQ90" s="256">
        <f t="shared" si="17"/>
        <v>6898819.4199999999</v>
      </c>
      <c r="AR90" s="257">
        <f t="shared" si="18"/>
        <v>416</v>
      </c>
      <c r="AS90" s="258">
        <f t="shared" si="19"/>
        <v>6996180</v>
      </c>
      <c r="AT90" s="259">
        <v>57</v>
      </c>
      <c r="AU90" s="253">
        <v>470976</v>
      </c>
      <c r="AV90" s="291">
        <v>34</v>
      </c>
      <c r="AW90" s="291">
        <v>338524</v>
      </c>
      <c r="AX90" s="252">
        <v>53</v>
      </c>
      <c r="AY90" s="253">
        <v>507373</v>
      </c>
      <c r="AZ90" s="291">
        <v>32</v>
      </c>
      <c r="BA90" s="291">
        <v>369175</v>
      </c>
      <c r="BB90" s="252"/>
      <c r="BC90" s="253"/>
      <c r="BD90" s="292"/>
      <c r="BE90" s="293"/>
      <c r="BF90" s="252">
        <v>57</v>
      </c>
      <c r="BG90" s="253">
        <v>248278</v>
      </c>
      <c r="BH90" s="291">
        <v>34</v>
      </c>
      <c r="BI90" s="291">
        <v>157148</v>
      </c>
      <c r="BJ90" s="252"/>
      <c r="BK90" s="253"/>
      <c r="BL90" s="291">
        <v>0</v>
      </c>
      <c r="BM90" s="291">
        <v>0</v>
      </c>
      <c r="BN90" s="252">
        <v>44</v>
      </c>
      <c r="BO90" s="253">
        <v>8162</v>
      </c>
      <c r="BP90" s="291">
        <v>26</v>
      </c>
      <c r="BQ90" s="291">
        <v>4848</v>
      </c>
      <c r="BR90" s="252">
        <v>57</v>
      </c>
      <c r="BS90" s="253">
        <v>9006</v>
      </c>
      <c r="BT90" s="291">
        <v>34</v>
      </c>
      <c r="BU90" s="291">
        <v>11010</v>
      </c>
      <c r="BV90" s="252"/>
      <c r="BW90" s="253"/>
      <c r="BX90" s="292"/>
      <c r="BY90" s="293"/>
      <c r="BZ90" s="252"/>
      <c r="CA90" s="253"/>
      <c r="CB90" s="292"/>
      <c r="CC90" s="293"/>
      <c r="CD90" s="255">
        <f t="shared" si="20"/>
        <v>57</v>
      </c>
      <c r="CE90" s="256">
        <f t="shared" si="21"/>
        <v>1243795</v>
      </c>
      <c r="CF90" s="257">
        <f t="shared" si="22"/>
        <v>34</v>
      </c>
      <c r="CG90" s="261">
        <f t="shared" si="23"/>
        <v>880705</v>
      </c>
    </row>
    <row r="91" spans="1:105" s="263" customFormat="1" ht="12.75" customHeight="1">
      <c r="A91" s="287" t="s">
        <v>155</v>
      </c>
      <c r="B91" s="294" t="s">
        <v>164</v>
      </c>
      <c r="C91" s="294"/>
      <c r="D91" s="295">
        <v>138354</v>
      </c>
      <c r="E91" s="295">
        <v>3</v>
      </c>
      <c r="F91" s="252">
        <v>234</v>
      </c>
      <c r="G91" s="253">
        <v>1546431</v>
      </c>
      <c r="H91" s="291">
        <v>233</v>
      </c>
      <c r="I91" s="291">
        <v>1605883</v>
      </c>
      <c r="J91" s="252">
        <v>214</v>
      </c>
      <c r="K91" s="253">
        <v>1521735</v>
      </c>
      <c r="L91" s="291">
        <v>215</v>
      </c>
      <c r="M91" s="291">
        <v>1599247</v>
      </c>
      <c r="N91" s="252"/>
      <c r="O91" s="253"/>
      <c r="P91" s="292"/>
      <c r="Q91" s="293"/>
      <c r="R91" s="252">
        <v>234</v>
      </c>
      <c r="S91" s="253">
        <v>1128480</v>
      </c>
      <c r="T91" s="291">
        <v>235</v>
      </c>
      <c r="U91" s="291">
        <v>1149963</v>
      </c>
      <c r="V91" s="252">
        <v>234</v>
      </c>
      <c r="W91" s="253">
        <v>11416</v>
      </c>
      <c r="X91" s="291">
        <v>235</v>
      </c>
      <c r="Y91" s="291">
        <v>42509</v>
      </c>
      <c r="Z91" s="252">
        <v>183</v>
      </c>
      <c r="AA91" s="253">
        <v>21537</v>
      </c>
      <c r="AB91" s="291">
        <v>174</v>
      </c>
      <c r="AC91" s="291">
        <v>20626</v>
      </c>
      <c r="AD91" s="252">
        <v>234</v>
      </c>
      <c r="AE91" s="253">
        <v>43757</v>
      </c>
      <c r="AF91" s="291">
        <v>235</v>
      </c>
      <c r="AG91" s="291">
        <v>194367</v>
      </c>
      <c r="AH91" s="252"/>
      <c r="AI91" s="253"/>
      <c r="AJ91" s="292"/>
      <c r="AK91" s="293"/>
      <c r="AL91" s="252">
        <v>212</v>
      </c>
      <c r="AM91" s="253">
        <v>27436</v>
      </c>
      <c r="AN91" s="292">
        <v>218</v>
      </c>
      <c r="AO91" s="293">
        <v>29340</v>
      </c>
      <c r="AP91" s="255">
        <f t="shared" si="16"/>
        <v>234</v>
      </c>
      <c r="AQ91" s="256">
        <f t="shared" si="17"/>
        <v>4300792</v>
      </c>
      <c r="AR91" s="257">
        <f t="shared" si="18"/>
        <v>235</v>
      </c>
      <c r="AS91" s="258">
        <f t="shared" si="19"/>
        <v>4641935</v>
      </c>
      <c r="AT91" s="259">
        <v>78</v>
      </c>
      <c r="AU91" s="253">
        <v>608664</v>
      </c>
      <c r="AV91" s="291">
        <v>68</v>
      </c>
      <c r="AW91" s="291">
        <v>580088</v>
      </c>
      <c r="AX91" s="252">
        <v>72</v>
      </c>
      <c r="AY91" s="253">
        <v>695621</v>
      </c>
      <c r="AZ91" s="291">
        <v>62</v>
      </c>
      <c r="BA91" s="291">
        <v>675770</v>
      </c>
      <c r="BB91" s="252"/>
      <c r="BC91" s="253"/>
      <c r="BD91" s="292"/>
      <c r="BE91" s="293"/>
      <c r="BF91" s="252">
        <v>78</v>
      </c>
      <c r="BG91" s="253">
        <v>427359</v>
      </c>
      <c r="BH91" s="291">
        <v>68</v>
      </c>
      <c r="BI91" s="291">
        <v>384969</v>
      </c>
      <c r="BJ91" s="252">
        <v>78</v>
      </c>
      <c r="BK91" s="253">
        <v>3806</v>
      </c>
      <c r="BL91" s="291">
        <v>68</v>
      </c>
      <c r="BM91" s="291">
        <v>12354</v>
      </c>
      <c r="BN91" s="252">
        <v>69</v>
      </c>
      <c r="BO91" s="253">
        <v>12631</v>
      </c>
      <c r="BP91" s="291">
        <v>58</v>
      </c>
      <c r="BQ91" s="291">
        <v>11450</v>
      </c>
      <c r="BR91" s="252">
        <v>78</v>
      </c>
      <c r="BS91" s="253">
        <v>16845</v>
      </c>
      <c r="BT91" s="291">
        <v>68</v>
      </c>
      <c r="BU91" s="291">
        <v>66431</v>
      </c>
      <c r="BV91" s="252"/>
      <c r="BW91" s="253"/>
      <c r="BX91" s="292"/>
      <c r="BY91" s="293"/>
      <c r="BZ91" s="252">
        <v>71</v>
      </c>
      <c r="CA91" s="253">
        <v>12584</v>
      </c>
      <c r="CB91" s="292">
        <v>63</v>
      </c>
      <c r="CC91" s="293">
        <v>27066</v>
      </c>
      <c r="CD91" s="255">
        <f t="shared" si="20"/>
        <v>78</v>
      </c>
      <c r="CE91" s="256">
        <f t="shared" si="21"/>
        <v>1777510</v>
      </c>
      <c r="CF91" s="257">
        <f t="shared" si="22"/>
        <v>68</v>
      </c>
      <c r="CG91" s="261">
        <f t="shared" si="23"/>
        <v>1758128</v>
      </c>
    </row>
    <row r="92" spans="1:105" s="263" customFormat="1" ht="12.75" customHeight="1">
      <c r="A92" s="287" t="s">
        <v>155</v>
      </c>
      <c r="B92" s="294" t="s">
        <v>165</v>
      </c>
      <c r="C92" s="294"/>
      <c r="D92" s="298">
        <v>433660</v>
      </c>
      <c r="E92" s="297">
        <v>4</v>
      </c>
      <c r="F92" s="252">
        <v>288</v>
      </c>
      <c r="G92" s="253">
        <v>1827368</v>
      </c>
      <c r="H92" s="291">
        <v>303</v>
      </c>
      <c r="I92" s="291">
        <v>1940921</v>
      </c>
      <c r="J92" s="252">
        <v>282</v>
      </c>
      <c r="K92" s="253">
        <v>2204526</v>
      </c>
      <c r="L92" s="291">
        <v>283</v>
      </c>
      <c r="M92" s="291">
        <v>2613723</v>
      </c>
      <c r="N92" s="252"/>
      <c r="O92" s="253"/>
      <c r="P92" s="292"/>
      <c r="Q92" s="293"/>
      <c r="R92" s="252">
        <v>288</v>
      </c>
      <c r="S92" s="253">
        <v>1350590</v>
      </c>
      <c r="T92" s="291">
        <v>303</v>
      </c>
      <c r="U92" s="291">
        <v>1397712</v>
      </c>
      <c r="V92" s="252">
        <v>288</v>
      </c>
      <c r="W92" s="253">
        <v>14400</v>
      </c>
      <c r="X92" s="291">
        <v>303</v>
      </c>
      <c r="Y92" s="291">
        <v>22725</v>
      </c>
      <c r="Z92" s="252">
        <v>214</v>
      </c>
      <c r="AA92" s="253">
        <v>6906</v>
      </c>
      <c r="AB92" s="291">
        <v>217</v>
      </c>
      <c r="AC92" s="291">
        <v>6976</v>
      </c>
      <c r="AD92" s="252">
        <v>288</v>
      </c>
      <c r="AE92" s="253">
        <v>19296</v>
      </c>
      <c r="AF92" s="291">
        <v>303</v>
      </c>
      <c r="AG92" s="291">
        <v>19089</v>
      </c>
      <c r="AH92" s="252">
        <v>288</v>
      </c>
      <c r="AI92" s="253">
        <v>12960</v>
      </c>
      <c r="AJ92" s="292">
        <v>303</v>
      </c>
      <c r="AK92" s="293">
        <v>13635</v>
      </c>
      <c r="AL92" s="252"/>
      <c r="AM92" s="253"/>
      <c r="AN92" s="292"/>
      <c r="AO92" s="293"/>
      <c r="AP92" s="255">
        <f t="shared" si="16"/>
        <v>288</v>
      </c>
      <c r="AQ92" s="256">
        <f t="shared" si="17"/>
        <v>5436046</v>
      </c>
      <c r="AR92" s="257">
        <f t="shared" si="18"/>
        <v>303</v>
      </c>
      <c r="AS92" s="258">
        <f t="shared" si="19"/>
        <v>6014781</v>
      </c>
      <c r="AT92" s="259">
        <v>60</v>
      </c>
      <c r="AU92" s="253">
        <v>541766</v>
      </c>
      <c r="AV92" s="291">
        <v>70</v>
      </c>
      <c r="AW92" s="291">
        <v>638263</v>
      </c>
      <c r="AX92" s="252">
        <v>60</v>
      </c>
      <c r="AY92" s="253">
        <v>484864</v>
      </c>
      <c r="AZ92" s="291">
        <v>68</v>
      </c>
      <c r="BA92" s="291">
        <v>591596</v>
      </c>
      <c r="BB92" s="252"/>
      <c r="BC92" s="253"/>
      <c r="BD92" s="292"/>
      <c r="BE92" s="293"/>
      <c r="BF92" s="252">
        <v>60</v>
      </c>
      <c r="BG92" s="253">
        <v>380085</v>
      </c>
      <c r="BH92" s="291">
        <v>70</v>
      </c>
      <c r="BI92" s="291">
        <v>440282</v>
      </c>
      <c r="BJ92" s="252">
        <v>60</v>
      </c>
      <c r="BK92" s="253">
        <v>3000</v>
      </c>
      <c r="BL92" s="291">
        <v>70</v>
      </c>
      <c r="BM92" s="291">
        <v>5250</v>
      </c>
      <c r="BN92" s="252">
        <v>51</v>
      </c>
      <c r="BO92" s="253">
        <v>2370</v>
      </c>
      <c r="BP92" s="291">
        <v>57</v>
      </c>
      <c r="BQ92" s="291">
        <v>2635</v>
      </c>
      <c r="BR92" s="252">
        <v>60</v>
      </c>
      <c r="BS92" s="253">
        <v>4020</v>
      </c>
      <c r="BT92" s="291">
        <v>70</v>
      </c>
      <c r="BU92" s="291">
        <v>4410</v>
      </c>
      <c r="BV92" s="252">
        <v>60</v>
      </c>
      <c r="BW92" s="253">
        <v>2700</v>
      </c>
      <c r="BX92" s="292">
        <v>70</v>
      </c>
      <c r="BY92" s="293">
        <v>3150</v>
      </c>
      <c r="BZ92" s="252"/>
      <c r="CA92" s="253"/>
      <c r="CB92" s="292"/>
      <c r="CC92" s="293"/>
      <c r="CD92" s="255">
        <f t="shared" si="20"/>
        <v>60</v>
      </c>
      <c r="CE92" s="256">
        <f t="shared" si="21"/>
        <v>1418805</v>
      </c>
      <c r="CF92" s="257">
        <f t="shared" si="22"/>
        <v>70</v>
      </c>
      <c r="CG92" s="261">
        <f t="shared" si="23"/>
        <v>1685586</v>
      </c>
    </row>
    <row r="93" spans="1:105" s="263" customFormat="1" ht="12.75" customHeight="1">
      <c r="A93" s="287" t="s">
        <v>155</v>
      </c>
      <c r="B93" s="294" t="s">
        <v>166</v>
      </c>
      <c r="C93" s="294"/>
      <c r="D93" s="295">
        <v>262129</v>
      </c>
      <c r="E93" s="295">
        <v>6</v>
      </c>
      <c r="F93" s="252">
        <v>71</v>
      </c>
      <c r="G93" s="253">
        <v>504984</v>
      </c>
      <c r="H93" s="291">
        <v>71</v>
      </c>
      <c r="I93" s="291">
        <v>507682.67793284799</v>
      </c>
      <c r="J93" s="252">
        <v>71</v>
      </c>
      <c r="K93" s="253">
        <v>647826</v>
      </c>
      <c r="L93" s="291">
        <v>71</v>
      </c>
      <c r="M93" s="291">
        <v>713928</v>
      </c>
      <c r="N93" s="252"/>
      <c r="O93" s="253"/>
      <c r="P93" s="292"/>
      <c r="Q93" s="293"/>
      <c r="R93" s="252">
        <v>71</v>
      </c>
      <c r="S93" s="253">
        <v>372549</v>
      </c>
      <c r="T93" s="291">
        <v>71</v>
      </c>
      <c r="U93" s="291">
        <v>370427.98560903996</v>
      </c>
      <c r="V93" s="252"/>
      <c r="W93" s="253"/>
      <c r="X93" s="291">
        <v>0</v>
      </c>
      <c r="Y93" s="291">
        <v>0</v>
      </c>
      <c r="Z93" s="252">
        <v>59</v>
      </c>
      <c r="AA93" s="253">
        <v>8809</v>
      </c>
      <c r="AB93" s="291">
        <v>71</v>
      </c>
      <c r="AC93" s="291">
        <v>5800.5758700521601</v>
      </c>
      <c r="AD93" s="252"/>
      <c r="AE93" s="253"/>
      <c r="AF93" s="291">
        <v>0</v>
      </c>
      <c r="AG93" s="291">
        <v>0</v>
      </c>
      <c r="AH93" s="252"/>
      <c r="AI93" s="253"/>
      <c r="AJ93" s="292"/>
      <c r="AK93" s="293"/>
      <c r="AL93" s="252"/>
      <c r="AM93" s="253"/>
      <c r="AN93" s="292"/>
      <c r="AO93" s="293"/>
      <c r="AP93" s="255">
        <f t="shared" si="16"/>
        <v>71</v>
      </c>
      <c r="AQ93" s="256">
        <f t="shared" si="17"/>
        <v>1534168</v>
      </c>
      <c r="AR93" s="257">
        <f t="shared" si="18"/>
        <v>71</v>
      </c>
      <c r="AS93" s="258">
        <f t="shared" si="19"/>
        <v>1597839.2394119401</v>
      </c>
      <c r="AT93" s="259"/>
      <c r="AU93" s="253"/>
      <c r="AV93" s="291">
        <v>0</v>
      </c>
      <c r="AW93" s="291">
        <v>0</v>
      </c>
      <c r="AX93" s="252"/>
      <c r="AY93" s="253"/>
      <c r="AZ93" s="291">
        <v>0</v>
      </c>
      <c r="BA93" s="291">
        <v>0</v>
      </c>
      <c r="BB93" s="252"/>
      <c r="BC93" s="253"/>
      <c r="BD93" s="292"/>
      <c r="BE93" s="293"/>
      <c r="BF93" s="252"/>
      <c r="BG93" s="253"/>
      <c r="BH93" s="291">
        <v>0</v>
      </c>
      <c r="BI93" s="291">
        <v>0</v>
      </c>
      <c r="BJ93" s="252"/>
      <c r="BK93" s="253"/>
      <c r="BL93" s="291">
        <v>0</v>
      </c>
      <c r="BM93" s="291">
        <v>0</v>
      </c>
      <c r="BN93" s="252"/>
      <c r="BO93" s="253"/>
      <c r="BP93" s="291">
        <v>0</v>
      </c>
      <c r="BQ93" s="291">
        <v>0</v>
      </c>
      <c r="BR93" s="252"/>
      <c r="BS93" s="253"/>
      <c r="BT93" s="291">
        <v>0</v>
      </c>
      <c r="BU93" s="291">
        <v>0</v>
      </c>
      <c r="BV93" s="252"/>
      <c r="BW93" s="253"/>
      <c r="BX93" s="292"/>
      <c r="BY93" s="293"/>
      <c r="BZ93" s="252"/>
      <c r="CA93" s="253"/>
      <c r="CB93" s="292"/>
      <c r="CC93" s="293"/>
      <c r="CD93" s="255">
        <f t="shared" si="20"/>
        <v>0</v>
      </c>
      <c r="CE93" s="256">
        <f t="shared" si="21"/>
        <v>0</v>
      </c>
      <c r="CF93" s="257">
        <f t="shared" si="22"/>
        <v>0</v>
      </c>
      <c r="CG93" s="261">
        <f t="shared" si="23"/>
        <v>0</v>
      </c>
    </row>
    <row r="94" spans="1:105" s="263" customFormat="1" ht="12.75" customHeight="1">
      <c r="A94" s="299" t="s">
        <v>155</v>
      </c>
      <c r="B94" s="300" t="s">
        <v>167</v>
      </c>
      <c r="C94" s="300"/>
      <c r="D94" s="301">
        <v>132693</v>
      </c>
      <c r="E94" s="302">
        <v>8</v>
      </c>
      <c r="F94" s="252">
        <v>219</v>
      </c>
      <c r="G94" s="253">
        <v>1136415</v>
      </c>
      <c r="H94" s="267">
        <v>243</v>
      </c>
      <c r="I94" s="268">
        <v>1404309</v>
      </c>
      <c r="J94" s="252">
        <v>219</v>
      </c>
      <c r="K94" s="253">
        <v>1158265</v>
      </c>
      <c r="L94" s="267">
        <v>243</v>
      </c>
      <c r="M94" s="268">
        <v>1318732</v>
      </c>
      <c r="N94" s="252"/>
      <c r="O94" s="253"/>
      <c r="P94" s="267"/>
      <c r="Q94" s="268"/>
      <c r="R94" s="252">
        <v>219</v>
      </c>
      <c r="S94" s="253">
        <v>882597</v>
      </c>
      <c r="T94" s="267">
        <v>243</v>
      </c>
      <c r="U94" s="268">
        <v>997490</v>
      </c>
      <c r="V94" s="252"/>
      <c r="W94" s="253"/>
      <c r="X94" s="267"/>
      <c r="Y94" s="268"/>
      <c r="Z94" s="252">
        <v>219</v>
      </c>
      <c r="AA94" s="253">
        <v>53994</v>
      </c>
      <c r="AB94" s="267">
        <v>243</v>
      </c>
      <c r="AC94" s="268">
        <v>30511</v>
      </c>
      <c r="AD94" s="252">
        <v>219</v>
      </c>
      <c r="AE94" s="253">
        <v>137293</v>
      </c>
      <c r="AF94" s="267">
        <v>243</v>
      </c>
      <c r="AG94" s="268">
        <v>155165</v>
      </c>
      <c r="AH94" s="252"/>
      <c r="AI94" s="253"/>
      <c r="AJ94" s="267"/>
      <c r="AK94" s="268"/>
      <c r="AL94" s="252"/>
      <c r="AM94" s="253"/>
      <c r="AN94" s="267"/>
      <c r="AO94" s="268"/>
      <c r="AP94" s="255">
        <f t="shared" si="16"/>
        <v>219</v>
      </c>
      <c r="AQ94" s="256">
        <f t="shared" si="17"/>
        <v>3368564</v>
      </c>
      <c r="AR94" s="257">
        <f t="shared" si="18"/>
        <v>243</v>
      </c>
      <c r="AS94" s="258">
        <f t="shared" si="19"/>
        <v>3906207</v>
      </c>
      <c r="AT94" s="259"/>
      <c r="AU94" s="253"/>
      <c r="AV94" s="267"/>
      <c r="AW94" s="268"/>
      <c r="AX94" s="252"/>
      <c r="AY94" s="253"/>
      <c r="AZ94" s="267"/>
      <c r="BA94" s="268"/>
      <c r="BB94" s="252"/>
      <c r="BC94" s="253"/>
      <c r="BD94" s="267"/>
      <c r="BE94" s="268"/>
      <c r="BF94" s="252"/>
      <c r="BG94" s="253"/>
      <c r="BH94" s="267"/>
      <c r="BI94" s="268"/>
      <c r="BJ94" s="252"/>
      <c r="BK94" s="253"/>
      <c r="BL94" s="267"/>
      <c r="BM94" s="268"/>
      <c r="BN94" s="252"/>
      <c r="BO94" s="253"/>
      <c r="BP94" s="267"/>
      <c r="BQ94" s="268"/>
      <c r="BR94" s="252"/>
      <c r="BS94" s="253"/>
      <c r="BT94" s="267"/>
      <c r="BU94" s="268"/>
      <c r="BV94" s="252"/>
      <c r="BW94" s="253"/>
      <c r="BX94" s="267"/>
      <c r="BY94" s="268"/>
      <c r="BZ94" s="252"/>
      <c r="CA94" s="253"/>
      <c r="CB94" s="267"/>
      <c r="CC94" s="268"/>
      <c r="CD94" s="255">
        <f t="shared" si="20"/>
        <v>0</v>
      </c>
      <c r="CE94" s="256">
        <f t="shared" si="21"/>
        <v>0</v>
      </c>
      <c r="CF94" s="257">
        <f t="shared" si="22"/>
        <v>0</v>
      </c>
      <c r="CG94" s="261">
        <f t="shared" si="23"/>
        <v>0</v>
      </c>
    </row>
    <row r="95" spans="1:105" s="263" customFormat="1" ht="12.75" customHeight="1">
      <c r="A95" s="299" t="s">
        <v>155</v>
      </c>
      <c r="B95" s="307" t="s">
        <v>1200</v>
      </c>
      <c r="C95" s="482" t="s">
        <v>1201</v>
      </c>
      <c r="D95" s="301">
        <v>132709</v>
      </c>
      <c r="E95" s="302">
        <v>8</v>
      </c>
      <c r="F95" s="252">
        <v>307</v>
      </c>
      <c r="G95" s="253">
        <v>1765673</v>
      </c>
      <c r="H95" s="267">
        <v>287</v>
      </c>
      <c r="I95" s="268">
        <v>1761824</v>
      </c>
      <c r="J95" s="252">
        <v>341</v>
      </c>
      <c r="K95" s="253">
        <v>3273788</v>
      </c>
      <c r="L95" s="267">
        <v>352</v>
      </c>
      <c r="M95" s="268">
        <v>3380664</v>
      </c>
      <c r="N95" s="252">
        <v>341</v>
      </c>
      <c r="O95" s="253">
        <v>62333</v>
      </c>
      <c r="P95" s="267">
        <v>352</v>
      </c>
      <c r="Q95" s="268">
        <v>66237</v>
      </c>
      <c r="R95" s="252">
        <v>341</v>
      </c>
      <c r="S95" s="253">
        <v>1538224</v>
      </c>
      <c r="T95" s="267">
        <v>352</v>
      </c>
      <c r="U95" s="268">
        <v>1578546</v>
      </c>
      <c r="V95" s="252">
        <v>341</v>
      </c>
      <c r="W95" s="253">
        <v>16523</v>
      </c>
      <c r="X95" s="267">
        <v>352</v>
      </c>
      <c r="Y95" s="268">
        <v>33015</v>
      </c>
      <c r="Z95" s="252">
        <v>341</v>
      </c>
      <c r="AA95" s="253">
        <v>40768</v>
      </c>
      <c r="AB95" s="267">
        <v>352</v>
      </c>
      <c r="AC95" s="268">
        <v>41838</v>
      </c>
      <c r="AD95" s="252">
        <v>341</v>
      </c>
      <c r="AE95" s="253">
        <v>251978</v>
      </c>
      <c r="AF95" s="267">
        <v>352</v>
      </c>
      <c r="AG95" s="268">
        <v>241423</v>
      </c>
      <c r="AH95" s="252">
        <v>22</v>
      </c>
      <c r="AI95" s="253">
        <v>11196</v>
      </c>
      <c r="AJ95" s="267">
        <v>26</v>
      </c>
      <c r="AK95" s="268">
        <v>13350</v>
      </c>
      <c r="AL95" s="252">
        <v>53</v>
      </c>
      <c r="AM95" s="253">
        <v>3816</v>
      </c>
      <c r="AN95" s="267">
        <v>49</v>
      </c>
      <c r="AO95" s="268">
        <v>3528</v>
      </c>
      <c r="AP95" s="255">
        <f t="shared" si="16"/>
        <v>341</v>
      </c>
      <c r="AQ95" s="256">
        <f t="shared" si="17"/>
        <v>6964299</v>
      </c>
      <c r="AR95" s="257">
        <f t="shared" si="18"/>
        <v>352</v>
      </c>
      <c r="AS95" s="258">
        <f t="shared" si="19"/>
        <v>7120425</v>
      </c>
      <c r="AT95" s="259">
        <v>1</v>
      </c>
      <c r="AU95" s="253">
        <v>6004</v>
      </c>
      <c r="AV95" s="267">
        <v>1</v>
      </c>
      <c r="AW95" s="268">
        <v>6937</v>
      </c>
      <c r="AX95" s="252">
        <v>1</v>
      </c>
      <c r="AY95" s="253">
        <v>9716</v>
      </c>
      <c r="AZ95" s="267">
        <v>1</v>
      </c>
      <c r="BA95" s="268">
        <v>9716</v>
      </c>
      <c r="BB95" s="252">
        <v>1</v>
      </c>
      <c r="BC95" s="253">
        <v>189</v>
      </c>
      <c r="BD95" s="267">
        <v>1</v>
      </c>
      <c r="BE95" s="268">
        <v>196</v>
      </c>
      <c r="BF95" s="252">
        <v>1</v>
      </c>
      <c r="BG95" s="253">
        <v>4663</v>
      </c>
      <c r="BH95" s="267">
        <v>1</v>
      </c>
      <c r="BI95" s="268">
        <v>4663</v>
      </c>
      <c r="BJ95" s="252">
        <v>1</v>
      </c>
      <c r="BK95" s="253">
        <v>49</v>
      </c>
      <c r="BL95" s="267">
        <v>1</v>
      </c>
      <c r="BM95" s="268">
        <v>98</v>
      </c>
      <c r="BN95" s="252">
        <v>1</v>
      </c>
      <c r="BO95" s="253">
        <v>124</v>
      </c>
      <c r="BP95" s="267">
        <v>1</v>
      </c>
      <c r="BQ95" s="268">
        <v>124</v>
      </c>
      <c r="BR95" s="252">
        <v>1</v>
      </c>
      <c r="BS95" s="253">
        <v>744</v>
      </c>
      <c r="BT95" s="267">
        <v>1</v>
      </c>
      <c r="BU95" s="268">
        <v>713</v>
      </c>
      <c r="BV95" s="252"/>
      <c r="BW95" s="253"/>
      <c r="BX95" s="267"/>
      <c r="BY95" s="268"/>
      <c r="BZ95" s="252"/>
      <c r="CA95" s="253"/>
      <c r="CB95" s="267"/>
      <c r="CC95" s="268"/>
      <c r="CD95" s="255">
        <f t="shared" si="20"/>
        <v>1</v>
      </c>
      <c r="CE95" s="256">
        <f t="shared" si="21"/>
        <v>21489</v>
      </c>
      <c r="CF95" s="257">
        <f t="shared" si="22"/>
        <v>1</v>
      </c>
      <c r="CG95" s="261">
        <f t="shared" si="23"/>
        <v>22447</v>
      </c>
    </row>
    <row r="96" spans="1:105" s="263" customFormat="1" ht="12.75" customHeight="1">
      <c r="A96" s="299" t="s">
        <v>155</v>
      </c>
      <c r="B96" s="483" t="s">
        <v>1202</v>
      </c>
      <c r="C96" s="484" t="s">
        <v>1203</v>
      </c>
      <c r="D96" s="304">
        <v>132851</v>
      </c>
      <c r="E96" s="485">
        <v>8</v>
      </c>
      <c r="F96" s="252">
        <v>114</v>
      </c>
      <c r="G96" s="253">
        <v>524350</v>
      </c>
      <c r="H96" s="267">
        <v>121</v>
      </c>
      <c r="I96" s="268">
        <v>633028</v>
      </c>
      <c r="J96" s="252">
        <v>114</v>
      </c>
      <c r="K96" s="253">
        <v>491853</v>
      </c>
      <c r="L96" s="267">
        <v>121</v>
      </c>
      <c r="M96" s="268">
        <v>569757</v>
      </c>
      <c r="N96" s="252"/>
      <c r="O96" s="253"/>
      <c r="P96" s="267"/>
      <c r="Q96" s="268"/>
      <c r="R96" s="252">
        <v>114</v>
      </c>
      <c r="S96" s="253">
        <v>524350</v>
      </c>
      <c r="T96" s="267">
        <v>105</v>
      </c>
      <c r="U96" s="268">
        <v>317382</v>
      </c>
      <c r="V96" s="252"/>
      <c r="W96" s="253"/>
      <c r="X96" s="267"/>
      <c r="Y96" s="268"/>
      <c r="Z96" s="252">
        <v>114</v>
      </c>
      <c r="AA96" s="253">
        <v>6592</v>
      </c>
      <c r="AB96" s="267">
        <v>121</v>
      </c>
      <c r="AC96" s="268">
        <v>6938</v>
      </c>
      <c r="AD96" s="252"/>
      <c r="AE96" s="253"/>
      <c r="AF96" s="306"/>
      <c r="AG96" s="306"/>
      <c r="AH96" s="252"/>
      <c r="AI96" s="253"/>
      <c r="AJ96" s="267"/>
      <c r="AK96" s="268"/>
      <c r="AL96" s="252"/>
      <c r="AM96" s="253"/>
      <c r="AN96" s="267"/>
      <c r="AO96" s="268"/>
      <c r="AP96" s="255">
        <f t="shared" si="16"/>
        <v>114</v>
      </c>
      <c r="AQ96" s="256">
        <f t="shared" si="17"/>
        <v>1547145</v>
      </c>
      <c r="AR96" s="257">
        <f t="shared" si="18"/>
        <v>121</v>
      </c>
      <c r="AS96" s="258">
        <f t="shared" si="19"/>
        <v>1527105</v>
      </c>
      <c r="AT96" s="259">
        <v>2</v>
      </c>
      <c r="AU96" s="253">
        <v>9200</v>
      </c>
      <c r="AV96" s="267">
        <v>6</v>
      </c>
      <c r="AW96" s="268">
        <v>39985</v>
      </c>
      <c r="AX96" s="252">
        <v>2</v>
      </c>
      <c r="AY96" s="253">
        <v>8629</v>
      </c>
      <c r="AZ96" s="267">
        <v>6</v>
      </c>
      <c r="BA96" s="268">
        <v>29448</v>
      </c>
      <c r="BB96" s="252"/>
      <c r="BC96" s="253"/>
      <c r="BD96" s="267"/>
      <c r="BE96" s="268"/>
      <c r="BF96" s="252">
        <v>2</v>
      </c>
      <c r="BG96" s="253">
        <v>9199</v>
      </c>
      <c r="BH96" s="267">
        <v>3</v>
      </c>
      <c r="BI96" s="268">
        <v>13091</v>
      </c>
      <c r="BJ96" s="252"/>
      <c r="BK96" s="253"/>
      <c r="BL96" s="267"/>
      <c r="BM96" s="268"/>
      <c r="BN96" s="252">
        <v>2</v>
      </c>
      <c r="BO96" s="253">
        <v>116</v>
      </c>
      <c r="BP96" s="267">
        <v>6</v>
      </c>
      <c r="BQ96" s="268">
        <v>341</v>
      </c>
      <c r="BR96" s="252"/>
      <c r="BS96" s="253"/>
      <c r="BT96" s="267"/>
      <c r="BU96" s="268"/>
      <c r="BV96" s="252"/>
      <c r="BW96" s="253"/>
      <c r="BX96" s="267"/>
      <c r="BY96" s="268"/>
      <c r="BZ96" s="252"/>
      <c r="CA96" s="253"/>
      <c r="CB96" s="267"/>
      <c r="CC96" s="268"/>
      <c r="CD96" s="255">
        <f t="shared" si="20"/>
        <v>2</v>
      </c>
      <c r="CE96" s="256">
        <f t="shared" si="21"/>
        <v>27144</v>
      </c>
      <c r="CF96" s="257">
        <f t="shared" si="22"/>
        <v>6</v>
      </c>
      <c r="CG96" s="261">
        <f t="shared" si="23"/>
        <v>82865</v>
      </c>
    </row>
    <row r="97" spans="1:85" s="263" customFormat="1" ht="12.75" customHeight="1">
      <c r="A97" s="299" t="s">
        <v>155</v>
      </c>
      <c r="B97" s="300" t="s">
        <v>168</v>
      </c>
      <c r="C97" s="300"/>
      <c r="D97" s="301">
        <v>133021</v>
      </c>
      <c r="E97" s="302">
        <v>7</v>
      </c>
      <c r="F97" s="252">
        <v>43</v>
      </c>
      <c r="G97" s="253">
        <v>207402</v>
      </c>
      <c r="H97" s="267">
        <v>43</v>
      </c>
      <c r="I97" s="268">
        <v>226446</v>
      </c>
      <c r="J97" s="252">
        <v>43</v>
      </c>
      <c r="K97" s="253">
        <v>194880</v>
      </c>
      <c r="L97" s="267">
        <v>43</v>
      </c>
      <c r="M97" s="268">
        <v>205876</v>
      </c>
      <c r="N97" s="252">
        <v>0</v>
      </c>
      <c r="O97" s="253">
        <v>0</v>
      </c>
      <c r="P97" s="267">
        <v>0</v>
      </c>
      <c r="Q97" s="268">
        <v>0</v>
      </c>
      <c r="R97" s="252">
        <v>43</v>
      </c>
      <c r="S97" s="253">
        <v>159771</v>
      </c>
      <c r="T97" s="267">
        <v>43</v>
      </c>
      <c r="U97" s="268">
        <v>159279</v>
      </c>
      <c r="V97" s="252">
        <v>0</v>
      </c>
      <c r="W97" s="253">
        <v>0</v>
      </c>
      <c r="X97" s="267">
        <v>0</v>
      </c>
      <c r="Y97" s="268">
        <v>0</v>
      </c>
      <c r="Z97" s="252">
        <v>43</v>
      </c>
      <c r="AA97" s="253">
        <v>4900</v>
      </c>
      <c r="AB97" s="267">
        <v>43</v>
      </c>
      <c r="AC97" s="268">
        <v>4900</v>
      </c>
      <c r="AD97" s="252">
        <v>43</v>
      </c>
      <c r="AE97" s="253">
        <v>35000</v>
      </c>
      <c r="AF97" s="267">
        <v>43</v>
      </c>
      <c r="AG97" s="268">
        <v>35000</v>
      </c>
      <c r="AH97" s="252">
        <v>0</v>
      </c>
      <c r="AI97" s="253">
        <v>0</v>
      </c>
      <c r="AJ97" s="267">
        <v>0</v>
      </c>
      <c r="AK97" s="268">
        <v>0</v>
      </c>
      <c r="AL97" s="252">
        <v>0</v>
      </c>
      <c r="AM97" s="253">
        <v>0</v>
      </c>
      <c r="AN97" s="267">
        <v>0</v>
      </c>
      <c r="AO97" s="268">
        <v>0</v>
      </c>
      <c r="AP97" s="255">
        <f t="shared" si="16"/>
        <v>43</v>
      </c>
      <c r="AQ97" s="256">
        <f t="shared" si="17"/>
        <v>601953</v>
      </c>
      <c r="AR97" s="257">
        <f t="shared" si="18"/>
        <v>43</v>
      </c>
      <c r="AS97" s="258">
        <f t="shared" si="19"/>
        <v>631501</v>
      </c>
      <c r="AT97" s="259"/>
      <c r="AU97" s="253"/>
      <c r="AV97" s="267"/>
      <c r="AW97" s="268"/>
      <c r="AX97" s="252"/>
      <c r="AY97" s="253"/>
      <c r="AZ97" s="267"/>
      <c r="BA97" s="268"/>
      <c r="BB97" s="252"/>
      <c r="BC97" s="253"/>
      <c r="BD97" s="267"/>
      <c r="BE97" s="268"/>
      <c r="BF97" s="252"/>
      <c r="BG97" s="253"/>
      <c r="BH97" s="267"/>
      <c r="BI97" s="268"/>
      <c r="BJ97" s="252"/>
      <c r="BK97" s="253"/>
      <c r="BL97" s="267"/>
      <c r="BM97" s="268"/>
      <c r="BN97" s="252"/>
      <c r="BO97" s="253"/>
      <c r="BP97" s="267"/>
      <c r="BQ97" s="268"/>
      <c r="BR97" s="252"/>
      <c r="BS97" s="253"/>
      <c r="BT97" s="267"/>
      <c r="BU97" s="268"/>
      <c r="BV97" s="252"/>
      <c r="BW97" s="253"/>
      <c r="BX97" s="267"/>
      <c r="BY97" s="268"/>
      <c r="BZ97" s="252"/>
      <c r="CA97" s="253"/>
      <c r="CB97" s="267"/>
      <c r="CC97" s="268"/>
      <c r="CD97" s="255">
        <f t="shared" si="20"/>
        <v>0</v>
      </c>
      <c r="CE97" s="256">
        <f t="shared" si="21"/>
        <v>0</v>
      </c>
      <c r="CF97" s="257">
        <f t="shared" si="22"/>
        <v>0</v>
      </c>
      <c r="CG97" s="261">
        <f t="shared" si="23"/>
        <v>0</v>
      </c>
    </row>
    <row r="98" spans="1:85" s="263" customFormat="1" ht="12.75" customHeight="1">
      <c r="A98" s="299" t="s">
        <v>155</v>
      </c>
      <c r="B98" s="307" t="s">
        <v>1197</v>
      </c>
      <c r="C98" s="482" t="s">
        <v>1198</v>
      </c>
      <c r="D98" s="304">
        <v>133386</v>
      </c>
      <c r="E98" s="305">
        <v>7</v>
      </c>
      <c r="F98" s="252">
        <v>251</v>
      </c>
      <c r="G98" s="253">
        <v>1613093</v>
      </c>
      <c r="H98" s="267">
        <v>282</v>
      </c>
      <c r="I98" s="268">
        <v>1988366</v>
      </c>
      <c r="J98" s="252">
        <v>251</v>
      </c>
      <c r="K98" s="253">
        <v>1453282</v>
      </c>
      <c r="L98" s="267">
        <v>283</v>
      </c>
      <c r="M98" s="268">
        <v>1714131</v>
      </c>
      <c r="N98" s="252">
        <v>251</v>
      </c>
      <c r="O98" s="253">
        <v>514365</v>
      </c>
      <c r="P98" s="267">
        <v>283</v>
      </c>
      <c r="Q98" s="268">
        <v>50202</v>
      </c>
      <c r="R98" s="252">
        <v>251</v>
      </c>
      <c r="S98" s="253">
        <v>1214473</v>
      </c>
      <c r="T98" s="267">
        <v>283</v>
      </c>
      <c r="U98" s="268">
        <v>1422397</v>
      </c>
      <c r="V98" s="252">
        <v>0</v>
      </c>
      <c r="W98" s="253">
        <v>0</v>
      </c>
      <c r="X98" s="267">
        <v>0</v>
      </c>
      <c r="Y98" s="268">
        <v>0</v>
      </c>
      <c r="Z98" s="252">
        <v>251</v>
      </c>
      <c r="AA98" s="253">
        <v>108588</v>
      </c>
      <c r="AB98" s="267">
        <v>283</v>
      </c>
      <c r="AC98" s="268">
        <v>127180</v>
      </c>
      <c r="AD98" s="252">
        <v>0</v>
      </c>
      <c r="AE98" s="253">
        <v>0</v>
      </c>
      <c r="AF98" s="267">
        <v>0</v>
      </c>
      <c r="AG98" s="268">
        <v>0</v>
      </c>
      <c r="AH98" s="252">
        <v>9</v>
      </c>
      <c r="AI98" s="253">
        <v>12799</v>
      </c>
      <c r="AJ98" s="267">
        <v>19</v>
      </c>
      <c r="AK98" s="268">
        <v>30291</v>
      </c>
      <c r="AL98" s="252">
        <v>0</v>
      </c>
      <c r="AM98" s="253">
        <v>0</v>
      </c>
      <c r="AN98" s="267">
        <v>0</v>
      </c>
      <c r="AO98" s="268">
        <v>0</v>
      </c>
      <c r="AP98" s="255">
        <f t="shared" si="16"/>
        <v>251</v>
      </c>
      <c r="AQ98" s="256">
        <f t="shared" si="17"/>
        <v>4916600</v>
      </c>
      <c r="AR98" s="257">
        <f t="shared" si="18"/>
        <v>283</v>
      </c>
      <c r="AS98" s="258">
        <f t="shared" si="19"/>
        <v>5332567</v>
      </c>
      <c r="AT98" s="259">
        <v>23</v>
      </c>
      <c r="AU98" s="253">
        <v>190501</v>
      </c>
      <c r="AV98" s="267">
        <v>24</v>
      </c>
      <c r="AW98" s="268">
        <v>219500</v>
      </c>
      <c r="AX98" s="252">
        <v>23</v>
      </c>
      <c r="AY98" s="253">
        <v>133170</v>
      </c>
      <c r="AZ98" s="267">
        <v>24</v>
      </c>
      <c r="BA98" s="268">
        <v>145368</v>
      </c>
      <c r="BB98" s="252">
        <v>23</v>
      </c>
      <c r="BC98" s="253">
        <v>60847</v>
      </c>
      <c r="BD98" s="267">
        <v>24</v>
      </c>
      <c r="BE98" s="268">
        <v>5474</v>
      </c>
      <c r="BF98" s="252">
        <v>23</v>
      </c>
      <c r="BG98" s="253">
        <v>143666</v>
      </c>
      <c r="BH98" s="267">
        <v>24</v>
      </c>
      <c r="BI98" s="268">
        <v>155084</v>
      </c>
      <c r="BJ98" s="252">
        <v>0</v>
      </c>
      <c r="BK98" s="253">
        <v>0</v>
      </c>
      <c r="BL98" s="267">
        <v>0</v>
      </c>
      <c r="BM98" s="268">
        <v>0</v>
      </c>
      <c r="BN98" s="252">
        <v>23</v>
      </c>
      <c r="BO98" s="253">
        <v>12845</v>
      </c>
      <c r="BP98" s="267">
        <v>24</v>
      </c>
      <c r="BQ98" s="268">
        <v>13868</v>
      </c>
      <c r="BR98" s="252">
        <v>0</v>
      </c>
      <c r="BS98" s="253">
        <v>0</v>
      </c>
      <c r="BT98" s="267">
        <v>0</v>
      </c>
      <c r="BU98" s="268">
        <v>0</v>
      </c>
      <c r="BV98" s="252">
        <v>3</v>
      </c>
      <c r="BW98" s="253">
        <v>1325</v>
      </c>
      <c r="BX98" s="267">
        <v>2</v>
      </c>
      <c r="BY98" s="268">
        <v>3753</v>
      </c>
      <c r="BZ98" s="252">
        <v>0</v>
      </c>
      <c r="CA98" s="253">
        <v>0</v>
      </c>
      <c r="CB98" s="267">
        <v>0</v>
      </c>
      <c r="CC98" s="268">
        <v>0</v>
      </c>
      <c r="CD98" s="255">
        <f t="shared" si="20"/>
        <v>23</v>
      </c>
      <c r="CE98" s="256">
        <f t="shared" si="21"/>
        <v>542354</v>
      </c>
      <c r="CF98" s="257">
        <f t="shared" si="22"/>
        <v>24</v>
      </c>
      <c r="CG98" s="261">
        <f t="shared" si="23"/>
        <v>543047</v>
      </c>
    </row>
    <row r="99" spans="1:85" s="263" customFormat="1" ht="12.75" customHeight="1">
      <c r="A99" s="299" t="s">
        <v>155</v>
      </c>
      <c r="B99" s="483" t="s">
        <v>776</v>
      </c>
      <c r="C99" s="484" t="s">
        <v>1199</v>
      </c>
      <c r="D99" s="304">
        <v>133508</v>
      </c>
      <c r="E99" s="485">
        <v>7</v>
      </c>
      <c r="F99" s="252">
        <v>116</v>
      </c>
      <c r="G99" s="253">
        <v>641693</v>
      </c>
      <c r="H99" s="267">
        <v>138</v>
      </c>
      <c r="I99" s="268">
        <v>821808</v>
      </c>
      <c r="J99" s="252">
        <v>116</v>
      </c>
      <c r="K99" s="253">
        <v>633384</v>
      </c>
      <c r="L99" s="267">
        <v>138</v>
      </c>
      <c r="M99" s="268">
        <v>767155</v>
      </c>
      <c r="N99" s="252">
        <v>116</v>
      </c>
      <c r="O99" s="253">
        <v>30206</v>
      </c>
      <c r="P99" s="267">
        <v>138</v>
      </c>
      <c r="Q99" s="268">
        <v>33657</v>
      </c>
      <c r="R99" s="252">
        <v>116</v>
      </c>
      <c r="S99" s="253">
        <v>498371</v>
      </c>
      <c r="T99" s="267">
        <v>138</v>
      </c>
      <c r="U99" s="268">
        <v>583736</v>
      </c>
      <c r="V99" s="252">
        <v>116</v>
      </c>
      <c r="W99" s="253">
        <v>175896</v>
      </c>
      <c r="X99" s="267">
        <v>138</v>
      </c>
      <c r="Y99" s="268">
        <v>206024</v>
      </c>
      <c r="Z99" s="252">
        <v>116</v>
      </c>
      <c r="AA99" s="253">
        <v>4365</v>
      </c>
      <c r="AB99" s="267">
        <v>138</v>
      </c>
      <c r="AC99" s="268">
        <v>4818</v>
      </c>
      <c r="AD99" s="252">
        <v>116</v>
      </c>
      <c r="AE99" s="253">
        <v>69055</v>
      </c>
      <c r="AF99" s="267">
        <v>138</v>
      </c>
      <c r="AG99" s="268">
        <v>80883</v>
      </c>
      <c r="AH99" s="252">
        <v>5</v>
      </c>
      <c r="AI99" s="253">
        <v>2000</v>
      </c>
      <c r="AJ99" s="267">
        <v>4</v>
      </c>
      <c r="AK99" s="268">
        <v>2612</v>
      </c>
      <c r="AL99" s="252"/>
      <c r="AM99" s="253"/>
      <c r="AN99" s="267"/>
      <c r="AO99" s="268"/>
      <c r="AP99" s="255">
        <f t="shared" si="16"/>
        <v>116</v>
      </c>
      <c r="AQ99" s="256">
        <f t="shared" si="17"/>
        <v>2054970</v>
      </c>
      <c r="AR99" s="257">
        <f t="shared" si="18"/>
        <v>138</v>
      </c>
      <c r="AS99" s="258">
        <f t="shared" si="19"/>
        <v>2500693</v>
      </c>
      <c r="AT99" s="259"/>
      <c r="AU99" s="253"/>
      <c r="AV99" s="267">
        <v>2</v>
      </c>
      <c r="AW99" s="268">
        <v>15117</v>
      </c>
      <c r="AX99" s="252"/>
      <c r="AY99" s="253"/>
      <c r="AZ99" s="267">
        <v>2</v>
      </c>
      <c r="BA99" s="268">
        <v>11280</v>
      </c>
      <c r="BB99" s="252"/>
      <c r="BC99" s="253"/>
      <c r="BD99" s="267">
        <v>2</v>
      </c>
      <c r="BE99" s="268">
        <v>622</v>
      </c>
      <c r="BF99" s="252"/>
      <c r="BG99" s="253"/>
      <c r="BH99" s="267">
        <v>2</v>
      </c>
      <c r="BI99" s="268">
        <v>10738</v>
      </c>
      <c r="BJ99" s="252"/>
      <c r="BK99" s="253"/>
      <c r="BL99" s="267">
        <v>2</v>
      </c>
      <c r="BM99" s="268">
        <v>3789</v>
      </c>
      <c r="BN99" s="252"/>
      <c r="BO99" s="253"/>
      <c r="BP99" s="267">
        <v>2</v>
      </c>
      <c r="BQ99" s="268">
        <v>69</v>
      </c>
      <c r="BR99" s="252"/>
      <c r="BS99" s="253"/>
      <c r="BT99" s="267">
        <v>2</v>
      </c>
      <c r="BU99" s="268">
        <v>1487</v>
      </c>
      <c r="BV99" s="252"/>
      <c r="BW99" s="253"/>
      <c r="BX99" s="267"/>
      <c r="BY99" s="268"/>
      <c r="BZ99" s="252"/>
      <c r="CA99" s="253"/>
      <c r="CB99" s="267"/>
      <c r="CC99" s="268"/>
      <c r="CD99" s="255">
        <f t="shared" si="20"/>
        <v>0</v>
      </c>
      <c r="CE99" s="256">
        <f t="shared" si="21"/>
        <v>0</v>
      </c>
      <c r="CF99" s="257">
        <f t="shared" si="22"/>
        <v>2</v>
      </c>
      <c r="CG99" s="261">
        <f t="shared" si="23"/>
        <v>43102</v>
      </c>
    </row>
    <row r="100" spans="1:85" s="263" customFormat="1" ht="12.75" customHeight="1">
      <c r="A100" s="299" t="s">
        <v>155</v>
      </c>
      <c r="B100" s="307" t="s">
        <v>1204</v>
      </c>
      <c r="C100" s="482" t="s">
        <v>1205</v>
      </c>
      <c r="D100" s="304">
        <v>133702</v>
      </c>
      <c r="E100" s="305">
        <v>8</v>
      </c>
      <c r="F100" s="252">
        <v>384</v>
      </c>
      <c r="G100" s="253">
        <v>1886409</v>
      </c>
      <c r="H100" s="267">
        <v>395</v>
      </c>
      <c r="I100" s="268">
        <v>2130388</v>
      </c>
      <c r="J100" s="252">
        <v>384</v>
      </c>
      <c r="K100" s="253">
        <v>2649600</v>
      </c>
      <c r="L100" s="267">
        <v>395</v>
      </c>
      <c r="M100" s="268">
        <v>2870070</v>
      </c>
      <c r="N100" s="252">
        <v>384</v>
      </c>
      <c r="O100" s="253">
        <v>47160</v>
      </c>
      <c r="P100" s="267">
        <v>395</v>
      </c>
      <c r="Q100" s="268">
        <v>49677</v>
      </c>
      <c r="R100" s="252">
        <v>384</v>
      </c>
      <c r="S100" s="253">
        <v>1387600</v>
      </c>
      <c r="T100" s="267">
        <v>395</v>
      </c>
      <c r="U100" s="268">
        <v>1461656</v>
      </c>
      <c r="V100" s="252">
        <v>384</v>
      </c>
      <c r="W100" s="253">
        <v>29022</v>
      </c>
      <c r="X100" s="267">
        <v>395</v>
      </c>
      <c r="Y100" s="268">
        <v>30570</v>
      </c>
      <c r="Z100" s="252">
        <v>384</v>
      </c>
      <c r="AA100" s="253">
        <v>44622</v>
      </c>
      <c r="AB100" s="267">
        <v>395</v>
      </c>
      <c r="AC100" s="268">
        <v>47003</v>
      </c>
      <c r="AD100" s="252">
        <v>384</v>
      </c>
      <c r="AE100" s="253">
        <v>34560</v>
      </c>
      <c r="AF100" s="267">
        <v>395</v>
      </c>
      <c r="AG100" s="268">
        <v>35550</v>
      </c>
      <c r="AH100" s="252">
        <v>82</v>
      </c>
      <c r="AI100" s="253">
        <v>73000</v>
      </c>
      <c r="AJ100" s="267">
        <v>82</v>
      </c>
      <c r="AK100" s="268">
        <v>91000</v>
      </c>
      <c r="AL100" s="252">
        <v>0</v>
      </c>
      <c r="AM100" s="253">
        <v>0</v>
      </c>
      <c r="AN100" s="267">
        <v>0</v>
      </c>
      <c r="AO100" s="268">
        <v>0</v>
      </c>
      <c r="AP100" s="255">
        <f t="shared" si="16"/>
        <v>384</v>
      </c>
      <c r="AQ100" s="256">
        <f t="shared" si="17"/>
        <v>6151973</v>
      </c>
      <c r="AR100" s="257">
        <f t="shared" si="18"/>
        <v>395</v>
      </c>
      <c r="AS100" s="258">
        <f t="shared" si="19"/>
        <v>6715914</v>
      </c>
      <c r="AT100" s="259"/>
      <c r="AU100" s="253"/>
      <c r="AV100" s="267"/>
      <c r="AW100" s="268"/>
      <c r="AX100" s="252"/>
      <c r="AY100" s="253"/>
      <c r="AZ100" s="267"/>
      <c r="BA100" s="268"/>
      <c r="BB100" s="252"/>
      <c r="BC100" s="253"/>
      <c r="BD100" s="267"/>
      <c r="BE100" s="268"/>
      <c r="BF100" s="252"/>
      <c r="BG100" s="253"/>
      <c r="BH100" s="267"/>
      <c r="BI100" s="268"/>
      <c r="BJ100" s="252"/>
      <c r="BK100" s="253"/>
      <c r="BL100" s="267"/>
      <c r="BM100" s="268"/>
      <c r="BN100" s="252"/>
      <c r="BO100" s="253"/>
      <c r="BP100" s="267"/>
      <c r="BQ100" s="268"/>
      <c r="BR100" s="252"/>
      <c r="BS100" s="253"/>
      <c r="BT100" s="267"/>
      <c r="BU100" s="268"/>
      <c r="BV100" s="252"/>
      <c r="BW100" s="253"/>
      <c r="BX100" s="267"/>
      <c r="BY100" s="268"/>
      <c r="BZ100" s="252"/>
      <c r="CA100" s="253"/>
      <c r="CB100" s="267"/>
      <c r="CC100" s="268"/>
      <c r="CD100" s="255">
        <f t="shared" si="20"/>
        <v>0</v>
      </c>
      <c r="CE100" s="256">
        <f t="shared" si="21"/>
        <v>0</v>
      </c>
      <c r="CF100" s="257">
        <f t="shared" si="22"/>
        <v>0</v>
      </c>
      <c r="CG100" s="261">
        <f t="shared" si="23"/>
        <v>0</v>
      </c>
    </row>
    <row r="101" spans="1:85" s="263" customFormat="1" ht="12.75" customHeight="1">
      <c r="A101" s="299" t="s">
        <v>155</v>
      </c>
      <c r="B101" s="300" t="s">
        <v>169</v>
      </c>
      <c r="C101" s="300"/>
      <c r="D101" s="301">
        <v>133960</v>
      </c>
      <c r="E101" s="302">
        <v>10</v>
      </c>
      <c r="F101" s="252">
        <v>20</v>
      </c>
      <c r="G101" s="253">
        <v>70009</v>
      </c>
      <c r="H101" s="267">
        <v>26</v>
      </c>
      <c r="I101" s="268">
        <v>95434</v>
      </c>
      <c r="J101" s="252">
        <v>20</v>
      </c>
      <c r="K101" s="253">
        <v>84047</v>
      </c>
      <c r="L101" s="267">
        <v>26</v>
      </c>
      <c r="M101" s="268">
        <v>94056</v>
      </c>
      <c r="N101" s="252"/>
      <c r="O101" s="253"/>
      <c r="P101" s="267"/>
      <c r="Q101" s="268"/>
      <c r="R101" s="252">
        <v>20</v>
      </c>
      <c r="S101" s="253">
        <v>70009</v>
      </c>
      <c r="T101" s="306">
        <v>26</v>
      </c>
      <c r="U101" s="306">
        <v>65932</v>
      </c>
      <c r="V101" s="252"/>
      <c r="W101" s="253"/>
      <c r="X101" s="306"/>
      <c r="Y101" s="306"/>
      <c r="Z101" s="252">
        <v>20</v>
      </c>
      <c r="AA101" s="253">
        <v>1636</v>
      </c>
      <c r="AB101" s="267">
        <v>26</v>
      </c>
      <c r="AC101" s="268">
        <v>2082</v>
      </c>
      <c r="AD101" s="252"/>
      <c r="AE101" s="253"/>
      <c r="AF101" s="306"/>
      <c r="AG101" s="306"/>
      <c r="AH101" s="252"/>
      <c r="AI101" s="253"/>
      <c r="AJ101" s="306"/>
      <c r="AK101" s="306"/>
      <c r="AL101" s="252"/>
      <c r="AM101" s="253"/>
      <c r="AN101" s="306"/>
      <c r="AO101" s="306"/>
      <c r="AP101" s="255">
        <f t="shared" si="16"/>
        <v>20</v>
      </c>
      <c r="AQ101" s="256">
        <f t="shared" si="17"/>
        <v>225701</v>
      </c>
      <c r="AR101" s="257">
        <f t="shared" si="18"/>
        <v>26</v>
      </c>
      <c r="AS101" s="258">
        <f t="shared" si="19"/>
        <v>257504</v>
      </c>
      <c r="AT101" s="259">
        <v>2</v>
      </c>
      <c r="AU101" s="253">
        <v>10556</v>
      </c>
      <c r="AV101" s="267">
        <v>2</v>
      </c>
      <c r="AW101" s="268">
        <v>14587</v>
      </c>
      <c r="AX101" s="252">
        <v>2</v>
      </c>
      <c r="AY101" s="253">
        <v>6976</v>
      </c>
      <c r="AZ101" s="267">
        <v>2</v>
      </c>
      <c r="BA101" s="268">
        <v>7804</v>
      </c>
      <c r="BB101" s="252"/>
      <c r="BC101" s="253"/>
      <c r="BD101" s="267"/>
      <c r="BE101" s="268"/>
      <c r="BF101" s="252">
        <v>2</v>
      </c>
      <c r="BG101" s="253">
        <v>10556</v>
      </c>
      <c r="BH101" s="267">
        <v>2</v>
      </c>
      <c r="BI101" s="268">
        <v>9042</v>
      </c>
      <c r="BJ101" s="252"/>
      <c r="BK101" s="253"/>
      <c r="BL101" s="267"/>
      <c r="BM101" s="268"/>
      <c r="BN101" s="252">
        <v>2</v>
      </c>
      <c r="BO101" s="253">
        <v>308</v>
      </c>
      <c r="BP101" s="267">
        <v>2</v>
      </c>
      <c r="BQ101" s="268">
        <v>308</v>
      </c>
      <c r="BR101" s="252"/>
      <c r="BS101" s="253"/>
      <c r="BT101" s="267"/>
      <c r="BU101" s="268"/>
      <c r="BV101" s="252"/>
      <c r="BW101" s="253"/>
      <c r="BX101" s="267"/>
      <c r="BY101" s="268"/>
      <c r="BZ101" s="252"/>
      <c r="CA101" s="253"/>
      <c r="CB101" s="267"/>
      <c r="CC101" s="268"/>
      <c r="CD101" s="255">
        <f t="shared" si="20"/>
        <v>2</v>
      </c>
      <c r="CE101" s="256">
        <f t="shared" si="21"/>
        <v>28396</v>
      </c>
      <c r="CF101" s="257">
        <f t="shared" si="22"/>
        <v>2</v>
      </c>
      <c r="CG101" s="261">
        <f t="shared" si="23"/>
        <v>31741</v>
      </c>
    </row>
    <row r="102" spans="1:85" s="263" customFormat="1" ht="12.75" customHeight="1">
      <c r="A102" s="299" t="s">
        <v>155</v>
      </c>
      <c r="B102" s="303" t="s">
        <v>170</v>
      </c>
      <c r="C102" s="486" t="s">
        <v>1195</v>
      </c>
      <c r="D102" s="304">
        <v>134343</v>
      </c>
      <c r="E102" s="305">
        <v>9</v>
      </c>
      <c r="F102" s="252">
        <v>78</v>
      </c>
      <c r="G102" s="253">
        <v>373274</v>
      </c>
      <c r="H102" s="267">
        <v>76</v>
      </c>
      <c r="I102" s="268">
        <v>378642</v>
      </c>
      <c r="J102" s="252">
        <v>72</v>
      </c>
      <c r="K102" s="253">
        <v>371472</v>
      </c>
      <c r="L102" s="267">
        <v>76</v>
      </c>
      <c r="M102" s="268">
        <v>421630</v>
      </c>
      <c r="N102" s="252"/>
      <c r="O102" s="253"/>
      <c r="P102" s="267"/>
      <c r="Q102" s="268"/>
      <c r="R102" s="252">
        <v>78</v>
      </c>
      <c r="S102" s="253">
        <v>282336</v>
      </c>
      <c r="T102" s="267">
        <v>76</v>
      </c>
      <c r="U102" s="268">
        <v>268711</v>
      </c>
      <c r="V102" s="252"/>
      <c r="W102" s="253"/>
      <c r="X102" s="267"/>
      <c r="Y102" s="268"/>
      <c r="Z102" s="252">
        <v>78</v>
      </c>
      <c r="AA102" s="253">
        <v>875</v>
      </c>
      <c r="AB102" s="306">
        <v>76</v>
      </c>
      <c r="AC102" s="306">
        <v>681</v>
      </c>
      <c r="AD102" s="252">
        <v>78</v>
      </c>
      <c r="AE102" s="253">
        <v>14762</v>
      </c>
      <c r="AF102" s="267">
        <v>76</v>
      </c>
      <c r="AG102" s="268">
        <v>14050</v>
      </c>
      <c r="AH102" s="252"/>
      <c r="AI102" s="253"/>
      <c r="AJ102" s="267"/>
      <c r="AK102" s="268"/>
      <c r="AL102" s="252"/>
      <c r="AM102" s="253"/>
      <c r="AN102" s="267"/>
      <c r="AO102" s="268"/>
      <c r="AP102" s="255">
        <f t="shared" si="16"/>
        <v>78</v>
      </c>
      <c r="AQ102" s="256">
        <f t="shared" si="17"/>
        <v>1042719</v>
      </c>
      <c r="AR102" s="257">
        <f t="shared" si="18"/>
        <v>76</v>
      </c>
      <c r="AS102" s="258">
        <f t="shared" si="19"/>
        <v>1083714</v>
      </c>
      <c r="AT102" s="259">
        <v>36</v>
      </c>
      <c r="AU102" s="253">
        <v>238074</v>
      </c>
      <c r="AV102" s="267">
        <v>35</v>
      </c>
      <c r="AW102" s="268">
        <v>250907</v>
      </c>
      <c r="AX102" s="252">
        <v>36</v>
      </c>
      <c r="AY102" s="253">
        <v>131179</v>
      </c>
      <c r="AZ102" s="267">
        <v>34</v>
      </c>
      <c r="BA102" s="268">
        <v>125988</v>
      </c>
      <c r="BB102" s="252"/>
      <c r="BC102" s="253"/>
      <c r="BD102" s="267"/>
      <c r="BE102" s="268"/>
      <c r="BF102" s="252">
        <v>36</v>
      </c>
      <c r="BG102" s="253">
        <v>179356</v>
      </c>
      <c r="BH102" s="267">
        <v>35</v>
      </c>
      <c r="BI102" s="268">
        <v>175465</v>
      </c>
      <c r="BJ102" s="252"/>
      <c r="BK102" s="253"/>
      <c r="BL102" s="267"/>
      <c r="BM102" s="268"/>
      <c r="BN102" s="252">
        <v>36</v>
      </c>
      <c r="BO102" s="253">
        <v>556</v>
      </c>
      <c r="BP102" s="267">
        <v>35</v>
      </c>
      <c r="BQ102" s="268">
        <v>445</v>
      </c>
      <c r="BR102" s="252">
        <v>36</v>
      </c>
      <c r="BS102" s="253">
        <v>9392</v>
      </c>
      <c r="BT102" s="267">
        <v>35</v>
      </c>
      <c r="BU102" s="268">
        <v>9175</v>
      </c>
      <c r="BV102" s="252"/>
      <c r="BW102" s="253"/>
      <c r="BX102" s="267"/>
      <c r="BY102" s="268"/>
      <c r="BZ102" s="252"/>
      <c r="CA102" s="253"/>
      <c r="CB102" s="267"/>
      <c r="CC102" s="268"/>
      <c r="CD102" s="255">
        <f t="shared" si="20"/>
        <v>36</v>
      </c>
      <c r="CE102" s="256">
        <f t="shared" si="21"/>
        <v>558557</v>
      </c>
      <c r="CF102" s="257">
        <f t="shared" si="22"/>
        <v>35</v>
      </c>
      <c r="CG102" s="261">
        <f t="shared" si="23"/>
        <v>561980</v>
      </c>
    </row>
    <row r="103" spans="1:85" s="263" customFormat="1" ht="12.75" customHeight="1">
      <c r="A103" s="299" t="s">
        <v>155</v>
      </c>
      <c r="B103" s="300" t="s">
        <v>171</v>
      </c>
      <c r="C103" s="300"/>
      <c r="D103" s="301">
        <v>134495</v>
      </c>
      <c r="E103" s="302">
        <v>8</v>
      </c>
      <c r="F103" s="252">
        <v>264</v>
      </c>
      <c r="G103" s="253">
        <v>1467388</v>
      </c>
      <c r="H103" s="267">
        <v>252</v>
      </c>
      <c r="I103" s="268">
        <v>1384789</v>
      </c>
      <c r="J103" s="252">
        <v>268</v>
      </c>
      <c r="K103" s="253">
        <v>1551831</v>
      </c>
      <c r="L103" s="267">
        <v>292</v>
      </c>
      <c r="M103" s="268">
        <v>1821140</v>
      </c>
      <c r="N103" s="252">
        <v>279</v>
      </c>
      <c r="O103" s="253">
        <v>26534</v>
      </c>
      <c r="P103" s="267">
        <v>292</v>
      </c>
      <c r="Q103" s="268">
        <v>27826</v>
      </c>
      <c r="R103" s="252">
        <v>276</v>
      </c>
      <c r="S103" s="253">
        <v>1269040</v>
      </c>
      <c r="T103" s="267">
        <v>269</v>
      </c>
      <c r="U103" s="268">
        <v>1193335</v>
      </c>
      <c r="V103" s="252">
        <v>0</v>
      </c>
      <c r="W103" s="253">
        <v>0</v>
      </c>
      <c r="X103" s="267">
        <v>0</v>
      </c>
      <c r="Y103" s="268">
        <v>0</v>
      </c>
      <c r="Z103" s="252">
        <v>279</v>
      </c>
      <c r="AA103" s="253">
        <v>28220</v>
      </c>
      <c r="AB103" s="267">
        <v>292</v>
      </c>
      <c r="AC103" s="268">
        <v>29366</v>
      </c>
      <c r="AD103" s="252">
        <v>282</v>
      </c>
      <c r="AE103" s="253">
        <v>111003</v>
      </c>
      <c r="AF103" s="267">
        <v>292</v>
      </c>
      <c r="AG103" s="268">
        <v>116843</v>
      </c>
      <c r="AH103" s="252">
        <v>0</v>
      </c>
      <c r="AI103" s="253">
        <v>0</v>
      </c>
      <c r="AJ103" s="267">
        <v>0</v>
      </c>
      <c r="AK103" s="268">
        <v>0</v>
      </c>
      <c r="AL103" s="252">
        <v>0</v>
      </c>
      <c r="AM103" s="253">
        <v>0</v>
      </c>
      <c r="AN103" s="267">
        <v>0</v>
      </c>
      <c r="AO103" s="268">
        <v>0</v>
      </c>
      <c r="AP103" s="255">
        <f t="shared" si="16"/>
        <v>282</v>
      </c>
      <c r="AQ103" s="256">
        <f t="shared" si="17"/>
        <v>4454016</v>
      </c>
      <c r="AR103" s="257">
        <f t="shared" si="18"/>
        <v>292</v>
      </c>
      <c r="AS103" s="258">
        <f t="shared" si="19"/>
        <v>4573299</v>
      </c>
      <c r="AT103" s="259"/>
      <c r="AU103" s="253"/>
      <c r="AV103" s="267"/>
      <c r="AW103" s="268"/>
      <c r="AX103" s="252"/>
      <c r="AY103" s="253"/>
      <c r="AZ103" s="267"/>
      <c r="BA103" s="268"/>
      <c r="BB103" s="252"/>
      <c r="BC103" s="253"/>
      <c r="BD103" s="267"/>
      <c r="BE103" s="268"/>
      <c r="BF103" s="252"/>
      <c r="BG103" s="253"/>
      <c r="BH103" s="267"/>
      <c r="BI103" s="268"/>
      <c r="BJ103" s="252"/>
      <c r="BK103" s="253"/>
      <c r="BL103" s="267"/>
      <c r="BM103" s="268"/>
      <c r="BN103" s="252"/>
      <c r="BO103" s="253"/>
      <c r="BP103" s="267"/>
      <c r="BQ103" s="268"/>
      <c r="BR103" s="252"/>
      <c r="BS103" s="253"/>
      <c r="BT103" s="267"/>
      <c r="BU103" s="268"/>
      <c r="BV103" s="252"/>
      <c r="BW103" s="253"/>
      <c r="BX103" s="267"/>
      <c r="BY103" s="268"/>
      <c r="BZ103" s="252"/>
      <c r="CA103" s="253"/>
      <c r="CB103" s="267"/>
      <c r="CC103" s="268"/>
      <c r="CD103" s="255">
        <f t="shared" si="20"/>
        <v>0</v>
      </c>
      <c r="CE103" s="256">
        <f t="shared" si="21"/>
        <v>0</v>
      </c>
      <c r="CF103" s="257">
        <f t="shared" si="22"/>
        <v>0</v>
      </c>
      <c r="CG103" s="261">
        <f t="shared" si="23"/>
        <v>0</v>
      </c>
    </row>
    <row r="104" spans="1:85" s="263" customFormat="1" ht="12.75" customHeight="1">
      <c r="A104" s="299" t="s">
        <v>155</v>
      </c>
      <c r="B104" s="307" t="s">
        <v>1206</v>
      </c>
      <c r="C104" s="482" t="s">
        <v>1207</v>
      </c>
      <c r="D104" s="304">
        <v>134608</v>
      </c>
      <c r="E104" s="305">
        <v>8</v>
      </c>
      <c r="F104" s="252">
        <v>160</v>
      </c>
      <c r="G104" s="253">
        <v>1124833</v>
      </c>
      <c r="H104" s="267">
        <v>167</v>
      </c>
      <c r="I104" s="268">
        <v>1324940</v>
      </c>
      <c r="J104" s="252">
        <v>160</v>
      </c>
      <c r="K104" s="253">
        <v>835200</v>
      </c>
      <c r="L104" s="267">
        <v>167</v>
      </c>
      <c r="M104" s="268">
        <v>890110</v>
      </c>
      <c r="N104" s="252">
        <v>160</v>
      </c>
      <c r="O104" s="253">
        <v>24055</v>
      </c>
      <c r="P104" s="267">
        <v>167</v>
      </c>
      <c r="Q104" s="268">
        <v>23500</v>
      </c>
      <c r="R104" s="252">
        <v>160</v>
      </c>
      <c r="S104" s="253">
        <v>875863</v>
      </c>
      <c r="T104" s="267">
        <v>167</v>
      </c>
      <c r="U104" s="268">
        <v>941250</v>
      </c>
      <c r="V104" s="252"/>
      <c r="W104" s="253"/>
      <c r="X104" s="267"/>
      <c r="Y104" s="268"/>
      <c r="Z104" s="252">
        <v>160</v>
      </c>
      <c r="AA104" s="253">
        <v>43988</v>
      </c>
      <c r="AB104" s="267">
        <v>167</v>
      </c>
      <c r="AC104" s="268">
        <v>39600</v>
      </c>
      <c r="AD104" s="252">
        <v>160</v>
      </c>
      <c r="AE104" s="253">
        <v>45820</v>
      </c>
      <c r="AF104" s="267">
        <v>167</v>
      </c>
      <c r="AG104" s="268">
        <v>49190</v>
      </c>
      <c r="AH104" s="252"/>
      <c r="AI104" s="253"/>
      <c r="AJ104" s="267"/>
      <c r="AK104" s="268"/>
      <c r="AL104" s="252"/>
      <c r="AM104" s="253"/>
      <c r="AN104" s="267"/>
      <c r="AO104" s="268"/>
      <c r="AP104" s="255">
        <f t="shared" si="16"/>
        <v>160</v>
      </c>
      <c r="AQ104" s="256">
        <f t="shared" si="17"/>
        <v>2949759</v>
      </c>
      <c r="AR104" s="257">
        <f t="shared" si="18"/>
        <v>167</v>
      </c>
      <c r="AS104" s="258">
        <f t="shared" si="19"/>
        <v>3268590</v>
      </c>
      <c r="AT104" s="259">
        <v>19</v>
      </c>
      <c r="AU104" s="253">
        <v>141574</v>
      </c>
      <c r="AV104" s="267">
        <v>18</v>
      </c>
      <c r="AW104" s="268">
        <v>154830</v>
      </c>
      <c r="AX104" s="252">
        <v>19</v>
      </c>
      <c r="AY104" s="253">
        <v>99180</v>
      </c>
      <c r="AZ104" s="267">
        <v>18</v>
      </c>
      <c r="BA104" s="268">
        <v>95940</v>
      </c>
      <c r="BB104" s="252">
        <v>19</v>
      </c>
      <c r="BC104" s="253">
        <v>2979</v>
      </c>
      <c r="BD104" s="267">
        <v>18</v>
      </c>
      <c r="BE104" s="268">
        <v>2700</v>
      </c>
      <c r="BF104" s="252">
        <v>19</v>
      </c>
      <c r="BG104" s="253">
        <v>108564</v>
      </c>
      <c r="BH104" s="267">
        <v>18</v>
      </c>
      <c r="BI104" s="268">
        <v>109990</v>
      </c>
      <c r="BJ104" s="252"/>
      <c r="BK104" s="253"/>
      <c r="BL104" s="267"/>
      <c r="BM104" s="268"/>
      <c r="BN104" s="252">
        <v>19</v>
      </c>
      <c r="BO104" s="253">
        <v>5452</v>
      </c>
      <c r="BP104" s="267">
        <v>18</v>
      </c>
      <c r="BQ104" s="268">
        <v>4630</v>
      </c>
      <c r="BR104" s="252">
        <v>19</v>
      </c>
      <c r="BS104" s="253">
        <v>5690</v>
      </c>
      <c r="BT104" s="267">
        <v>18</v>
      </c>
      <c r="BU104" s="268">
        <v>5730</v>
      </c>
      <c r="BV104" s="252"/>
      <c r="BW104" s="253"/>
      <c r="BX104" s="267"/>
      <c r="BY104" s="268"/>
      <c r="BZ104" s="252"/>
      <c r="CA104" s="253"/>
      <c r="CB104" s="267"/>
      <c r="CC104" s="268"/>
      <c r="CD104" s="255">
        <f t="shared" si="20"/>
        <v>19</v>
      </c>
      <c r="CE104" s="256">
        <f t="shared" si="21"/>
        <v>363439</v>
      </c>
      <c r="CF104" s="257">
        <f t="shared" si="22"/>
        <v>18</v>
      </c>
      <c r="CG104" s="261">
        <f t="shared" si="23"/>
        <v>373820</v>
      </c>
    </row>
    <row r="105" spans="1:85" s="263" customFormat="1" ht="12.75" customHeight="1">
      <c r="A105" s="299" t="s">
        <v>155</v>
      </c>
      <c r="B105" s="300" t="s">
        <v>172</v>
      </c>
      <c r="C105" s="300"/>
      <c r="D105" s="301">
        <v>135160</v>
      </c>
      <c r="E105" s="302">
        <v>9</v>
      </c>
      <c r="F105" s="252">
        <v>56</v>
      </c>
      <c r="G105" s="253">
        <v>257241</v>
      </c>
      <c r="H105" s="267">
        <v>44</v>
      </c>
      <c r="I105" s="268">
        <v>258262</v>
      </c>
      <c r="J105" s="252">
        <v>45</v>
      </c>
      <c r="K105" s="253">
        <v>223879</v>
      </c>
      <c r="L105" s="267">
        <v>39</v>
      </c>
      <c r="M105" s="268">
        <v>217244</v>
      </c>
      <c r="N105" s="252">
        <v>45</v>
      </c>
      <c r="O105" s="253">
        <v>11473</v>
      </c>
      <c r="P105" s="267">
        <v>39</v>
      </c>
      <c r="Q105" s="268">
        <v>10020</v>
      </c>
      <c r="R105" s="252">
        <v>47</v>
      </c>
      <c r="S105" s="253">
        <v>164397</v>
      </c>
      <c r="T105" s="267">
        <v>42</v>
      </c>
      <c r="U105" s="268">
        <v>165491</v>
      </c>
      <c r="V105" s="252">
        <v>47</v>
      </c>
      <c r="W105" s="253">
        <v>3223</v>
      </c>
      <c r="X105" s="267">
        <v>46</v>
      </c>
      <c r="Y105" s="268">
        <v>3201</v>
      </c>
      <c r="Z105" s="252">
        <v>45</v>
      </c>
      <c r="AA105" s="253">
        <v>3777</v>
      </c>
      <c r="AB105" s="267">
        <v>39</v>
      </c>
      <c r="AC105" s="268">
        <v>3623</v>
      </c>
      <c r="AD105" s="252">
        <v>47</v>
      </c>
      <c r="AE105" s="253">
        <v>25573</v>
      </c>
      <c r="AF105" s="267">
        <v>46</v>
      </c>
      <c r="AG105" s="268">
        <v>25399</v>
      </c>
      <c r="AH105" s="252"/>
      <c r="AI105" s="253"/>
      <c r="AJ105" s="267"/>
      <c r="AK105" s="268"/>
      <c r="AL105" s="252"/>
      <c r="AM105" s="253"/>
      <c r="AN105" s="267"/>
      <c r="AO105" s="268"/>
      <c r="AP105" s="255">
        <f t="shared" si="16"/>
        <v>56</v>
      </c>
      <c r="AQ105" s="256">
        <f t="shared" si="17"/>
        <v>689563</v>
      </c>
      <c r="AR105" s="257">
        <f t="shared" si="18"/>
        <v>46</v>
      </c>
      <c r="AS105" s="258">
        <f t="shared" si="19"/>
        <v>683240</v>
      </c>
      <c r="AT105" s="259">
        <v>18</v>
      </c>
      <c r="AU105" s="253">
        <v>87703</v>
      </c>
      <c r="AV105" s="267">
        <v>15</v>
      </c>
      <c r="AW105" s="268">
        <v>76858</v>
      </c>
      <c r="AX105" s="252">
        <v>16</v>
      </c>
      <c r="AY105" s="253">
        <v>74862</v>
      </c>
      <c r="AZ105" s="267">
        <v>14</v>
      </c>
      <c r="BA105" s="268">
        <v>79723</v>
      </c>
      <c r="BB105" s="252">
        <v>16</v>
      </c>
      <c r="BC105" s="253">
        <v>4090</v>
      </c>
      <c r="BD105" s="267">
        <v>14</v>
      </c>
      <c r="BE105" s="268">
        <v>4048</v>
      </c>
      <c r="BF105" s="252">
        <v>16</v>
      </c>
      <c r="BG105" s="253">
        <v>58450</v>
      </c>
      <c r="BH105" s="267">
        <v>15</v>
      </c>
      <c r="BI105" s="268">
        <v>55232</v>
      </c>
      <c r="BJ105" s="252">
        <v>16</v>
      </c>
      <c r="BK105" s="253">
        <v>1146</v>
      </c>
      <c r="BL105" s="267">
        <v>15</v>
      </c>
      <c r="BM105" s="268">
        <v>1203</v>
      </c>
      <c r="BN105" s="252">
        <v>16</v>
      </c>
      <c r="BO105" s="253">
        <v>1300</v>
      </c>
      <c r="BP105" s="267">
        <v>14</v>
      </c>
      <c r="BQ105" s="268">
        <v>1303</v>
      </c>
      <c r="BR105" s="252">
        <v>16</v>
      </c>
      <c r="BS105" s="253">
        <v>9092</v>
      </c>
      <c r="BT105" s="267">
        <v>15</v>
      </c>
      <c r="BU105" s="268">
        <v>9551</v>
      </c>
      <c r="BV105" s="252"/>
      <c r="BW105" s="253"/>
      <c r="BX105" s="267"/>
      <c r="BY105" s="268"/>
      <c r="BZ105" s="252"/>
      <c r="CA105" s="253"/>
      <c r="CB105" s="267"/>
      <c r="CC105" s="268"/>
      <c r="CD105" s="255">
        <f t="shared" si="20"/>
        <v>18</v>
      </c>
      <c r="CE105" s="256">
        <f t="shared" si="21"/>
        <v>236643</v>
      </c>
      <c r="CF105" s="257">
        <f t="shared" si="22"/>
        <v>15</v>
      </c>
      <c r="CG105" s="261">
        <f t="shared" si="23"/>
        <v>227918</v>
      </c>
    </row>
    <row r="106" spans="1:85" s="263" customFormat="1" ht="12.75" customHeight="1">
      <c r="A106" s="299" t="s">
        <v>155</v>
      </c>
      <c r="B106" s="300" t="s">
        <v>173</v>
      </c>
      <c r="C106" s="300"/>
      <c r="D106" s="301">
        <v>135188</v>
      </c>
      <c r="E106" s="302">
        <v>9</v>
      </c>
      <c r="F106" s="252">
        <v>74</v>
      </c>
      <c r="G106" s="253">
        <v>423678</v>
      </c>
      <c r="H106" s="267">
        <v>78</v>
      </c>
      <c r="I106" s="268">
        <v>439647</v>
      </c>
      <c r="J106" s="252">
        <v>67</v>
      </c>
      <c r="K106" s="253">
        <v>382561</v>
      </c>
      <c r="L106" s="267">
        <v>74</v>
      </c>
      <c r="M106" s="268">
        <v>397249</v>
      </c>
      <c r="N106" s="252">
        <v>0</v>
      </c>
      <c r="O106" s="253">
        <v>0</v>
      </c>
      <c r="P106" s="267">
        <v>0</v>
      </c>
      <c r="Q106" s="268">
        <v>0</v>
      </c>
      <c r="R106" s="252">
        <v>74</v>
      </c>
      <c r="S106" s="253">
        <v>281841</v>
      </c>
      <c r="T106" s="267">
        <v>78</v>
      </c>
      <c r="U106" s="268">
        <v>306165</v>
      </c>
      <c r="V106" s="252">
        <v>74</v>
      </c>
      <c r="W106" s="253">
        <v>18500</v>
      </c>
      <c r="X106" s="267">
        <v>78</v>
      </c>
      <c r="Y106" s="268">
        <v>25025</v>
      </c>
      <c r="Z106" s="252">
        <v>67</v>
      </c>
      <c r="AA106" s="253">
        <v>6171</v>
      </c>
      <c r="AB106" s="267">
        <v>74</v>
      </c>
      <c r="AC106" s="268">
        <v>7771</v>
      </c>
      <c r="AD106" s="252">
        <v>74</v>
      </c>
      <c r="AE106" s="253">
        <v>21500</v>
      </c>
      <c r="AF106" s="267">
        <v>78</v>
      </c>
      <c r="AG106" s="268">
        <v>22575</v>
      </c>
      <c r="AH106" s="252">
        <v>4</v>
      </c>
      <c r="AI106" s="253">
        <v>3043</v>
      </c>
      <c r="AJ106" s="267">
        <v>5</v>
      </c>
      <c r="AK106" s="268">
        <v>5112</v>
      </c>
      <c r="AL106" s="252">
        <v>0</v>
      </c>
      <c r="AM106" s="253">
        <v>0</v>
      </c>
      <c r="AN106" s="267">
        <v>13</v>
      </c>
      <c r="AO106" s="268">
        <v>9377</v>
      </c>
      <c r="AP106" s="255">
        <f t="shared" si="16"/>
        <v>74</v>
      </c>
      <c r="AQ106" s="256">
        <f t="shared" si="17"/>
        <v>1137294</v>
      </c>
      <c r="AR106" s="257">
        <f t="shared" si="18"/>
        <v>78</v>
      </c>
      <c r="AS106" s="258">
        <f t="shared" si="19"/>
        <v>1212921</v>
      </c>
      <c r="AT106" s="259"/>
      <c r="AU106" s="253"/>
      <c r="AV106" s="267"/>
      <c r="AW106" s="268"/>
      <c r="AX106" s="252"/>
      <c r="AY106" s="253"/>
      <c r="AZ106" s="267"/>
      <c r="BA106" s="268"/>
      <c r="BB106" s="252"/>
      <c r="BC106" s="253"/>
      <c r="BD106" s="267"/>
      <c r="BE106" s="268"/>
      <c r="BF106" s="252"/>
      <c r="BG106" s="253"/>
      <c r="BH106" s="267"/>
      <c r="BI106" s="268"/>
      <c r="BJ106" s="252"/>
      <c r="BK106" s="253"/>
      <c r="BL106" s="267"/>
      <c r="BM106" s="268"/>
      <c r="BN106" s="252"/>
      <c r="BO106" s="253"/>
      <c r="BP106" s="267"/>
      <c r="BQ106" s="268"/>
      <c r="BR106" s="252"/>
      <c r="BS106" s="253"/>
      <c r="BT106" s="267"/>
      <c r="BU106" s="268"/>
      <c r="BV106" s="252"/>
      <c r="BW106" s="253"/>
      <c r="BX106" s="267"/>
      <c r="BY106" s="268"/>
      <c r="BZ106" s="252"/>
      <c r="CA106" s="253"/>
      <c r="CB106" s="267"/>
      <c r="CC106" s="268"/>
      <c r="CD106" s="255">
        <f t="shared" si="20"/>
        <v>0</v>
      </c>
      <c r="CE106" s="256">
        <f t="shared" si="21"/>
        <v>0</v>
      </c>
      <c r="CF106" s="257">
        <f t="shared" si="22"/>
        <v>0</v>
      </c>
      <c r="CG106" s="261">
        <f t="shared" si="23"/>
        <v>0</v>
      </c>
    </row>
    <row r="107" spans="1:85" s="263" customFormat="1" ht="12.75" customHeight="1">
      <c r="A107" s="299" t="s">
        <v>155</v>
      </c>
      <c r="B107" s="307" t="s">
        <v>997</v>
      </c>
      <c r="C107" s="307"/>
      <c r="D107" s="304">
        <v>135391</v>
      </c>
      <c r="E107" s="305">
        <v>8</v>
      </c>
      <c r="F107" s="252">
        <v>126</v>
      </c>
      <c r="G107" s="253">
        <v>637466</v>
      </c>
      <c r="H107" s="267">
        <v>129</v>
      </c>
      <c r="I107" s="268">
        <v>730174</v>
      </c>
      <c r="J107" s="252">
        <v>126</v>
      </c>
      <c r="K107" s="253">
        <v>653688</v>
      </c>
      <c r="L107" s="267">
        <v>129</v>
      </c>
      <c r="M107" s="268">
        <v>735687</v>
      </c>
      <c r="N107" s="252">
        <v>126</v>
      </c>
      <c r="O107" s="253">
        <v>13591</v>
      </c>
      <c r="P107" s="267">
        <v>129</v>
      </c>
      <c r="Q107" s="268">
        <v>14237</v>
      </c>
      <c r="R107" s="252">
        <v>126</v>
      </c>
      <c r="S107" s="253">
        <v>495088</v>
      </c>
      <c r="T107" s="267">
        <v>129</v>
      </c>
      <c r="U107" s="268">
        <v>518647</v>
      </c>
      <c r="V107" s="252"/>
      <c r="W107" s="253"/>
      <c r="X107" s="267"/>
      <c r="Y107" s="268"/>
      <c r="Z107" s="252">
        <v>126</v>
      </c>
      <c r="AA107" s="253">
        <v>38830</v>
      </c>
      <c r="AB107" s="267">
        <v>129</v>
      </c>
      <c r="AC107" s="268">
        <v>40678</v>
      </c>
      <c r="AD107" s="252"/>
      <c r="AE107" s="253"/>
      <c r="AF107" s="267"/>
      <c r="AG107" s="268"/>
      <c r="AH107" s="252"/>
      <c r="AI107" s="253"/>
      <c r="AJ107" s="267"/>
      <c r="AK107" s="268"/>
      <c r="AL107" s="252"/>
      <c r="AM107" s="253"/>
      <c r="AN107" s="267"/>
      <c r="AO107" s="268"/>
      <c r="AP107" s="255">
        <f t="shared" si="16"/>
        <v>126</v>
      </c>
      <c r="AQ107" s="256">
        <f t="shared" si="17"/>
        <v>1838663</v>
      </c>
      <c r="AR107" s="257">
        <f t="shared" si="18"/>
        <v>129</v>
      </c>
      <c r="AS107" s="258">
        <f t="shared" si="19"/>
        <v>2039423</v>
      </c>
      <c r="AT107" s="259">
        <v>4</v>
      </c>
      <c r="AU107" s="253">
        <v>33155</v>
      </c>
      <c r="AV107" s="267">
        <v>4</v>
      </c>
      <c r="AW107" s="268">
        <v>37429</v>
      </c>
      <c r="AX107" s="252">
        <v>4</v>
      </c>
      <c r="AY107" s="253">
        <v>20752</v>
      </c>
      <c r="AZ107" s="267">
        <v>4</v>
      </c>
      <c r="BA107" s="268">
        <v>22812</v>
      </c>
      <c r="BB107" s="252">
        <v>4</v>
      </c>
      <c r="BC107" s="253">
        <v>707</v>
      </c>
      <c r="BD107" s="267">
        <v>4</v>
      </c>
      <c r="BE107" s="268">
        <v>730</v>
      </c>
      <c r="BF107" s="252">
        <v>4</v>
      </c>
      <c r="BG107" s="253">
        <v>25750</v>
      </c>
      <c r="BH107" s="267">
        <v>4</v>
      </c>
      <c r="BI107" s="268">
        <v>26586</v>
      </c>
      <c r="BJ107" s="252"/>
      <c r="BK107" s="253"/>
      <c r="BL107" s="267"/>
      <c r="BM107" s="268"/>
      <c r="BN107" s="252">
        <v>4</v>
      </c>
      <c r="BO107" s="253">
        <v>2020</v>
      </c>
      <c r="BP107" s="267">
        <v>4</v>
      </c>
      <c r="BQ107" s="268">
        <v>2085</v>
      </c>
      <c r="BR107" s="252"/>
      <c r="BS107" s="253"/>
      <c r="BT107" s="267"/>
      <c r="BU107" s="268"/>
      <c r="BV107" s="252"/>
      <c r="BW107" s="253"/>
      <c r="BX107" s="267"/>
      <c r="BY107" s="268"/>
      <c r="BZ107" s="252"/>
      <c r="CA107" s="253"/>
      <c r="CB107" s="267"/>
      <c r="CC107" s="268"/>
      <c r="CD107" s="255">
        <f t="shared" si="20"/>
        <v>4</v>
      </c>
      <c r="CE107" s="256">
        <f t="shared" si="21"/>
        <v>82384</v>
      </c>
      <c r="CF107" s="257">
        <f t="shared" si="22"/>
        <v>4</v>
      </c>
      <c r="CG107" s="261">
        <f t="shared" si="23"/>
        <v>89642</v>
      </c>
    </row>
    <row r="108" spans="1:85" s="263" customFormat="1" ht="12.75" customHeight="1">
      <c r="A108" s="299" t="s">
        <v>155</v>
      </c>
      <c r="B108" s="300" t="s">
        <v>174</v>
      </c>
      <c r="C108" s="300"/>
      <c r="D108" s="301">
        <v>135717</v>
      </c>
      <c r="E108" s="302">
        <v>7</v>
      </c>
      <c r="F108" s="252">
        <v>648</v>
      </c>
      <c r="G108" s="253">
        <v>4253361</v>
      </c>
      <c r="H108" s="267">
        <v>651</v>
      </c>
      <c r="I108" s="268">
        <v>4714965</v>
      </c>
      <c r="J108" s="252">
        <v>632</v>
      </c>
      <c r="K108" s="253">
        <v>4166206</v>
      </c>
      <c r="L108" s="267">
        <v>632</v>
      </c>
      <c r="M108" s="268">
        <v>4271354</v>
      </c>
      <c r="N108" s="252">
        <v>0</v>
      </c>
      <c r="O108" s="253">
        <v>0</v>
      </c>
      <c r="P108" s="267">
        <v>0</v>
      </c>
      <c r="Q108" s="268">
        <v>0</v>
      </c>
      <c r="R108" s="252">
        <v>647</v>
      </c>
      <c r="S108" s="253">
        <v>3254093</v>
      </c>
      <c r="T108" s="267">
        <v>650</v>
      </c>
      <c r="U108" s="268">
        <v>3287439</v>
      </c>
      <c r="V108" s="252">
        <v>663</v>
      </c>
      <c r="W108" s="253">
        <v>104313</v>
      </c>
      <c r="X108" s="267">
        <v>658</v>
      </c>
      <c r="Y108" s="268">
        <v>258101</v>
      </c>
      <c r="Z108" s="252">
        <v>648</v>
      </c>
      <c r="AA108" s="253">
        <v>191580</v>
      </c>
      <c r="AB108" s="267">
        <v>650</v>
      </c>
      <c r="AC108" s="268">
        <v>193239</v>
      </c>
      <c r="AD108" s="252">
        <v>663</v>
      </c>
      <c r="AE108" s="253">
        <v>282676</v>
      </c>
      <c r="AF108" s="267">
        <v>658</v>
      </c>
      <c r="AG108" s="268">
        <v>530596</v>
      </c>
      <c r="AH108" s="252">
        <v>0</v>
      </c>
      <c r="AI108" s="253">
        <v>0</v>
      </c>
      <c r="AJ108" s="267">
        <v>0</v>
      </c>
      <c r="AK108" s="268">
        <v>0</v>
      </c>
      <c r="AL108" s="252">
        <v>0</v>
      </c>
      <c r="AM108" s="253">
        <v>0</v>
      </c>
      <c r="AN108" s="267">
        <v>0</v>
      </c>
      <c r="AO108" s="268">
        <v>0</v>
      </c>
      <c r="AP108" s="255">
        <f t="shared" si="16"/>
        <v>663</v>
      </c>
      <c r="AQ108" s="256">
        <f t="shared" si="17"/>
        <v>12252229</v>
      </c>
      <c r="AR108" s="257">
        <f t="shared" si="18"/>
        <v>658</v>
      </c>
      <c r="AS108" s="258">
        <f t="shared" si="19"/>
        <v>13255694</v>
      </c>
      <c r="AT108" s="259"/>
      <c r="AU108" s="253"/>
      <c r="AV108" s="267"/>
      <c r="AW108" s="268"/>
      <c r="AX108" s="252"/>
      <c r="AY108" s="253"/>
      <c r="AZ108" s="267"/>
      <c r="BA108" s="268"/>
      <c r="BB108" s="252"/>
      <c r="BC108" s="253"/>
      <c r="BD108" s="267"/>
      <c r="BE108" s="268"/>
      <c r="BF108" s="252"/>
      <c r="BG108" s="253"/>
      <c r="BH108" s="267"/>
      <c r="BI108" s="268"/>
      <c r="BJ108" s="252"/>
      <c r="BK108" s="253"/>
      <c r="BL108" s="267"/>
      <c r="BM108" s="268"/>
      <c r="BN108" s="252"/>
      <c r="BO108" s="253"/>
      <c r="BP108" s="267"/>
      <c r="BQ108" s="268"/>
      <c r="BR108" s="252"/>
      <c r="BS108" s="253"/>
      <c r="BT108" s="267"/>
      <c r="BU108" s="268"/>
      <c r="BV108" s="252"/>
      <c r="BW108" s="253"/>
      <c r="BX108" s="267"/>
      <c r="BY108" s="268"/>
      <c r="BZ108" s="252"/>
      <c r="CA108" s="253"/>
      <c r="CB108" s="267"/>
      <c r="CC108" s="268"/>
      <c r="CD108" s="255">
        <f t="shared" si="20"/>
        <v>0</v>
      </c>
      <c r="CE108" s="256">
        <f t="shared" si="21"/>
        <v>0</v>
      </c>
      <c r="CF108" s="257">
        <f t="shared" si="22"/>
        <v>0</v>
      </c>
      <c r="CG108" s="261">
        <f t="shared" si="23"/>
        <v>0</v>
      </c>
    </row>
    <row r="109" spans="1:85" s="263" customFormat="1" ht="12.75" customHeight="1">
      <c r="A109" s="299" t="s">
        <v>155</v>
      </c>
      <c r="B109" s="300" t="s">
        <v>175</v>
      </c>
      <c r="C109" s="300"/>
      <c r="D109" s="301">
        <v>136145</v>
      </c>
      <c r="E109" s="302">
        <v>10</v>
      </c>
      <c r="F109" s="252">
        <v>22</v>
      </c>
      <c r="G109" s="253">
        <v>103355</v>
      </c>
      <c r="H109" s="267">
        <v>22</v>
      </c>
      <c r="I109" s="268">
        <v>106331</v>
      </c>
      <c r="J109" s="252">
        <v>22</v>
      </c>
      <c r="K109" s="253">
        <v>90437</v>
      </c>
      <c r="L109" s="267">
        <v>22</v>
      </c>
      <c r="M109" s="268">
        <v>92972</v>
      </c>
      <c r="N109" s="252">
        <v>22</v>
      </c>
      <c r="O109" s="253">
        <v>3997</v>
      </c>
      <c r="P109" s="267">
        <v>22</v>
      </c>
      <c r="Q109" s="268">
        <v>3835</v>
      </c>
      <c r="R109" s="252">
        <v>22</v>
      </c>
      <c r="S109" s="253">
        <v>75526</v>
      </c>
      <c r="T109" s="267">
        <v>22</v>
      </c>
      <c r="U109" s="268">
        <v>78309</v>
      </c>
      <c r="V109" s="252"/>
      <c r="W109" s="253"/>
      <c r="X109" s="267"/>
      <c r="Y109" s="268"/>
      <c r="Z109" s="252">
        <v>22</v>
      </c>
      <c r="AA109" s="253">
        <v>2166</v>
      </c>
      <c r="AB109" s="267">
        <v>22</v>
      </c>
      <c r="AC109" s="268">
        <v>1880</v>
      </c>
      <c r="AD109" s="252"/>
      <c r="AE109" s="253"/>
      <c r="AF109" s="267"/>
      <c r="AG109" s="268"/>
      <c r="AH109" s="252"/>
      <c r="AI109" s="253"/>
      <c r="AJ109" s="267"/>
      <c r="AK109" s="268"/>
      <c r="AL109" s="252">
        <v>22</v>
      </c>
      <c r="AM109" s="253">
        <v>292</v>
      </c>
      <c r="AN109" s="267">
        <v>22</v>
      </c>
      <c r="AO109" s="268">
        <v>265</v>
      </c>
      <c r="AP109" s="255">
        <f t="shared" si="16"/>
        <v>22</v>
      </c>
      <c r="AQ109" s="256">
        <f t="shared" si="17"/>
        <v>275773</v>
      </c>
      <c r="AR109" s="257">
        <f t="shared" si="18"/>
        <v>22</v>
      </c>
      <c r="AS109" s="258">
        <f t="shared" si="19"/>
        <v>283592</v>
      </c>
      <c r="AT109" s="259">
        <v>5</v>
      </c>
      <c r="AU109" s="253">
        <v>19058</v>
      </c>
      <c r="AV109" s="267">
        <v>6</v>
      </c>
      <c r="AW109" s="268">
        <v>24884</v>
      </c>
      <c r="AX109" s="252">
        <v>5</v>
      </c>
      <c r="AY109" s="253">
        <v>16105</v>
      </c>
      <c r="AZ109" s="267">
        <v>6</v>
      </c>
      <c r="BA109" s="268">
        <v>18177</v>
      </c>
      <c r="BB109" s="252">
        <v>5</v>
      </c>
      <c r="BC109" s="253">
        <v>806</v>
      </c>
      <c r="BD109" s="267">
        <v>6</v>
      </c>
      <c r="BE109" s="268">
        <v>1008</v>
      </c>
      <c r="BF109" s="252">
        <v>5</v>
      </c>
      <c r="BG109" s="253">
        <v>14621</v>
      </c>
      <c r="BH109" s="267">
        <v>6</v>
      </c>
      <c r="BI109" s="268">
        <v>20377</v>
      </c>
      <c r="BJ109" s="252"/>
      <c r="BK109" s="253"/>
      <c r="BL109" s="267"/>
      <c r="BM109" s="268"/>
      <c r="BN109" s="252">
        <v>5</v>
      </c>
      <c r="BO109" s="253">
        <v>442</v>
      </c>
      <c r="BP109" s="267">
        <v>6</v>
      </c>
      <c r="BQ109" s="268">
        <v>498</v>
      </c>
      <c r="BR109" s="252"/>
      <c r="BS109" s="253"/>
      <c r="BT109" s="267"/>
      <c r="BU109" s="268"/>
      <c r="BV109" s="252"/>
      <c r="BW109" s="253"/>
      <c r="BX109" s="267"/>
      <c r="BY109" s="268"/>
      <c r="BZ109" s="252">
        <v>5</v>
      </c>
      <c r="CA109" s="253">
        <v>60</v>
      </c>
      <c r="CB109" s="267">
        <v>6</v>
      </c>
      <c r="CC109" s="268">
        <v>70</v>
      </c>
      <c r="CD109" s="255">
        <f t="shared" si="20"/>
        <v>5</v>
      </c>
      <c r="CE109" s="256">
        <f t="shared" si="21"/>
        <v>51092</v>
      </c>
      <c r="CF109" s="257">
        <f t="shared" si="22"/>
        <v>6</v>
      </c>
      <c r="CG109" s="261">
        <f t="shared" si="23"/>
        <v>65014</v>
      </c>
    </row>
    <row r="110" spans="1:85" s="263" customFormat="1" ht="12.75" customHeight="1">
      <c r="A110" s="299" t="s">
        <v>155</v>
      </c>
      <c r="B110" s="303" t="s">
        <v>775</v>
      </c>
      <c r="C110" s="303"/>
      <c r="D110" s="308">
        <v>136233</v>
      </c>
      <c r="E110" s="309">
        <v>7</v>
      </c>
      <c r="F110" s="252">
        <v>90</v>
      </c>
      <c r="G110" s="253">
        <v>491507</v>
      </c>
      <c r="H110" s="267">
        <v>89</v>
      </c>
      <c r="I110" s="268">
        <v>482767</v>
      </c>
      <c r="J110" s="252">
        <v>90</v>
      </c>
      <c r="K110" s="253">
        <v>451884</v>
      </c>
      <c r="L110" s="267">
        <v>89</v>
      </c>
      <c r="M110" s="268">
        <v>420156</v>
      </c>
      <c r="N110" s="252"/>
      <c r="O110" s="253"/>
      <c r="P110" s="267"/>
      <c r="Q110" s="268"/>
      <c r="R110" s="252">
        <v>90</v>
      </c>
      <c r="S110" s="253">
        <v>376049</v>
      </c>
      <c r="T110" s="267">
        <v>89</v>
      </c>
      <c r="U110" s="268">
        <v>369670</v>
      </c>
      <c r="V110" s="252"/>
      <c r="W110" s="253"/>
      <c r="X110" s="267"/>
      <c r="Y110" s="268"/>
      <c r="Z110" s="252">
        <v>90</v>
      </c>
      <c r="AA110" s="253">
        <v>27952</v>
      </c>
      <c r="AB110" s="267">
        <v>89</v>
      </c>
      <c r="AC110" s="268">
        <v>27473</v>
      </c>
      <c r="AD110" s="252"/>
      <c r="AE110" s="253"/>
      <c r="AF110" s="267"/>
      <c r="AG110" s="268"/>
      <c r="AH110" s="252"/>
      <c r="AI110" s="253"/>
      <c r="AJ110" s="267"/>
      <c r="AK110" s="268"/>
      <c r="AL110" s="252"/>
      <c r="AM110" s="253"/>
      <c r="AN110" s="267"/>
      <c r="AO110" s="268"/>
      <c r="AP110" s="255">
        <f t="shared" si="16"/>
        <v>90</v>
      </c>
      <c r="AQ110" s="256">
        <f t="shared" si="17"/>
        <v>1347392</v>
      </c>
      <c r="AR110" s="257">
        <f t="shared" si="18"/>
        <v>89</v>
      </c>
      <c r="AS110" s="258">
        <f t="shared" si="19"/>
        <v>1300066</v>
      </c>
      <c r="AT110" s="259">
        <v>5</v>
      </c>
      <c r="AU110" s="253">
        <v>39266</v>
      </c>
      <c r="AV110" s="267">
        <v>5</v>
      </c>
      <c r="AW110" s="268">
        <v>39266</v>
      </c>
      <c r="AX110" s="252">
        <v>5</v>
      </c>
      <c r="AY110" s="253">
        <v>29400</v>
      </c>
      <c r="AZ110" s="267">
        <v>5</v>
      </c>
      <c r="BA110" s="268">
        <v>27900</v>
      </c>
      <c r="BB110" s="252"/>
      <c r="BC110" s="253"/>
      <c r="BD110" s="267"/>
      <c r="BE110" s="268"/>
      <c r="BF110" s="252">
        <v>5</v>
      </c>
      <c r="BG110" s="253">
        <v>29141</v>
      </c>
      <c r="BH110" s="267">
        <v>5</v>
      </c>
      <c r="BI110" s="268">
        <v>29141</v>
      </c>
      <c r="BJ110" s="252"/>
      <c r="BK110" s="253"/>
      <c r="BL110" s="267"/>
      <c r="BM110" s="268"/>
      <c r="BN110" s="252">
        <v>5</v>
      </c>
      <c r="BO110" s="253">
        <v>2167</v>
      </c>
      <c r="BP110" s="267">
        <v>5</v>
      </c>
      <c r="BQ110" s="268">
        <v>2167</v>
      </c>
      <c r="BR110" s="252"/>
      <c r="BS110" s="253"/>
      <c r="BT110" s="267"/>
      <c r="BU110" s="268"/>
      <c r="BV110" s="252"/>
      <c r="BW110" s="253"/>
      <c r="BX110" s="267"/>
      <c r="BY110" s="268"/>
      <c r="BZ110" s="252"/>
      <c r="CA110" s="253"/>
      <c r="CB110" s="267"/>
      <c r="CC110" s="268"/>
      <c r="CD110" s="255">
        <f t="shared" si="20"/>
        <v>5</v>
      </c>
      <c r="CE110" s="256">
        <f t="shared" si="21"/>
        <v>99974</v>
      </c>
      <c r="CF110" s="257">
        <f t="shared" si="22"/>
        <v>5</v>
      </c>
      <c r="CG110" s="261">
        <f t="shared" si="23"/>
        <v>98474</v>
      </c>
    </row>
    <row r="111" spans="1:85" s="263" customFormat="1" ht="12.75" customHeight="1">
      <c r="A111" s="299" t="s">
        <v>155</v>
      </c>
      <c r="B111" s="307" t="s">
        <v>1208</v>
      </c>
      <c r="C111" s="482" t="s">
        <v>1209</v>
      </c>
      <c r="D111" s="301">
        <v>136358</v>
      </c>
      <c r="E111" s="302">
        <v>8</v>
      </c>
      <c r="F111" s="252">
        <v>250</v>
      </c>
      <c r="G111" s="253">
        <v>1439616</v>
      </c>
      <c r="H111" s="267">
        <v>259</v>
      </c>
      <c r="I111" s="268">
        <v>1573843</v>
      </c>
      <c r="J111" s="252">
        <v>250</v>
      </c>
      <c r="K111" s="253">
        <v>1230003</v>
      </c>
      <c r="L111" s="267">
        <v>259</v>
      </c>
      <c r="M111" s="268">
        <v>1293036</v>
      </c>
      <c r="N111" s="252">
        <v>250</v>
      </c>
      <c r="O111" s="253">
        <v>86962</v>
      </c>
      <c r="P111" s="267">
        <v>259</v>
      </c>
      <c r="Q111" s="268">
        <v>98983</v>
      </c>
      <c r="R111" s="252">
        <v>250</v>
      </c>
      <c r="S111" s="253">
        <v>1089884</v>
      </c>
      <c r="T111" s="267">
        <v>259</v>
      </c>
      <c r="U111" s="268">
        <v>1119158</v>
      </c>
      <c r="V111" s="252">
        <v>250</v>
      </c>
      <c r="W111" s="253">
        <v>284937</v>
      </c>
      <c r="X111" s="267">
        <v>259</v>
      </c>
      <c r="Y111" s="268">
        <v>48951</v>
      </c>
      <c r="Z111" s="252">
        <v>250</v>
      </c>
      <c r="AA111" s="253">
        <v>41080</v>
      </c>
      <c r="AB111" s="267">
        <v>259</v>
      </c>
      <c r="AC111" s="268">
        <v>6819</v>
      </c>
      <c r="AD111" s="252">
        <v>250</v>
      </c>
      <c r="AE111" s="253">
        <v>284937</v>
      </c>
      <c r="AF111" s="267">
        <v>259</v>
      </c>
      <c r="AG111" s="268">
        <v>138728</v>
      </c>
      <c r="AH111" s="252">
        <v>11</v>
      </c>
      <c r="AI111" s="253">
        <v>3734</v>
      </c>
      <c r="AJ111" s="267">
        <v>118</v>
      </c>
      <c r="AK111" s="268">
        <v>45832</v>
      </c>
      <c r="AL111" s="252"/>
      <c r="AM111" s="253"/>
      <c r="AN111" s="267"/>
      <c r="AO111" s="268"/>
      <c r="AP111" s="255">
        <f t="shared" si="16"/>
        <v>250</v>
      </c>
      <c r="AQ111" s="256">
        <f t="shared" si="17"/>
        <v>4461153</v>
      </c>
      <c r="AR111" s="257">
        <f t="shared" si="18"/>
        <v>259</v>
      </c>
      <c r="AS111" s="258">
        <f t="shared" si="19"/>
        <v>4325350</v>
      </c>
      <c r="AT111" s="259"/>
      <c r="AU111" s="253"/>
      <c r="AV111" s="267">
        <v>24</v>
      </c>
      <c r="AW111" s="268">
        <v>115215</v>
      </c>
      <c r="AX111" s="252"/>
      <c r="AY111" s="253"/>
      <c r="AZ111" s="267">
        <v>24</v>
      </c>
      <c r="BA111" s="268">
        <v>117888</v>
      </c>
      <c r="BB111" s="252"/>
      <c r="BC111" s="253"/>
      <c r="BD111" s="267">
        <v>24</v>
      </c>
      <c r="BE111" s="268">
        <v>7460</v>
      </c>
      <c r="BF111" s="252"/>
      <c r="BG111" s="253"/>
      <c r="BH111" s="267">
        <v>24</v>
      </c>
      <c r="BI111" s="268">
        <v>85077</v>
      </c>
      <c r="BJ111" s="252"/>
      <c r="BK111" s="253"/>
      <c r="BL111" s="267">
        <v>24</v>
      </c>
      <c r="BM111" s="268">
        <v>4536</v>
      </c>
      <c r="BN111" s="252"/>
      <c r="BO111" s="253"/>
      <c r="BP111" s="267">
        <v>24</v>
      </c>
      <c r="BQ111" s="268">
        <v>2479</v>
      </c>
      <c r="BR111" s="252"/>
      <c r="BS111" s="253"/>
      <c r="BT111" s="267">
        <v>24</v>
      </c>
      <c r="BU111" s="268">
        <v>12855</v>
      </c>
      <c r="BV111" s="252"/>
      <c r="BW111" s="253"/>
      <c r="BX111" s="267">
        <v>0</v>
      </c>
      <c r="BY111" s="268">
        <v>0</v>
      </c>
      <c r="BZ111" s="252"/>
      <c r="CA111" s="253"/>
      <c r="CB111" s="267"/>
      <c r="CC111" s="268"/>
      <c r="CD111" s="255">
        <f t="shared" si="20"/>
        <v>0</v>
      </c>
      <c r="CE111" s="256">
        <f t="shared" si="21"/>
        <v>0</v>
      </c>
      <c r="CF111" s="257">
        <f t="shared" si="22"/>
        <v>24</v>
      </c>
      <c r="CG111" s="261">
        <f t="shared" si="23"/>
        <v>345510</v>
      </c>
    </row>
    <row r="112" spans="1:85" s="263" customFormat="1" ht="12.75" customHeight="1">
      <c r="A112" s="299" t="s">
        <v>155</v>
      </c>
      <c r="B112" s="303" t="s">
        <v>176</v>
      </c>
      <c r="C112" s="303"/>
      <c r="D112" s="310">
        <v>136400</v>
      </c>
      <c r="E112" s="309">
        <v>8</v>
      </c>
      <c r="F112" s="252">
        <v>103</v>
      </c>
      <c r="G112" s="253">
        <v>536234</v>
      </c>
      <c r="H112" s="267">
        <v>111</v>
      </c>
      <c r="I112" s="268">
        <v>631944</v>
      </c>
      <c r="J112" s="252">
        <v>104</v>
      </c>
      <c r="K112" s="253">
        <v>337127</v>
      </c>
      <c r="L112" s="267">
        <v>111</v>
      </c>
      <c r="M112" s="268">
        <v>397683</v>
      </c>
      <c r="N112" s="252"/>
      <c r="O112" s="253"/>
      <c r="P112" s="267"/>
      <c r="Q112" s="268"/>
      <c r="R112" s="252">
        <v>104</v>
      </c>
      <c r="S112" s="253">
        <v>408747</v>
      </c>
      <c r="T112" s="267">
        <v>112</v>
      </c>
      <c r="U112" s="268">
        <v>445678</v>
      </c>
      <c r="V112" s="252">
        <v>104</v>
      </c>
      <c r="W112" s="253">
        <v>37402</v>
      </c>
      <c r="X112" s="267">
        <v>112</v>
      </c>
      <c r="Y112" s="268">
        <v>40781</v>
      </c>
      <c r="Z112" s="252">
        <v>104</v>
      </c>
      <c r="AA112" s="253">
        <v>15196</v>
      </c>
      <c r="AB112" s="267">
        <v>112</v>
      </c>
      <c r="AC112" s="268">
        <v>13563</v>
      </c>
      <c r="AD112" s="252">
        <v>104</v>
      </c>
      <c r="AE112" s="253">
        <v>32059</v>
      </c>
      <c r="AF112" s="267">
        <v>112</v>
      </c>
      <c r="AG112" s="268">
        <v>34955</v>
      </c>
      <c r="AH112" s="252"/>
      <c r="AI112" s="253"/>
      <c r="AJ112" s="267"/>
      <c r="AK112" s="268"/>
      <c r="AL112" s="252"/>
      <c r="AM112" s="253"/>
      <c r="AN112" s="267"/>
      <c r="AO112" s="268"/>
      <c r="AP112" s="255">
        <f t="shared" si="16"/>
        <v>104</v>
      </c>
      <c r="AQ112" s="256">
        <f t="shared" si="17"/>
        <v>1366765</v>
      </c>
      <c r="AR112" s="257">
        <f t="shared" si="18"/>
        <v>112</v>
      </c>
      <c r="AS112" s="258">
        <f t="shared" si="19"/>
        <v>1564604</v>
      </c>
      <c r="AT112" s="259">
        <v>5</v>
      </c>
      <c r="AU112" s="253">
        <v>20893</v>
      </c>
      <c r="AV112" s="267">
        <v>6</v>
      </c>
      <c r="AW112" s="268">
        <v>28504</v>
      </c>
      <c r="AX112" s="252">
        <v>5</v>
      </c>
      <c r="AY112" s="253">
        <v>24744</v>
      </c>
      <c r="AZ112" s="267">
        <v>6</v>
      </c>
      <c r="BA112" s="268">
        <v>31272</v>
      </c>
      <c r="BB112" s="252"/>
      <c r="BC112" s="253"/>
      <c r="BD112" s="267"/>
      <c r="BE112" s="268"/>
      <c r="BF112" s="252">
        <v>5</v>
      </c>
      <c r="BG112" s="253">
        <v>16226</v>
      </c>
      <c r="BH112" s="267">
        <v>6</v>
      </c>
      <c r="BI112" s="268">
        <v>20246</v>
      </c>
      <c r="BJ112" s="252">
        <v>5</v>
      </c>
      <c r="BK112" s="253">
        <v>1485</v>
      </c>
      <c r="BL112" s="267">
        <v>6</v>
      </c>
      <c r="BM112" s="268">
        <v>1853</v>
      </c>
      <c r="BN112" s="252">
        <v>5</v>
      </c>
      <c r="BO112" s="253">
        <v>603</v>
      </c>
      <c r="BP112" s="267">
        <v>5</v>
      </c>
      <c r="BQ112" s="268">
        <v>616</v>
      </c>
      <c r="BR112" s="252">
        <v>5</v>
      </c>
      <c r="BS112" s="253">
        <v>1273</v>
      </c>
      <c r="BT112" s="267">
        <v>6</v>
      </c>
      <c r="BU112" s="268">
        <v>1588</v>
      </c>
      <c r="BV112" s="252"/>
      <c r="BW112" s="253"/>
      <c r="BX112" s="267"/>
      <c r="BY112" s="268"/>
      <c r="BZ112" s="252"/>
      <c r="CA112" s="253"/>
      <c r="CB112" s="267"/>
      <c r="CC112" s="268"/>
      <c r="CD112" s="255">
        <f t="shared" si="20"/>
        <v>5</v>
      </c>
      <c r="CE112" s="256">
        <f t="shared" si="21"/>
        <v>65224</v>
      </c>
      <c r="CF112" s="257">
        <f t="shared" si="22"/>
        <v>6</v>
      </c>
      <c r="CG112" s="261">
        <f t="shared" si="23"/>
        <v>84079</v>
      </c>
    </row>
    <row r="113" spans="1:85" s="263" customFormat="1" ht="12.75" customHeight="1">
      <c r="A113" s="299" t="s">
        <v>155</v>
      </c>
      <c r="B113" s="307" t="s">
        <v>1210</v>
      </c>
      <c r="C113" s="482" t="s">
        <v>1211</v>
      </c>
      <c r="D113" s="301">
        <v>136473</v>
      </c>
      <c r="E113" s="302">
        <v>8</v>
      </c>
      <c r="F113" s="252">
        <v>151</v>
      </c>
      <c r="G113" s="253">
        <v>728513</v>
      </c>
      <c r="H113" s="267">
        <v>144</v>
      </c>
      <c r="I113" s="268">
        <v>768919</v>
      </c>
      <c r="J113" s="252">
        <v>151</v>
      </c>
      <c r="K113" s="253">
        <v>794706</v>
      </c>
      <c r="L113" s="267">
        <v>144</v>
      </c>
      <c r="M113" s="268">
        <v>806417</v>
      </c>
      <c r="N113" s="252"/>
      <c r="O113" s="253"/>
      <c r="P113" s="267"/>
      <c r="Q113" s="268"/>
      <c r="R113" s="252">
        <v>151</v>
      </c>
      <c r="S113" s="253">
        <v>554762</v>
      </c>
      <c r="T113" s="267">
        <v>144</v>
      </c>
      <c r="U113" s="268">
        <v>536283</v>
      </c>
      <c r="V113" s="252"/>
      <c r="W113" s="253"/>
      <c r="X113" s="267"/>
      <c r="Y113" s="268"/>
      <c r="Z113" s="252">
        <v>151</v>
      </c>
      <c r="AA113" s="253">
        <v>32919</v>
      </c>
      <c r="AB113" s="267">
        <v>144</v>
      </c>
      <c r="AC113" s="268">
        <v>16767</v>
      </c>
      <c r="AD113" s="252"/>
      <c r="AE113" s="253"/>
      <c r="AF113" s="267"/>
      <c r="AG113" s="268"/>
      <c r="AH113" s="252"/>
      <c r="AI113" s="253"/>
      <c r="AJ113" s="267"/>
      <c r="AK113" s="268"/>
      <c r="AL113" s="252"/>
      <c r="AM113" s="253"/>
      <c r="AN113" s="267"/>
      <c r="AO113" s="268"/>
      <c r="AP113" s="255">
        <f t="shared" si="16"/>
        <v>151</v>
      </c>
      <c r="AQ113" s="256">
        <f t="shared" si="17"/>
        <v>2110900</v>
      </c>
      <c r="AR113" s="257">
        <f t="shared" si="18"/>
        <v>144</v>
      </c>
      <c r="AS113" s="258">
        <f t="shared" si="19"/>
        <v>2128386</v>
      </c>
      <c r="AT113" s="259">
        <v>45</v>
      </c>
      <c r="AU113" s="253">
        <v>266078</v>
      </c>
      <c r="AV113" s="267">
        <v>48</v>
      </c>
      <c r="AW113" s="268">
        <v>324189</v>
      </c>
      <c r="AX113" s="252">
        <v>45</v>
      </c>
      <c r="AY113" s="253">
        <v>216468</v>
      </c>
      <c r="AZ113" s="267">
        <v>47</v>
      </c>
      <c r="BA113" s="268">
        <v>245412</v>
      </c>
      <c r="BB113" s="252"/>
      <c r="BC113" s="253"/>
      <c r="BD113" s="267"/>
      <c r="BE113" s="268"/>
      <c r="BF113" s="252">
        <v>44</v>
      </c>
      <c r="BG113" s="253">
        <v>195698</v>
      </c>
      <c r="BH113" s="267">
        <v>47</v>
      </c>
      <c r="BI113" s="268">
        <v>218290</v>
      </c>
      <c r="BJ113" s="252"/>
      <c r="BK113" s="253"/>
      <c r="BL113" s="267"/>
      <c r="BM113" s="268"/>
      <c r="BN113" s="252">
        <v>45</v>
      </c>
      <c r="BO113" s="253">
        <v>9842</v>
      </c>
      <c r="BP113" s="267">
        <v>47</v>
      </c>
      <c r="BQ113" s="268">
        <v>5471</v>
      </c>
      <c r="BR113" s="252"/>
      <c r="BS113" s="253"/>
      <c r="BT113" s="267"/>
      <c r="BU113" s="268"/>
      <c r="BV113" s="252"/>
      <c r="BW113" s="253"/>
      <c r="BX113" s="267"/>
      <c r="BY113" s="268"/>
      <c r="BZ113" s="252"/>
      <c r="CA113" s="253"/>
      <c r="CB113" s="267"/>
      <c r="CC113" s="268"/>
      <c r="CD113" s="255">
        <f t="shared" si="20"/>
        <v>45</v>
      </c>
      <c r="CE113" s="256">
        <f t="shared" si="21"/>
        <v>688086</v>
      </c>
      <c r="CF113" s="257">
        <f t="shared" si="22"/>
        <v>48</v>
      </c>
      <c r="CG113" s="261">
        <f t="shared" si="23"/>
        <v>793362</v>
      </c>
    </row>
    <row r="114" spans="1:85" s="263" customFormat="1" ht="12.75" customHeight="1">
      <c r="A114" s="299" t="s">
        <v>155</v>
      </c>
      <c r="B114" s="307" t="s">
        <v>1212</v>
      </c>
      <c r="C114" s="482" t="s">
        <v>1213</v>
      </c>
      <c r="D114" s="304">
        <v>136516</v>
      </c>
      <c r="E114" s="305">
        <v>8</v>
      </c>
      <c r="F114" s="252">
        <v>111</v>
      </c>
      <c r="G114" s="253">
        <v>546101</v>
      </c>
      <c r="H114" s="267">
        <v>113</v>
      </c>
      <c r="I114" s="268">
        <v>611883</v>
      </c>
      <c r="J114" s="252">
        <v>111</v>
      </c>
      <c r="K114" s="253">
        <v>600012</v>
      </c>
      <c r="L114" s="267">
        <v>113</v>
      </c>
      <c r="M114" s="268">
        <v>631500</v>
      </c>
      <c r="N114" s="252">
        <v>111</v>
      </c>
      <c r="O114" s="253">
        <v>21387</v>
      </c>
      <c r="P114" s="267">
        <v>113</v>
      </c>
      <c r="Q114" s="268">
        <v>19914</v>
      </c>
      <c r="R114" s="252">
        <v>111</v>
      </c>
      <c r="S114" s="253">
        <v>418226</v>
      </c>
      <c r="T114" s="267">
        <v>113</v>
      </c>
      <c r="U114" s="268">
        <v>435273</v>
      </c>
      <c r="V114" s="252"/>
      <c r="W114" s="253"/>
      <c r="X114" s="267"/>
      <c r="Y114" s="268"/>
      <c r="Z114" s="252">
        <v>111</v>
      </c>
      <c r="AA114" s="253">
        <v>14467</v>
      </c>
      <c r="AB114" s="267">
        <v>113</v>
      </c>
      <c r="AC114" s="268">
        <v>22094</v>
      </c>
      <c r="AD114" s="252">
        <v>111</v>
      </c>
      <c r="AE114" s="253">
        <v>59129</v>
      </c>
      <c r="AF114" s="267">
        <v>113</v>
      </c>
      <c r="AG114" s="268">
        <v>61450</v>
      </c>
      <c r="AH114" s="252">
        <v>12</v>
      </c>
      <c r="AI114" s="253">
        <v>18728</v>
      </c>
      <c r="AJ114" s="267">
        <v>14</v>
      </c>
      <c r="AK114" s="268">
        <v>26805</v>
      </c>
      <c r="AL114" s="252"/>
      <c r="AM114" s="253"/>
      <c r="AN114" s="267">
        <v>113</v>
      </c>
      <c r="AO114" s="268">
        <v>20828</v>
      </c>
      <c r="AP114" s="255">
        <f t="shared" si="16"/>
        <v>111</v>
      </c>
      <c r="AQ114" s="256">
        <f t="shared" si="17"/>
        <v>1678050</v>
      </c>
      <c r="AR114" s="257">
        <f t="shared" si="18"/>
        <v>113</v>
      </c>
      <c r="AS114" s="258">
        <f t="shared" si="19"/>
        <v>1829747</v>
      </c>
      <c r="AT114" s="259">
        <v>14</v>
      </c>
      <c r="AU114" s="253">
        <v>86059</v>
      </c>
      <c r="AV114" s="267">
        <v>12</v>
      </c>
      <c r="AW114" s="268">
        <v>83936</v>
      </c>
      <c r="AX114" s="252">
        <v>14</v>
      </c>
      <c r="AY114" s="253">
        <v>80298</v>
      </c>
      <c r="AZ114" s="267">
        <v>12</v>
      </c>
      <c r="BA114" s="268">
        <v>73632</v>
      </c>
      <c r="BB114" s="252">
        <v>14</v>
      </c>
      <c r="BC114" s="253">
        <v>3377</v>
      </c>
      <c r="BD114" s="267">
        <v>12</v>
      </c>
      <c r="BE114" s="268">
        <v>2743</v>
      </c>
      <c r="BF114" s="252">
        <v>14</v>
      </c>
      <c r="BG114" s="253">
        <v>66225</v>
      </c>
      <c r="BH114" s="267">
        <v>12</v>
      </c>
      <c r="BI114" s="268">
        <v>59952</v>
      </c>
      <c r="BJ114" s="252"/>
      <c r="BK114" s="253"/>
      <c r="BL114" s="267"/>
      <c r="BM114" s="268"/>
      <c r="BN114" s="252">
        <v>14</v>
      </c>
      <c r="BO114" s="253">
        <v>2220</v>
      </c>
      <c r="BP114" s="267">
        <v>12</v>
      </c>
      <c r="BQ114" s="268">
        <v>3065</v>
      </c>
      <c r="BR114" s="252">
        <v>14</v>
      </c>
      <c r="BS114" s="253">
        <v>9338</v>
      </c>
      <c r="BT114" s="267">
        <v>12</v>
      </c>
      <c r="BU114" s="268">
        <v>8464</v>
      </c>
      <c r="BV114" s="252">
        <v>2</v>
      </c>
      <c r="BW114" s="253">
        <v>1488</v>
      </c>
      <c r="BX114" s="267">
        <v>1</v>
      </c>
      <c r="BY114" s="268">
        <v>1760</v>
      </c>
      <c r="BZ114" s="252"/>
      <c r="CA114" s="253"/>
      <c r="CB114" s="267">
        <v>12</v>
      </c>
      <c r="CC114" s="268">
        <v>2212</v>
      </c>
      <c r="CD114" s="255">
        <f t="shared" si="20"/>
        <v>14</v>
      </c>
      <c r="CE114" s="256">
        <f t="shared" si="21"/>
        <v>249005</v>
      </c>
      <c r="CF114" s="257">
        <f t="shared" si="22"/>
        <v>12</v>
      </c>
      <c r="CG114" s="261">
        <f t="shared" si="23"/>
        <v>235764</v>
      </c>
    </row>
    <row r="115" spans="1:85" s="263" customFormat="1" ht="12.75" customHeight="1">
      <c r="A115" s="299" t="s">
        <v>155</v>
      </c>
      <c r="B115" s="307" t="s">
        <v>177</v>
      </c>
      <c r="C115" s="482" t="s">
        <v>1218</v>
      </c>
      <c r="D115" s="301">
        <v>137281</v>
      </c>
      <c r="E115" s="302">
        <v>9</v>
      </c>
      <c r="F115" s="252">
        <v>82</v>
      </c>
      <c r="G115" s="253">
        <v>411375</v>
      </c>
      <c r="H115" s="267">
        <v>75</v>
      </c>
      <c r="I115" s="268">
        <v>411786</v>
      </c>
      <c r="J115" s="252">
        <v>75</v>
      </c>
      <c r="K115" s="253">
        <v>313391</v>
      </c>
      <c r="L115" s="267">
        <v>69</v>
      </c>
      <c r="M115" s="268">
        <v>321670</v>
      </c>
      <c r="N115" s="252"/>
      <c r="O115" s="253"/>
      <c r="P115" s="267"/>
      <c r="Q115" s="268"/>
      <c r="R115" s="252">
        <v>82</v>
      </c>
      <c r="S115" s="253">
        <v>305952</v>
      </c>
      <c r="T115" s="267">
        <v>82</v>
      </c>
      <c r="U115" s="268">
        <v>307328</v>
      </c>
      <c r="V115" s="252"/>
      <c r="W115" s="253"/>
      <c r="X115" s="267"/>
      <c r="Y115" s="268"/>
      <c r="Z115" s="252">
        <v>82</v>
      </c>
      <c r="AA115" s="253">
        <v>8733</v>
      </c>
      <c r="AB115" s="267">
        <v>75</v>
      </c>
      <c r="AC115" s="268">
        <v>8775</v>
      </c>
      <c r="AD115" s="252"/>
      <c r="AE115" s="253"/>
      <c r="AF115" s="267"/>
      <c r="AG115" s="268"/>
      <c r="AH115" s="252">
        <v>0</v>
      </c>
      <c r="AI115" s="253">
        <v>0</v>
      </c>
      <c r="AJ115" s="267">
        <v>0</v>
      </c>
      <c r="AK115" s="268">
        <v>0</v>
      </c>
      <c r="AL115" s="252"/>
      <c r="AM115" s="253"/>
      <c r="AN115" s="267"/>
      <c r="AO115" s="268"/>
      <c r="AP115" s="255">
        <f t="shared" si="16"/>
        <v>82</v>
      </c>
      <c r="AQ115" s="256">
        <f t="shared" si="17"/>
        <v>1039451</v>
      </c>
      <c r="AR115" s="257">
        <f t="shared" si="18"/>
        <v>82</v>
      </c>
      <c r="AS115" s="258">
        <f t="shared" si="19"/>
        <v>1049559</v>
      </c>
      <c r="AT115" s="259">
        <v>27</v>
      </c>
      <c r="AU115" s="253">
        <v>138665</v>
      </c>
      <c r="AV115" s="267">
        <v>23</v>
      </c>
      <c r="AW115" s="268">
        <v>128208</v>
      </c>
      <c r="AX115" s="252">
        <v>26</v>
      </c>
      <c r="AY115" s="253">
        <v>112453</v>
      </c>
      <c r="AZ115" s="267">
        <v>23</v>
      </c>
      <c r="BA115" s="268">
        <v>108727</v>
      </c>
      <c r="BB115" s="252"/>
      <c r="BC115" s="253"/>
      <c r="BD115" s="267"/>
      <c r="BE115" s="268"/>
      <c r="BF115" s="252">
        <v>27</v>
      </c>
      <c r="BG115" s="253">
        <v>102560</v>
      </c>
      <c r="BH115" s="267">
        <v>23</v>
      </c>
      <c r="BI115" s="268">
        <v>94756</v>
      </c>
      <c r="BJ115" s="252"/>
      <c r="BK115" s="253"/>
      <c r="BL115" s="267"/>
      <c r="BM115" s="268"/>
      <c r="BN115" s="252">
        <v>27</v>
      </c>
      <c r="BO115" s="253">
        <v>3142</v>
      </c>
      <c r="BP115" s="267">
        <v>23</v>
      </c>
      <c r="BQ115" s="268">
        <v>2937</v>
      </c>
      <c r="BR115" s="252"/>
      <c r="BS115" s="253"/>
      <c r="BT115" s="267"/>
      <c r="BU115" s="268"/>
      <c r="BV115" s="252"/>
      <c r="BW115" s="253"/>
      <c r="BX115" s="267">
        <v>0</v>
      </c>
      <c r="BY115" s="268">
        <v>0</v>
      </c>
      <c r="BZ115" s="252"/>
      <c r="CA115" s="253"/>
      <c r="CB115" s="267"/>
      <c r="CC115" s="268"/>
      <c r="CD115" s="255">
        <f t="shared" si="20"/>
        <v>27</v>
      </c>
      <c r="CE115" s="256">
        <f t="shared" si="21"/>
        <v>356820</v>
      </c>
      <c r="CF115" s="257">
        <f t="shared" si="22"/>
        <v>23</v>
      </c>
      <c r="CG115" s="261">
        <f t="shared" si="23"/>
        <v>334628</v>
      </c>
    </row>
    <row r="116" spans="1:85" s="263" customFormat="1" ht="12.75" customHeight="1">
      <c r="A116" s="299" t="s">
        <v>155</v>
      </c>
      <c r="B116" s="300" t="s">
        <v>178</v>
      </c>
      <c r="C116" s="300"/>
      <c r="D116" s="301">
        <v>137078</v>
      </c>
      <c r="E116" s="302">
        <v>7</v>
      </c>
      <c r="F116" s="252">
        <v>258</v>
      </c>
      <c r="G116" s="253">
        <v>1561585</v>
      </c>
      <c r="H116" s="267">
        <v>271</v>
      </c>
      <c r="I116" s="268">
        <v>1799817</v>
      </c>
      <c r="J116" s="252">
        <v>258</v>
      </c>
      <c r="K116" s="253">
        <v>1925179</v>
      </c>
      <c r="L116" s="267">
        <v>271</v>
      </c>
      <c r="M116" s="268">
        <v>2070490</v>
      </c>
      <c r="N116" s="252">
        <v>0</v>
      </c>
      <c r="O116" s="253">
        <v>0</v>
      </c>
      <c r="P116" s="267">
        <v>0</v>
      </c>
      <c r="Q116" s="268">
        <v>0</v>
      </c>
      <c r="R116" s="252">
        <v>258</v>
      </c>
      <c r="S116" s="253">
        <v>1182991</v>
      </c>
      <c r="T116" s="267">
        <v>271</v>
      </c>
      <c r="U116" s="268">
        <v>1288308</v>
      </c>
      <c r="V116" s="252">
        <v>258</v>
      </c>
      <c r="W116" s="253">
        <v>11397</v>
      </c>
      <c r="X116" s="267">
        <v>271</v>
      </c>
      <c r="Y116" s="268">
        <v>13572</v>
      </c>
      <c r="Z116" s="252">
        <v>258</v>
      </c>
      <c r="AA116" s="253">
        <v>78286</v>
      </c>
      <c r="AB116" s="267">
        <v>271</v>
      </c>
      <c r="AC116" s="268">
        <v>48058</v>
      </c>
      <c r="AD116" s="252">
        <v>258</v>
      </c>
      <c r="AE116" s="253">
        <v>73396</v>
      </c>
      <c r="AF116" s="267">
        <v>271</v>
      </c>
      <c r="AG116" s="268">
        <v>89681</v>
      </c>
      <c r="AH116" s="252">
        <v>258</v>
      </c>
      <c r="AI116" s="253">
        <v>19259</v>
      </c>
      <c r="AJ116" s="267">
        <v>271</v>
      </c>
      <c r="AK116" s="268">
        <v>17836</v>
      </c>
      <c r="AL116" s="252">
        <v>258</v>
      </c>
      <c r="AM116" s="253">
        <v>12900</v>
      </c>
      <c r="AN116" s="267">
        <v>271</v>
      </c>
      <c r="AO116" s="268">
        <v>13600</v>
      </c>
      <c r="AP116" s="255">
        <f t="shared" si="16"/>
        <v>258</v>
      </c>
      <c r="AQ116" s="256">
        <f t="shared" si="17"/>
        <v>4864993</v>
      </c>
      <c r="AR116" s="257">
        <f t="shared" si="18"/>
        <v>271</v>
      </c>
      <c r="AS116" s="258">
        <f t="shared" si="19"/>
        <v>5341362</v>
      </c>
      <c r="AT116" s="259">
        <v>51</v>
      </c>
      <c r="AU116" s="253">
        <v>372144</v>
      </c>
      <c r="AV116" s="267">
        <v>54</v>
      </c>
      <c r="AW116" s="268">
        <v>438216</v>
      </c>
      <c r="AX116" s="252">
        <v>51</v>
      </c>
      <c r="AY116" s="253">
        <v>385379</v>
      </c>
      <c r="AZ116" s="267">
        <v>54</v>
      </c>
      <c r="BA116" s="268">
        <v>392361</v>
      </c>
      <c r="BB116" s="252">
        <v>0</v>
      </c>
      <c r="BC116" s="253">
        <v>0</v>
      </c>
      <c r="BD116" s="267">
        <v>0</v>
      </c>
      <c r="BE116" s="268">
        <v>0</v>
      </c>
      <c r="BF116" s="252">
        <v>51</v>
      </c>
      <c r="BG116" s="253">
        <v>282318</v>
      </c>
      <c r="BH116" s="267">
        <v>54</v>
      </c>
      <c r="BI116" s="268">
        <v>315223</v>
      </c>
      <c r="BJ116" s="252">
        <v>51</v>
      </c>
      <c r="BK116" s="253">
        <v>2253</v>
      </c>
      <c r="BL116" s="267">
        <v>54</v>
      </c>
      <c r="BM116" s="268">
        <v>2695</v>
      </c>
      <c r="BN116" s="252">
        <v>51</v>
      </c>
      <c r="BO116" s="253">
        <v>10563</v>
      </c>
      <c r="BP116" s="267">
        <v>54</v>
      </c>
      <c r="BQ116" s="268">
        <v>11591</v>
      </c>
      <c r="BR116" s="252">
        <v>51</v>
      </c>
      <c r="BS116" s="253">
        <v>14508</v>
      </c>
      <c r="BT116" s="267">
        <v>54</v>
      </c>
      <c r="BU116" s="268">
        <v>17804</v>
      </c>
      <c r="BV116" s="252">
        <v>51</v>
      </c>
      <c r="BW116" s="253">
        <v>3807</v>
      </c>
      <c r="BX116" s="267">
        <v>54</v>
      </c>
      <c r="BY116" s="268">
        <v>3541</v>
      </c>
      <c r="BZ116" s="252">
        <v>51</v>
      </c>
      <c r="CA116" s="253">
        <v>2550</v>
      </c>
      <c r="CB116" s="267">
        <v>54</v>
      </c>
      <c r="CC116" s="268">
        <v>2700</v>
      </c>
      <c r="CD116" s="255">
        <f t="shared" si="20"/>
        <v>51</v>
      </c>
      <c r="CE116" s="256">
        <f t="shared" si="21"/>
        <v>1073522</v>
      </c>
      <c r="CF116" s="257">
        <f t="shared" si="22"/>
        <v>54</v>
      </c>
      <c r="CG116" s="261">
        <f t="shared" si="23"/>
        <v>1184131</v>
      </c>
    </row>
    <row r="117" spans="1:85" s="263" customFormat="1" ht="12.75" customHeight="1">
      <c r="A117" s="299" t="s">
        <v>155</v>
      </c>
      <c r="B117" s="307" t="s">
        <v>1214</v>
      </c>
      <c r="C117" s="482" t="s">
        <v>1215</v>
      </c>
      <c r="D117" s="301">
        <v>137096</v>
      </c>
      <c r="E117" s="302">
        <v>8</v>
      </c>
      <c r="F117" s="252">
        <v>223</v>
      </c>
      <c r="G117" s="253">
        <v>1176577</v>
      </c>
      <c r="H117" s="267">
        <v>219</v>
      </c>
      <c r="I117" s="268">
        <v>1215419</v>
      </c>
      <c r="J117" s="252">
        <v>223</v>
      </c>
      <c r="K117" s="253">
        <v>1023036</v>
      </c>
      <c r="L117" s="267">
        <v>219</v>
      </c>
      <c r="M117" s="268">
        <v>1049004</v>
      </c>
      <c r="N117" s="252">
        <v>0</v>
      </c>
      <c r="O117" s="253">
        <v>0</v>
      </c>
      <c r="P117" s="267">
        <v>0</v>
      </c>
      <c r="Q117" s="268">
        <v>0</v>
      </c>
      <c r="R117" s="252">
        <v>223</v>
      </c>
      <c r="S117" s="253">
        <v>793023</v>
      </c>
      <c r="T117" s="267">
        <v>219</v>
      </c>
      <c r="U117" s="268">
        <v>819203</v>
      </c>
      <c r="V117" s="252">
        <v>223</v>
      </c>
      <c r="W117" s="253">
        <v>42147</v>
      </c>
      <c r="X117" s="267">
        <v>219</v>
      </c>
      <c r="Y117" s="268">
        <v>41391</v>
      </c>
      <c r="Z117" s="252">
        <v>223</v>
      </c>
      <c r="AA117" s="253">
        <v>31580</v>
      </c>
      <c r="AB117" s="267">
        <v>219</v>
      </c>
      <c r="AC117" s="268">
        <v>33001</v>
      </c>
      <c r="AD117" s="252">
        <v>223</v>
      </c>
      <c r="AE117" s="253">
        <v>75881</v>
      </c>
      <c r="AF117" s="267">
        <v>219</v>
      </c>
      <c r="AG117" s="268">
        <v>89095</v>
      </c>
      <c r="AH117" s="252">
        <v>21</v>
      </c>
      <c r="AI117" s="253">
        <v>18550</v>
      </c>
      <c r="AJ117" s="267">
        <v>11</v>
      </c>
      <c r="AK117" s="268">
        <v>6671</v>
      </c>
      <c r="AL117" s="252">
        <v>0</v>
      </c>
      <c r="AM117" s="253">
        <v>0</v>
      </c>
      <c r="AN117" s="267">
        <v>0</v>
      </c>
      <c r="AO117" s="268">
        <v>0</v>
      </c>
      <c r="AP117" s="255">
        <f t="shared" si="16"/>
        <v>223</v>
      </c>
      <c r="AQ117" s="256">
        <f t="shared" si="17"/>
        <v>3160794</v>
      </c>
      <c r="AR117" s="257">
        <f t="shared" si="18"/>
        <v>219</v>
      </c>
      <c r="AS117" s="258">
        <f t="shared" si="19"/>
        <v>3253784</v>
      </c>
      <c r="AT117" s="259">
        <v>11</v>
      </c>
      <c r="AU117" s="253">
        <v>61910</v>
      </c>
      <c r="AV117" s="267">
        <v>11</v>
      </c>
      <c r="AW117" s="268">
        <v>62582</v>
      </c>
      <c r="AX117" s="252">
        <v>11</v>
      </c>
      <c r="AY117" s="253">
        <v>45072</v>
      </c>
      <c r="AZ117" s="267">
        <v>11</v>
      </c>
      <c r="BA117" s="268">
        <v>47448</v>
      </c>
      <c r="BB117" s="252">
        <v>0</v>
      </c>
      <c r="BC117" s="253">
        <v>0</v>
      </c>
      <c r="BD117" s="267">
        <v>0</v>
      </c>
      <c r="BE117" s="268">
        <v>0</v>
      </c>
      <c r="BF117" s="252">
        <v>11</v>
      </c>
      <c r="BG117" s="253">
        <v>41728</v>
      </c>
      <c r="BH117" s="267">
        <v>11</v>
      </c>
      <c r="BI117" s="268">
        <v>42410</v>
      </c>
      <c r="BJ117" s="252">
        <v>11</v>
      </c>
      <c r="BK117" s="253">
        <v>2079</v>
      </c>
      <c r="BL117" s="267">
        <v>11</v>
      </c>
      <c r="BM117" s="268">
        <v>2079</v>
      </c>
      <c r="BN117" s="252">
        <v>11</v>
      </c>
      <c r="BO117" s="253">
        <v>1687</v>
      </c>
      <c r="BP117" s="267">
        <v>11</v>
      </c>
      <c r="BQ117" s="268">
        <v>1715</v>
      </c>
      <c r="BR117" s="252">
        <v>11</v>
      </c>
      <c r="BS117" s="253">
        <v>3993</v>
      </c>
      <c r="BT117" s="267">
        <v>11</v>
      </c>
      <c r="BU117" s="268">
        <v>4587</v>
      </c>
      <c r="BV117" s="252">
        <v>0</v>
      </c>
      <c r="BW117" s="253">
        <v>0</v>
      </c>
      <c r="BX117" s="267">
        <v>0</v>
      </c>
      <c r="BY117" s="268">
        <v>0</v>
      </c>
      <c r="BZ117" s="252">
        <v>0</v>
      </c>
      <c r="CA117" s="253">
        <v>0</v>
      </c>
      <c r="CB117" s="267">
        <v>0</v>
      </c>
      <c r="CC117" s="268">
        <v>0</v>
      </c>
      <c r="CD117" s="255">
        <f t="shared" si="20"/>
        <v>11</v>
      </c>
      <c r="CE117" s="256">
        <f t="shared" si="21"/>
        <v>156469</v>
      </c>
      <c r="CF117" s="257">
        <f t="shared" si="22"/>
        <v>11</v>
      </c>
      <c r="CG117" s="261">
        <f t="shared" si="23"/>
        <v>160821</v>
      </c>
    </row>
    <row r="118" spans="1:85" s="263" customFormat="1" ht="12.75" customHeight="1">
      <c r="A118" s="299" t="s">
        <v>155</v>
      </c>
      <c r="B118" s="307" t="s">
        <v>1216</v>
      </c>
      <c r="C118" s="482" t="s">
        <v>1217</v>
      </c>
      <c r="D118" s="301">
        <v>137209</v>
      </c>
      <c r="E118" s="302">
        <v>8</v>
      </c>
      <c r="F118" s="252">
        <v>107</v>
      </c>
      <c r="G118" s="253">
        <v>598556</v>
      </c>
      <c r="H118" s="267">
        <v>114</v>
      </c>
      <c r="I118" s="268">
        <v>667735</v>
      </c>
      <c r="J118" s="252">
        <v>107</v>
      </c>
      <c r="K118" s="253">
        <v>591114</v>
      </c>
      <c r="L118" s="267">
        <v>114</v>
      </c>
      <c r="M118" s="268">
        <v>628644</v>
      </c>
      <c r="N118" s="252"/>
      <c r="O118" s="253"/>
      <c r="P118" s="267"/>
      <c r="Q118" s="268"/>
      <c r="R118" s="252">
        <v>107</v>
      </c>
      <c r="S118" s="253">
        <v>455856</v>
      </c>
      <c r="T118" s="267">
        <v>114</v>
      </c>
      <c r="U118" s="268">
        <v>508210</v>
      </c>
      <c r="V118" s="252"/>
      <c r="W118" s="253"/>
      <c r="X118" s="267"/>
      <c r="Y118" s="268"/>
      <c r="Z118" s="252">
        <v>107</v>
      </c>
      <c r="AA118" s="253">
        <v>9236</v>
      </c>
      <c r="AB118" s="267">
        <v>114</v>
      </c>
      <c r="AC118" s="268">
        <v>10297</v>
      </c>
      <c r="AD118" s="252"/>
      <c r="AE118" s="253"/>
      <c r="AF118" s="267"/>
      <c r="AG118" s="268"/>
      <c r="AH118" s="252">
        <v>5</v>
      </c>
      <c r="AI118" s="253">
        <v>3431</v>
      </c>
      <c r="AJ118" s="267">
        <v>6</v>
      </c>
      <c r="AK118" s="268">
        <v>4967</v>
      </c>
      <c r="AL118" s="252"/>
      <c r="AM118" s="253"/>
      <c r="AN118" s="267"/>
      <c r="AO118" s="268"/>
      <c r="AP118" s="255">
        <f t="shared" si="16"/>
        <v>107</v>
      </c>
      <c r="AQ118" s="256">
        <f t="shared" si="17"/>
        <v>1658193</v>
      </c>
      <c r="AR118" s="257">
        <f t="shared" si="18"/>
        <v>114</v>
      </c>
      <c r="AS118" s="258">
        <f t="shared" si="19"/>
        <v>1819853</v>
      </c>
      <c r="AT118" s="259">
        <v>82</v>
      </c>
      <c r="AU118" s="253">
        <v>568312</v>
      </c>
      <c r="AV118" s="267">
        <v>82</v>
      </c>
      <c r="AW118" s="268">
        <v>600886</v>
      </c>
      <c r="AX118" s="252">
        <v>82</v>
      </c>
      <c r="AY118" s="253">
        <v>456723</v>
      </c>
      <c r="AZ118" s="267">
        <v>82</v>
      </c>
      <c r="BA118" s="268">
        <v>454032</v>
      </c>
      <c r="BB118" s="252"/>
      <c r="BC118" s="253"/>
      <c r="BD118" s="267"/>
      <c r="BE118" s="268"/>
      <c r="BF118" s="252">
        <v>82</v>
      </c>
      <c r="BG118" s="253">
        <v>431400</v>
      </c>
      <c r="BH118" s="267">
        <v>82</v>
      </c>
      <c r="BI118" s="268">
        <v>456559</v>
      </c>
      <c r="BJ118" s="252"/>
      <c r="BK118" s="253"/>
      <c r="BL118" s="267"/>
      <c r="BM118" s="268"/>
      <c r="BN118" s="252">
        <v>82</v>
      </c>
      <c r="BO118" s="253">
        <v>8741</v>
      </c>
      <c r="BP118" s="267">
        <v>82</v>
      </c>
      <c r="BQ118" s="268">
        <v>9251</v>
      </c>
      <c r="BR118" s="252"/>
      <c r="BS118" s="253"/>
      <c r="BT118" s="267"/>
      <c r="BU118" s="268"/>
      <c r="BV118" s="252">
        <v>9</v>
      </c>
      <c r="BW118" s="253">
        <v>7801</v>
      </c>
      <c r="BX118" s="267">
        <v>7</v>
      </c>
      <c r="BY118" s="268">
        <v>7362</v>
      </c>
      <c r="BZ118" s="252"/>
      <c r="CA118" s="253"/>
      <c r="CB118" s="267"/>
      <c r="CC118" s="268"/>
      <c r="CD118" s="255">
        <f t="shared" si="20"/>
        <v>82</v>
      </c>
      <c r="CE118" s="256">
        <f t="shared" si="21"/>
        <v>1472977</v>
      </c>
      <c r="CF118" s="257">
        <f t="shared" si="22"/>
        <v>82</v>
      </c>
      <c r="CG118" s="261">
        <f t="shared" si="23"/>
        <v>1528090</v>
      </c>
    </row>
    <row r="119" spans="1:85" s="263" customFormat="1" ht="12.75" customHeight="1">
      <c r="A119" s="299" t="s">
        <v>155</v>
      </c>
      <c r="B119" s="300" t="s">
        <v>179</v>
      </c>
      <c r="C119" s="300"/>
      <c r="D119" s="301">
        <v>137315</v>
      </c>
      <c r="E119" s="302">
        <v>9</v>
      </c>
      <c r="F119" s="252">
        <v>44</v>
      </c>
      <c r="G119" s="253">
        <v>217430</v>
      </c>
      <c r="H119" s="267">
        <v>45</v>
      </c>
      <c r="I119" s="268">
        <v>247483</v>
      </c>
      <c r="J119" s="252">
        <v>44</v>
      </c>
      <c r="K119" s="253">
        <v>249208</v>
      </c>
      <c r="L119" s="267">
        <v>45</v>
      </c>
      <c r="M119" s="268">
        <v>265340</v>
      </c>
      <c r="N119" s="252"/>
      <c r="O119" s="253"/>
      <c r="P119" s="267"/>
      <c r="Q119" s="268"/>
      <c r="R119" s="252">
        <v>44</v>
      </c>
      <c r="S119" s="253">
        <v>167231</v>
      </c>
      <c r="T119" s="267">
        <v>45</v>
      </c>
      <c r="U119" s="268">
        <v>175189</v>
      </c>
      <c r="V119" s="252">
        <v>44</v>
      </c>
      <c r="W119" s="253">
        <v>8505</v>
      </c>
      <c r="X119" s="267">
        <v>45</v>
      </c>
      <c r="Y119" s="268">
        <v>8505</v>
      </c>
      <c r="Z119" s="252">
        <v>44</v>
      </c>
      <c r="AA119" s="253">
        <v>6612</v>
      </c>
      <c r="AB119" s="267">
        <v>45</v>
      </c>
      <c r="AC119" s="268">
        <v>6933</v>
      </c>
      <c r="AD119" s="252">
        <v>44</v>
      </c>
      <c r="AE119" s="253">
        <v>23172</v>
      </c>
      <c r="AF119" s="267">
        <v>45</v>
      </c>
      <c r="AG119" s="268">
        <v>24275</v>
      </c>
      <c r="AH119" s="252"/>
      <c r="AI119" s="253"/>
      <c r="AJ119" s="267"/>
      <c r="AK119" s="268"/>
      <c r="AL119" s="252"/>
      <c r="AM119" s="253"/>
      <c r="AN119" s="267"/>
      <c r="AO119" s="268"/>
      <c r="AP119" s="255">
        <f t="shared" si="16"/>
        <v>44</v>
      </c>
      <c r="AQ119" s="256">
        <f t="shared" si="17"/>
        <v>672158</v>
      </c>
      <c r="AR119" s="257">
        <f t="shared" si="18"/>
        <v>45</v>
      </c>
      <c r="AS119" s="258">
        <f t="shared" si="19"/>
        <v>727725</v>
      </c>
      <c r="AT119" s="259">
        <v>19</v>
      </c>
      <c r="AU119" s="253">
        <v>109506</v>
      </c>
      <c r="AV119" s="267">
        <v>19</v>
      </c>
      <c r="AW119" s="268">
        <v>121649</v>
      </c>
      <c r="AX119" s="252">
        <v>19</v>
      </c>
      <c r="AY119" s="253">
        <v>106421</v>
      </c>
      <c r="AZ119" s="267">
        <v>19</v>
      </c>
      <c r="BA119" s="268">
        <v>112238</v>
      </c>
      <c r="BB119" s="252"/>
      <c r="BC119" s="253"/>
      <c r="BD119" s="267"/>
      <c r="BE119" s="268"/>
      <c r="BF119" s="252">
        <v>19</v>
      </c>
      <c r="BG119" s="253">
        <v>84754</v>
      </c>
      <c r="BH119" s="267">
        <v>19</v>
      </c>
      <c r="BI119" s="268">
        <v>86569</v>
      </c>
      <c r="BJ119" s="252">
        <v>19</v>
      </c>
      <c r="BK119" s="253">
        <v>3591</v>
      </c>
      <c r="BL119" s="267">
        <v>19</v>
      </c>
      <c r="BM119" s="268">
        <v>3591</v>
      </c>
      <c r="BN119" s="252">
        <v>19</v>
      </c>
      <c r="BO119" s="253">
        <v>3357</v>
      </c>
      <c r="BP119" s="267">
        <v>19</v>
      </c>
      <c r="BQ119" s="268">
        <v>3417</v>
      </c>
      <c r="BR119" s="252">
        <v>19</v>
      </c>
      <c r="BS119" s="253">
        <v>11744</v>
      </c>
      <c r="BT119" s="267">
        <v>19</v>
      </c>
      <c r="BU119" s="268">
        <v>11995</v>
      </c>
      <c r="BV119" s="252"/>
      <c r="BW119" s="253"/>
      <c r="BX119" s="267"/>
      <c r="BY119" s="268"/>
      <c r="BZ119" s="252"/>
      <c r="CA119" s="253"/>
      <c r="CB119" s="267"/>
      <c r="CC119" s="268"/>
      <c r="CD119" s="255">
        <f t="shared" si="20"/>
        <v>19</v>
      </c>
      <c r="CE119" s="256">
        <f t="shared" si="21"/>
        <v>319373</v>
      </c>
      <c r="CF119" s="257">
        <f t="shared" si="22"/>
        <v>19</v>
      </c>
      <c r="CG119" s="261">
        <f t="shared" si="23"/>
        <v>339459</v>
      </c>
    </row>
    <row r="120" spans="1:85" s="263" customFormat="1" ht="12.75" customHeight="1">
      <c r="A120" s="299" t="s">
        <v>155</v>
      </c>
      <c r="B120" s="300" t="s">
        <v>180</v>
      </c>
      <c r="C120" s="300"/>
      <c r="D120" s="301">
        <v>137759</v>
      </c>
      <c r="E120" s="302">
        <v>8</v>
      </c>
      <c r="F120" s="252">
        <v>184</v>
      </c>
      <c r="G120" s="253">
        <v>1042377</v>
      </c>
      <c r="H120" s="267">
        <v>175</v>
      </c>
      <c r="I120" s="268">
        <v>880090</v>
      </c>
      <c r="J120" s="252">
        <v>184</v>
      </c>
      <c r="K120" s="253">
        <v>686688</v>
      </c>
      <c r="L120" s="267">
        <v>175</v>
      </c>
      <c r="M120" s="268">
        <v>866145</v>
      </c>
      <c r="N120" s="252"/>
      <c r="O120" s="253"/>
      <c r="P120" s="267"/>
      <c r="Q120" s="268"/>
      <c r="R120" s="252">
        <v>184</v>
      </c>
      <c r="S120" s="253">
        <v>849116</v>
      </c>
      <c r="T120" s="267">
        <v>175</v>
      </c>
      <c r="U120" s="268">
        <v>775814</v>
      </c>
      <c r="V120" s="252"/>
      <c r="W120" s="253"/>
      <c r="X120" s="267"/>
      <c r="Y120" s="268"/>
      <c r="Z120" s="252">
        <v>184</v>
      </c>
      <c r="AA120" s="253">
        <v>63141</v>
      </c>
      <c r="AB120" s="267">
        <v>175</v>
      </c>
      <c r="AC120" s="268">
        <v>57696</v>
      </c>
      <c r="AD120" s="252"/>
      <c r="AE120" s="253"/>
      <c r="AF120" s="267"/>
      <c r="AG120" s="268"/>
      <c r="AH120" s="252"/>
      <c r="AI120" s="253"/>
      <c r="AJ120" s="267"/>
      <c r="AK120" s="268"/>
      <c r="AL120" s="252"/>
      <c r="AM120" s="253"/>
      <c r="AN120" s="267"/>
      <c r="AO120" s="268"/>
      <c r="AP120" s="255">
        <f t="shared" si="16"/>
        <v>184</v>
      </c>
      <c r="AQ120" s="256">
        <f t="shared" si="17"/>
        <v>2641322</v>
      </c>
      <c r="AR120" s="257">
        <f t="shared" si="18"/>
        <v>175</v>
      </c>
      <c r="AS120" s="258">
        <f t="shared" si="19"/>
        <v>2579745</v>
      </c>
      <c r="AT120" s="259"/>
      <c r="AU120" s="253"/>
      <c r="AV120" s="267"/>
      <c r="AW120" s="268"/>
      <c r="AX120" s="252"/>
      <c r="AY120" s="253"/>
      <c r="AZ120" s="267"/>
      <c r="BA120" s="268"/>
      <c r="BB120" s="252"/>
      <c r="BC120" s="253"/>
      <c r="BD120" s="267"/>
      <c r="BE120" s="268"/>
      <c r="BF120" s="252"/>
      <c r="BG120" s="253"/>
      <c r="BH120" s="267"/>
      <c r="BI120" s="268"/>
      <c r="BJ120" s="252"/>
      <c r="BK120" s="253"/>
      <c r="BL120" s="267"/>
      <c r="BM120" s="268"/>
      <c r="BN120" s="252"/>
      <c r="BO120" s="253"/>
      <c r="BP120" s="267"/>
      <c r="BQ120" s="268"/>
      <c r="BR120" s="252"/>
      <c r="BS120" s="253"/>
      <c r="BT120" s="267"/>
      <c r="BU120" s="268"/>
      <c r="BV120" s="252"/>
      <c r="BW120" s="253"/>
      <c r="BX120" s="267"/>
      <c r="BY120" s="268"/>
      <c r="BZ120" s="252"/>
      <c r="CA120" s="253"/>
      <c r="CB120" s="267"/>
      <c r="CC120" s="268"/>
      <c r="CD120" s="255">
        <f t="shared" si="20"/>
        <v>0</v>
      </c>
      <c r="CE120" s="256">
        <f t="shared" si="21"/>
        <v>0</v>
      </c>
      <c r="CF120" s="257">
        <f t="shared" si="22"/>
        <v>0</v>
      </c>
      <c r="CG120" s="261">
        <f t="shared" si="23"/>
        <v>0</v>
      </c>
    </row>
    <row r="121" spans="1:85" s="263" customFormat="1" ht="12.75" customHeight="1">
      <c r="A121" s="299" t="s">
        <v>155</v>
      </c>
      <c r="B121" s="300" t="s">
        <v>181</v>
      </c>
      <c r="C121" s="300"/>
      <c r="D121" s="301">
        <v>138187</v>
      </c>
      <c r="E121" s="302">
        <v>8</v>
      </c>
      <c r="F121" s="252">
        <v>353</v>
      </c>
      <c r="G121" s="253">
        <v>2032462</v>
      </c>
      <c r="H121" s="267">
        <v>360</v>
      </c>
      <c r="I121" s="268">
        <v>2295762</v>
      </c>
      <c r="J121" s="252">
        <v>353</v>
      </c>
      <c r="K121" s="253">
        <v>1920320</v>
      </c>
      <c r="L121" s="267">
        <v>360</v>
      </c>
      <c r="M121" s="268">
        <v>2247480</v>
      </c>
      <c r="N121" s="252"/>
      <c r="O121" s="253"/>
      <c r="P121" s="267"/>
      <c r="Q121" s="268"/>
      <c r="R121" s="252">
        <v>353</v>
      </c>
      <c r="S121" s="253">
        <v>1578511</v>
      </c>
      <c r="T121" s="267">
        <v>360</v>
      </c>
      <c r="U121" s="268">
        <v>1630694</v>
      </c>
      <c r="V121" s="252">
        <v>353</v>
      </c>
      <c r="W121" s="253">
        <v>22540</v>
      </c>
      <c r="X121" s="267">
        <v>360</v>
      </c>
      <c r="Y121" s="268">
        <v>23677</v>
      </c>
      <c r="Z121" s="252">
        <v>353</v>
      </c>
      <c r="AA121" s="253">
        <v>13767</v>
      </c>
      <c r="AB121" s="267">
        <v>360</v>
      </c>
      <c r="AC121" s="268">
        <v>20160</v>
      </c>
      <c r="AD121" s="252">
        <v>353</v>
      </c>
      <c r="AE121" s="253">
        <v>339121</v>
      </c>
      <c r="AF121" s="267">
        <v>360</v>
      </c>
      <c r="AG121" s="268">
        <v>347636</v>
      </c>
      <c r="AH121" s="252">
        <v>353</v>
      </c>
      <c r="AI121" s="253">
        <v>25782</v>
      </c>
      <c r="AJ121" s="267">
        <v>360</v>
      </c>
      <c r="AK121" s="268">
        <v>28397</v>
      </c>
      <c r="AL121" s="252"/>
      <c r="AM121" s="253"/>
      <c r="AN121" s="267"/>
      <c r="AO121" s="268"/>
      <c r="AP121" s="255">
        <f t="shared" si="16"/>
        <v>353</v>
      </c>
      <c r="AQ121" s="256">
        <f t="shared" si="17"/>
        <v>5932503</v>
      </c>
      <c r="AR121" s="257">
        <f t="shared" si="18"/>
        <v>360</v>
      </c>
      <c r="AS121" s="258">
        <f t="shared" si="19"/>
        <v>6593806</v>
      </c>
      <c r="AT121" s="259"/>
      <c r="AU121" s="253"/>
      <c r="AV121" s="267"/>
      <c r="AW121" s="268"/>
      <c r="AX121" s="252"/>
      <c r="AY121" s="253"/>
      <c r="AZ121" s="267"/>
      <c r="BA121" s="268"/>
      <c r="BB121" s="252"/>
      <c r="BC121" s="253"/>
      <c r="BD121" s="267"/>
      <c r="BE121" s="268"/>
      <c r="BF121" s="252"/>
      <c r="BG121" s="253"/>
      <c r="BH121" s="267"/>
      <c r="BI121" s="268"/>
      <c r="BJ121" s="252"/>
      <c r="BK121" s="253"/>
      <c r="BL121" s="267"/>
      <c r="BM121" s="268"/>
      <c r="BN121" s="252"/>
      <c r="BO121" s="253"/>
      <c r="BP121" s="267"/>
      <c r="BQ121" s="268"/>
      <c r="BR121" s="252"/>
      <c r="BS121" s="253"/>
      <c r="BT121" s="267"/>
      <c r="BU121" s="268"/>
      <c r="BV121" s="252"/>
      <c r="BW121" s="253"/>
      <c r="BX121" s="267"/>
      <c r="BY121" s="268"/>
      <c r="BZ121" s="252"/>
      <c r="CA121" s="253"/>
      <c r="CB121" s="267"/>
      <c r="CC121" s="268"/>
      <c r="CD121" s="255">
        <f t="shared" si="20"/>
        <v>0</v>
      </c>
      <c r="CE121" s="256">
        <f t="shared" si="21"/>
        <v>0</v>
      </c>
      <c r="CF121" s="257">
        <f t="shared" si="22"/>
        <v>0</v>
      </c>
      <c r="CG121" s="261">
        <f t="shared" si="23"/>
        <v>0</v>
      </c>
    </row>
    <row r="122" spans="1:85" s="263" customFormat="1" ht="12.75" customHeight="1">
      <c r="A122" s="311" t="s">
        <v>45</v>
      </c>
      <c r="B122" s="312" t="s">
        <v>46</v>
      </c>
      <c r="C122" s="312"/>
      <c r="D122" s="311">
        <v>139940</v>
      </c>
      <c r="E122" s="313">
        <v>1</v>
      </c>
      <c r="F122" s="252">
        <v>1035</v>
      </c>
      <c r="G122" s="253">
        <v>7647025</v>
      </c>
      <c r="H122" s="276">
        <v>1049</v>
      </c>
      <c r="I122" s="276">
        <v>7808113</v>
      </c>
      <c r="J122" s="252">
        <v>903</v>
      </c>
      <c r="K122" s="253">
        <v>8616430</v>
      </c>
      <c r="L122" s="276">
        <v>917</v>
      </c>
      <c r="M122" s="276">
        <v>6122192</v>
      </c>
      <c r="N122" s="252"/>
      <c r="O122" s="253"/>
      <c r="P122" s="276"/>
      <c r="Q122" s="314"/>
      <c r="R122" s="252">
        <v>1035</v>
      </c>
      <c r="S122" s="253">
        <v>5362237</v>
      </c>
      <c r="T122" s="276">
        <v>1049</v>
      </c>
      <c r="U122" s="276">
        <v>5717692</v>
      </c>
      <c r="V122" s="252">
        <v>1035</v>
      </c>
      <c r="W122" s="315">
        <f t="shared" ref="W122:W154" si="24">V122*92.25</f>
        <v>95478.75</v>
      </c>
      <c r="X122" s="276">
        <v>1049</v>
      </c>
      <c r="Y122" s="268">
        <f>X122*141</f>
        <v>147909</v>
      </c>
      <c r="Z122" s="252">
        <v>1035</v>
      </c>
      <c r="AA122" s="253">
        <v>181125</v>
      </c>
      <c r="AB122" s="276">
        <v>1049</v>
      </c>
      <c r="AC122" s="276">
        <v>183575</v>
      </c>
      <c r="AD122" s="252">
        <v>1035</v>
      </c>
      <c r="AE122" s="315">
        <f>AD122*66</f>
        <v>68310</v>
      </c>
      <c r="AF122" s="276">
        <v>1049</v>
      </c>
      <c r="AG122" s="268">
        <f>AF122*129</f>
        <v>135321</v>
      </c>
      <c r="AH122" s="252"/>
      <c r="AI122" s="253"/>
      <c r="AJ122" s="267"/>
      <c r="AK122" s="268"/>
      <c r="AL122" s="252"/>
      <c r="AM122" s="253"/>
      <c r="AN122" s="276"/>
      <c r="AO122" s="276"/>
      <c r="AP122" s="255">
        <f t="shared" si="16"/>
        <v>1035</v>
      </c>
      <c r="AQ122" s="256">
        <f t="shared" si="17"/>
        <v>21970605.75</v>
      </c>
      <c r="AR122" s="257">
        <f t="shared" si="18"/>
        <v>1049</v>
      </c>
      <c r="AS122" s="258">
        <f t="shared" si="19"/>
        <v>20114802</v>
      </c>
      <c r="AT122" s="259">
        <v>17</v>
      </c>
      <c r="AU122" s="253">
        <v>167135</v>
      </c>
      <c r="AV122" s="267">
        <v>18</v>
      </c>
      <c r="AW122" s="268">
        <v>168681</v>
      </c>
      <c r="AX122" s="252">
        <v>15</v>
      </c>
      <c r="AY122" s="253">
        <v>109685</v>
      </c>
      <c r="AZ122" s="267">
        <v>15</v>
      </c>
      <c r="BA122" s="268">
        <v>103826</v>
      </c>
      <c r="BB122" s="252"/>
      <c r="BC122" s="253"/>
      <c r="BD122" s="267"/>
      <c r="BE122" s="268"/>
      <c r="BF122" s="252">
        <v>17</v>
      </c>
      <c r="BG122" s="253">
        <v>104998</v>
      </c>
      <c r="BH122" s="267">
        <v>18</v>
      </c>
      <c r="BI122" s="268">
        <v>119753</v>
      </c>
      <c r="BJ122" s="252">
        <v>17</v>
      </c>
      <c r="BK122" s="315">
        <f t="shared" ref="BK122:BK154" si="25">BJ122*92.25</f>
        <v>1568.25</v>
      </c>
      <c r="BL122" s="267">
        <v>18</v>
      </c>
      <c r="BM122" s="268">
        <f>BL122*141</f>
        <v>2538</v>
      </c>
      <c r="BN122" s="252">
        <v>17</v>
      </c>
      <c r="BO122" s="253">
        <v>2975</v>
      </c>
      <c r="BP122" s="267">
        <v>18</v>
      </c>
      <c r="BQ122" s="268">
        <v>3150</v>
      </c>
      <c r="BR122" s="252">
        <v>17</v>
      </c>
      <c r="BS122" s="315">
        <f t="shared" ref="BS122:BS154" si="26">BR122*66</f>
        <v>1122</v>
      </c>
      <c r="BT122" s="267">
        <v>18</v>
      </c>
      <c r="BU122" s="268">
        <f>BT122*129</f>
        <v>2322</v>
      </c>
      <c r="BV122" s="252"/>
      <c r="BW122" s="253"/>
      <c r="BX122" s="267"/>
      <c r="BY122" s="268"/>
      <c r="BZ122" s="252"/>
      <c r="CA122" s="253"/>
      <c r="CB122" s="267"/>
      <c r="CC122" s="268"/>
      <c r="CD122" s="255">
        <f t="shared" si="20"/>
        <v>17</v>
      </c>
      <c r="CE122" s="256">
        <f t="shared" si="21"/>
        <v>387483.25</v>
      </c>
      <c r="CF122" s="257">
        <f t="shared" si="22"/>
        <v>18</v>
      </c>
      <c r="CG122" s="261">
        <f t="shared" si="23"/>
        <v>400270</v>
      </c>
    </row>
    <row r="123" spans="1:85" s="263" customFormat="1" ht="12.75" customHeight="1">
      <c r="A123" s="311" t="s">
        <v>45</v>
      </c>
      <c r="B123" s="312" t="s">
        <v>47</v>
      </c>
      <c r="C123" s="312"/>
      <c r="D123" s="311">
        <v>139959</v>
      </c>
      <c r="E123" s="313">
        <v>1</v>
      </c>
      <c r="F123" s="252">
        <v>1272</v>
      </c>
      <c r="G123" s="253">
        <v>10356930</v>
      </c>
      <c r="H123" s="276">
        <v>1277</v>
      </c>
      <c r="I123" s="276">
        <v>10644507</v>
      </c>
      <c r="J123" s="252">
        <v>1150</v>
      </c>
      <c r="K123" s="253">
        <v>8508012</v>
      </c>
      <c r="L123" s="276">
        <v>1156</v>
      </c>
      <c r="M123" s="276">
        <v>8841252</v>
      </c>
      <c r="N123" s="252"/>
      <c r="O123" s="253"/>
      <c r="P123" s="276"/>
      <c r="Q123" s="314"/>
      <c r="R123" s="252">
        <v>1284</v>
      </c>
      <c r="S123" s="253">
        <v>7945008</v>
      </c>
      <c r="T123" s="276">
        <v>1288</v>
      </c>
      <c r="U123" s="276">
        <v>7986929</v>
      </c>
      <c r="V123" s="252">
        <v>1284</v>
      </c>
      <c r="W123" s="315">
        <f t="shared" si="24"/>
        <v>118449</v>
      </c>
      <c r="X123" s="276">
        <v>1288</v>
      </c>
      <c r="Y123" s="268">
        <f t="shared" ref="Y123:Y154" si="27">X123*141</f>
        <v>181608</v>
      </c>
      <c r="Z123" s="252">
        <v>1284</v>
      </c>
      <c r="AA123" s="253">
        <v>89880</v>
      </c>
      <c r="AB123" s="276">
        <v>1288</v>
      </c>
      <c r="AC123" s="276">
        <v>90160</v>
      </c>
      <c r="AD123" s="252">
        <v>1284</v>
      </c>
      <c r="AE123" s="315">
        <f t="shared" ref="AE123:AE154" si="28">AD123*66</f>
        <v>84744</v>
      </c>
      <c r="AF123" s="276">
        <v>1288</v>
      </c>
      <c r="AG123" s="268">
        <f t="shared" ref="AG123:AG154" si="29">AF123*129</f>
        <v>166152</v>
      </c>
      <c r="AH123" s="252"/>
      <c r="AI123" s="253"/>
      <c r="AJ123" s="267"/>
      <c r="AK123" s="268"/>
      <c r="AL123" s="252"/>
      <c r="AM123" s="253"/>
      <c r="AN123" s="276"/>
      <c r="AO123" s="276"/>
      <c r="AP123" s="255">
        <f t="shared" si="16"/>
        <v>1284</v>
      </c>
      <c r="AQ123" s="256">
        <f t="shared" si="17"/>
        <v>27103023</v>
      </c>
      <c r="AR123" s="257">
        <f t="shared" si="18"/>
        <v>1288</v>
      </c>
      <c r="AS123" s="258">
        <f t="shared" si="19"/>
        <v>27910608</v>
      </c>
      <c r="AT123" s="259">
        <v>489</v>
      </c>
      <c r="AU123" s="253">
        <v>4888200</v>
      </c>
      <c r="AV123" s="267">
        <v>456</v>
      </c>
      <c r="AW123" s="268">
        <v>4624053</v>
      </c>
      <c r="AX123" s="252">
        <v>450</v>
      </c>
      <c r="AY123" s="253">
        <v>3624414</v>
      </c>
      <c r="AZ123" s="267">
        <v>426</v>
      </c>
      <c r="BA123" s="268">
        <v>3515996</v>
      </c>
      <c r="BB123" s="252"/>
      <c r="BC123" s="253"/>
      <c r="BD123" s="267"/>
      <c r="BE123" s="268"/>
      <c r="BF123" s="252">
        <v>491</v>
      </c>
      <c r="BG123" s="253">
        <v>3612396</v>
      </c>
      <c r="BH123" s="267">
        <v>461</v>
      </c>
      <c r="BI123" s="268">
        <v>3385460</v>
      </c>
      <c r="BJ123" s="252">
        <v>491</v>
      </c>
      <c r="BK123" s="315">
        <f t="shared" si="25"/>
        <v>45294.75</v>
      </c>
      <c r="BL123" s="267">
        <v>461</v>
      </c>
      <c r="BM123" s="268">
        <f t="shared" ref="BM123:BM154" si="30">BL123*141</f>
        <v>65001</v>
      </c>
      <c r="BN123" s="252">
        <v>491</v>
      </c>
      <c r="BO123" s="253">
        <v>34370</v>
      </c>
      <c r="BP123" s="267">
        <v>461</v>
      </c>
      <c r="BQ123" s="268">
        <v>32270</v>
      </c>
      <c r="BR123" s="252">
        <v>491</v>
      </c>
      <c r="BS123" s="315">
        <f t="shared" si="26"/>
        <v>32406</v>
      </c>
      <c r="BT123" s="267">
        <v>461</v>
      </c>
      <c r="BU123" s="268">
        <f t="shared" ref="BU123:BU154" si="31">BT123*129</f>
        <v>59469</v>
      </c>
      <c r="BV123" s="252"/>
      <c r="BW123" s="253"/>
      <c r="BX123" s="267"/>
      <c r="BY123" s="268"/>
      <c r="BZ123" s="252"/>
      <c r="CA123" s="253"/>
      <c r="CB123" s="267"/>
      <c r="CC123" s="268"/>
      <c r="CD123" s="255">
        <f t="shared" si="20"/>
        <v>491</v>
      </c>
      <c r="CE123" s="256">
        <f t="shared" si="21"/>
        <v>12237080.75</v>
      </c>
      <c r="CF123" s="257">
        <f t="shared" si="22"/>
        <v>461</v>
      </c>
      <c r="CG123" s="261">
        <f t="shared" si="23"/>
        <v>11682249</v>
      </c>
    </row>
    <row r="124" spans="1:85" s="263" customFormat="1" ht="12.75" customHeight="1">
      <c r="A124" s="311" t="s">
        <v>45</v>
      </c>
      <c r="B124" s="312" t="s">
        <v>48</v>
      </c>
      <c r="C124" s="312"/>
      <c r="D124" s="311">
        <v>139755</v>
      </c>
      <c r="E124" s="313">
        <v>2</v>
      </c>
      <c r="F124" s="252">
        <v>896</v>
      </c>
      <c r="G124" s="253">
        <v>9880944</v>
      </c>
      <c r="H124" s="276">
        <v>887</v>
      </c>
      <c r="I124" s="276">
        <v>9878011</v>
      </c>
      <c r="J124" s="252">
        <v>821</v>
      </c>
      <c r="K124" s="253">
        <v>4432502</v>
      </c>
      <c r="L124" s="276">
        <v>817</v>
      </c>
      <c r="M124" s="276">
        <v>4693685</v>
      </c>
      <c r="N124" s="252"/>
      <c r="O124" s="253"/>
      <c r="P124" s="276"/>
      <c r="Q124" s="314"/>
      <c r="R124" s="252">
        <v>899</v>
      </c>
      <c r="S124" s="253">
        <v>6387426</v>
      </c>
      <c r="T124" s="276">
        <v>909</v>
      </c>
      <c r="U124" s="276">
        <v>6821668</v>
      </c>
      <c r="V124" s="252">
        <v>899</v>
      </c>
      <c r="W124" s="315">
        <f t="shared" si="24"/>
        <v>82932.75</v>
      </c>
      <c r="X124" s="276">
        <v>909</v>
      </c>
      <c r="Y124" s="268">
        <f t="shared" si="27"/>
        <v>128169</v>
      </c>
      <c r="Z124" s="252">
        <v>898</v>
      </c>
      <c r="AA124" s="253">
        <v>111483</v>
      </c>
      <c r="AB124" s="276">
        <v>899</v>
      </c>
      <c r="AC124" s="276">
        <v>111996</v>
      </c>
      <c r="AD124" s="252">
        <v>899</v>
      </c>
      <c r="AE124" s="315">
        <f t="shared" si="28"/>
        <v>59334</v>
      </c>
      <c r="AF124" s="276">
        <v>909</v>
      </c>
      <c r="AG124" s="268">
        <f t="shared" si="29"/>
        <v>117261</v>
      </c>
      <c r="AH124" s="252"/>
      <c r="AI124" s="253"/>
      <c r="AJ124" s="267"/>
      <c r="AK124" s="268"/>
      <c r="AL124" s="252"/>
      <c r="AM124" s="253"/>
      <c r="AN124" s="276"/>
      <c r="AO124" s="276"/>
      <c r="AP124" s="255">
        <f t="shared" si="16"/>
        <v>899</v>
      </c>
      <c r="AQ124" s="256">
        <f t="shared" si="17"/>
        <v>20954621.75</v>
      </c>
      <c r="AR124" s="257">
        <f t="shared" si="18"/>
        <v>909</v>
      </c>
      <c r="AS124" s="258">
        <f t="shared" si="19"/>
        <v>21750790</v>
      </c>
      <c r="AT124" s="259">
        <v>72</v>
      </c>
      <c r="AU124" s="253">
        <v>1341062</v>
      </c>
      <c r="AV124" s="267">
        <v>53</v>
      </c>
      <c r="AW124" s="268">
        <v>1114491</v>
      </c>
      <c r="AX124" s="252">
        <v>71</v>
      </c>
      <c r="AY124" s="253">
        <v>545077</v>
      </c>
      <c r="AZ124" s="267">
        <v>54</v>
      </c>
      <c r="BA124" s="268">
        <v>461574</v>
      </c>
      <c r="BB124" s="252"/>
      <c r="BC124" s="253"/>
      <c r="BD124" s="267"/>
      <c r="BE124" s="268"/>
      <c r="BF124" s="252">
        <v>75</v>
      </c>
      <c r="BG124" s="253">
        <v>677251</v>
      </c>
      <c r="BH124" s="267">
        <v>58</v>
      </c>
      <c r="BI124" s="268">
        <v>554152</v>
      </c>
      <c r="BJ124" s="252">
        <v>75</v>
      </c>
      <c r="BK124" s="315">
        <f t="shared" si="25"/>
        <v>6918.75</v>
      </c>
      <c r="BL124" s="267">
        <v>58</v>
      </c>
      <c r="BM124" s="268">
        <f t="shared" si="30"/>
        <v>8178</v>
      </c>
      <c r="BN124" s="252">
        <v>75</v>
      </c>
      <c r="BO124" s="253">
        <v>10304</v>
      </c>
      <c r="BP124" s="267">
        <v>57</v>
      </c>
      <c r="BQ124" s="268">
        <v>8550</v>
      </c>
      <c r="BR124" s="252">
        <v>75</v>
      </c>
      <c r="BS124" s="315">
        <f t="shared" si="26"/>
        <v>4950</v>
      </c>
      <c r="BT124" s="267">
        <v>58</v>
      </c>
      <c r="BU124" s="268">
        <f t="shared" si="31"/>
        <v>7482</v>
      </c>
      <c r="BV124" s="252"/>
      <c r="BW124" s="253"/>
      <c r="BX124" s="267"/>
      <c r="BY124" s="268"/>
      <c r="BZ124" s="252"/>
      <c r="CA124" s="253"/>
      <c r="CB124" s="267"/>
      <c r="CC124" s="268"/>
      <c r="CD124" s="255">
        <f t="shared" si="20"/>
        <v>75</v>
      </c>
      <c r="CE124" s="256">
        <f t="shared" si="21"/>
        <v>2585562.75</v>
      </c>
      <c r="CF124" s="257">
        <f t="shared" si="22"/>
        <v>58</v>
      </c>
      <c r="CG124" s="261">
        <f t="shared" si="23"/>
        <v>2154427</v>
      </c>
    </row>
    <row r="125" spans="1:85" s="263" customFormat="1" ht="12.75" customHeight="1">
      <c r="A125" s="311" t="s">
        <v>45</v>
      </c>
      <c r="B125" s="312" t="s">
        <v>49</v>
      </c>
      <c r="C125" s="312"/>
      <c r="D125" s="311">
        <v>139931</v>
      </c>
      <c r="E125" s="313">
        <v>3</v>
      </c>
      <c r="F125" s="252">
        <v>688</v>
      </c>
      <c r="G125" s="253">
        <v>3962801</v>
      </c>
      <c r="H125" s="276">
        <v>701</v>
      </c>
      <c r="I125" s="276">
        <v>4097096</v>
      </c>
      <c r="J125" s="252">
        <v>586</v>
      </c>
      <c r="K125" s="253">
        <v>3926575</v>
      </c>
      <c r="L125" s="276">
        <v>601</v>
      </c>
      <c r="M125" s="276">
        <v>3470973</v>
      </c>
      <c r="N125" s="252"/>
      <c r="O125" s="253"/>
      <c r="P125" s="276"/>
      <c r="Q125" s="314"/>
      <c r="R125" s="252">
        <v>686</v>
      </c>
      <c r="S125" s="253">
        <v>3206661</v>
      </c>
      <c r="T125" s="276">
        <v>701</v>
      </c>
      <c r="U125" s="276">
        <v>3310678</v>
      </c>
      <c r="V125" s="252">
        <v>686</v>
      </c>
      <c r="W125" s="315">
        <f t="shared" si="24"/>
        <v>63283.5</v>
      </c>
      <c r="X125" s="276">
        <v>701</v>
      </c>
      <c r="Y125" s="268">
        <f t="shared" si="27"/>
        <v>98841</v>
      </c>
      <c r="Z125" s="252">
        <v>686</v>
      </c>
      <c r="AA125" s="253">
        <v>123480</v>
      </c>
      <c r="AB125" s="276">
        <v>701</v>
      </c>
      <c r="AC125" s="276">
        <v>126180</v>
      </c>
      <c r="AD125" s="252">
        <v>686</v>
      </c>
      <c r="AE125" s="315">
        <f t="shared" si="28"/>
        <v>45276</v>
      </c>
      <c r="AF125" s="276">
        <v>701</v>
      </c>
      <c r="AG125" s="268">
        <f t="shared" si="29"/>
        <v>90429</v>
      </c>
      <c r="AH125" s="252"/>
      <c r="AI125" s="253"/>
      <c r="AJ125" s="267"/>
      <c r="AK125" s="268"/>
      <c r="AL125" s="252"/>
      <c r="AM125" s="253"/>
      <c r="AN125" s="276"/>
      <c r="AO125" s="276"/>
      <c r="AP125" s="255">
        <f t="shared" si="16"/>
        <v>688</v>
      </c>
      <c r="AQ125" s="256">
        <f t="shared" si="17"/>
        <v>11328076.5</v>
      </c>
      <c r="AR125" s="257">
        <f t="shared" si="18"/>
        <v>701</v>
      </c>
      <c r="AS125" s="258">
        <f t="shared" si="19"/>
        <v>11194197</v>
      </c>
      <c r="AT125" s="259">
        <v>71</v>
      </c>
      <c r="AU125" s="253">
        <v>592303</v>
      </c>
      <c r="AV125" s="267">
        <v>60</v>
      </c>
      <c r="AW125" s="268">
        <v>523101</v>
      </c>
      <c r="AX125" s="252">
        <v>63</v>
      </c>
      <c r="AY125" s="253">
        <v>433367</v>
      </c>
      <c r="AZ125" s="267">
        <v>55</v>
      </c>
      <c r="BA125" s="268">
        <v>340759</v>
      </c>
      <c r="BB125" s="252"/>
      <c r="BC125" s="253"/>
      <c r="BD125" s="267"/>
      <c r="BE125" s="268"/>
      <c r="BF125" s="252">
        <v>65</v>
      </c>
      <c r="BG125" s="253">
        <v>422879</v>
      </c>
      <c r="BH125" s="267">
        <v>60</v>
      </c>
      <c r="BI125" s="268">
        <v>428685</v>
      </c>
      <c r="BJ125" s="252">
        <v>65</v>
      </c>
      <c r="BK125" s="315">
        <f t="shared" si="25"/>
        <v>5996.25</v>
      </c>
      <c r="BL125" s="267">
        <v>60</v>
      </c>
      <c r="BM125" s="268">
        <f t="shared" si="30"/>
        <v>8460</v>
      </c>
      <c r="BN125" s="252">
        <v>65</v>
      </c>
      <c r="BO125" s="253">
        <v>11700</v>
      </c>
      <c r="BP125" s="267">
        <v>60</v>
      </c>
      <c r="BQ125" s="268">
        <v>10800</v>
      </c>
      <c r="BR125" s="252">
        <v>65</v>
      </c>
      <c r="BS125" s="315">
        <f t="shared" si="26"/>
        <v>4290</v>
      </c>
      <c r="BT125" s="267">
        <v>60</v>
      </c>
      <c r="BU125" s="268">
        <f t="shared" si="31"/>
        <v>7740</v>
      </c>
      <c r="BV125" s="252"/>
      <c r="BW125" s="253"/>
      <c r="BX125" s="267"/>
      <c r="BY125" s="268"/>
      <c r="BZ125" s="252"/>
      <c r="CA125" s="253"/>
      <c r="CB125" s="267"/>
      <c r="CC125" s="268"/>
      <c r="CD125" s="255">
        <f t="shared" si="20"/>
        <v>71</v>
      </c>
      <c r="CE125" s="256">
        <f t="shared" si="21"/>
        <v>1470535.25</v>
      </c>
      <c r="CF125" s="257">
        <f t="shared" si="22"/>
        <v>60</v>
      </c>
      <c r="CG125" s="261">
        <f t="shared" si="23"/>
        <v>1319545</v>
      </c>
    </row>
    <row r="126" spans="1:85" s="263" customFormat="1" ht="12.75" customHeight="1">
      <c r="A126" s="311" t="s">
        <v>45</v>
      </c>
      <c r="B126" s="312" t="s">
        <v>50</v>
      </c>
      <c r="C126" s="312"/>
      <c r="D126" s="311">
        <v>141334</v>
      </c>
      <c r="E126" s="313">
        <v>3</v>
      </c>
      <c r="F126" s="252">
        <v>397</v>
      </c>
      <c r="G126" s="253">
        <v>2023748</v>
      </c>
      <c r="H126" s="276">
        <v>411</v>
      </c>
      <c r="I126" s="276">
        <v>2088046</v>
      </c>
      <c r="J126" s="252">
        <v>327</v>
      </c>
      <c r="K126" s="253">
        <v>1730020</v>
      </c>
      <c r="L126" s="276">
        <v>337</v>
      </c>
      <c r="M126" s="276">
        <v>2096914</v>
      </c>
      <c r="N126" s="252"/>
      <c r="O126" s="253"/>
      <c r="P126" s="276"/>
      <c r="Q126" s="314"/>
      <c r="R126" s="252">
        <v>404</v>
      </c>
      <c r="S126" s="253">
        <v>1374562</v>
      </c>
      <c r="T126" s="276">
        <v>411</v>
      </c>
      <c r="U126" s="276">
        <v>1672600</v>
      </c>
      <c r="V126" s="252">
        <v>404</v>
      </c>
      <c r="W126" s="315">
        <f t="shared" si="24"/>
        <v>37269</v>
      </c>
      <c r="X126" s="276">
        <v>411</v>
      </c>
      <c r="Y126" s="268">
        <f t="shared" si="27"/>
        <v>57951</v>
      </c>
      <c r="Z126" s="252">
        <v>392</v>
      </c>
      <c r="AA126" s="253">
        <v>58778</v>
      </c>
      <c r="AB126" s="276">
        <v>411</v>
      </c>
      <c r="AC126" s="276">
        <v>73980</v>
      </c>
      <c r="AD126" s="252">
        <v>404</v>
      </c>
      <c r="AE126" s="315">
        <f t="shared" si="28"/>
        <v>26664</v>
      </c>
      <c r="AF126" s="276">
        <v>411</v>
      </c>
      <c r="AG126" s="268">
        <f t="shared" si="29"/>
        <v>53019</v>
      </c>
      <c r="AH126" s="252"/>
      <c r="AI126" s="253"/>
      <c r="AJ126" s="267"/>
      <c r="AK126" s="268"/>
      <c r="AL126" s="252"/>
      <c r="AM126" s="253"/>
      <c r="AN126" s="276"/>
      <c r="AO126" s="276"/>
      <c r="AP126" s="255">
        <f t="shared" si="16"/>
        <v>404</v>
      </c>
      <c r="AQ126" s="256">
        <f t="shared" si="17"/>
        <v>5251041</v>
      </c>
      <c r="AR126" s="257">
        <f t="shared" si="18"/>
        <v>411</v>
      </c>
      <c r="AS126" s="258">
        <f t="shared" si="19"/>
        <v>6042510</v>
      </c>
      <c r="AT126" s="259">
        <v>26</v>
      </c>
      <c r="AU126" s="253">
        <v>231271</v>
      </c>
      <c r="AV126" s="267">
        <v>37</v>
      </c>
      <c r="AW126" s="268">
        <v>337665</v>
      </c>
      <c r="AX126" s="252">
        <v>24</v>
      </c>
      <c r="AY126" s="253">
        <v>149610</v>
      </c>
      <c r="AZ126" s="267">
        <v>28</v>
      </c>
      <c r="BA126" s="268">
        <v>187210</v>
      </c>
      <c r="BB126" s="252"/>
      <c r="BC126" s="253"/>
      <c r="BD126" s="267"/>
      <c r="BE126" s="268"/>
      <c r="BF126" s="252">
        <v>26</v>
      </c>
      <c r="BG126" s="253">
        <v>130944</v>
      </c>
      <c r="BH126" s="267">
        <v>37</v>
      </c>
      <c r="BI126" s="268">
        <v>235316</v>
      </c>
      <c r="BJ126" s="252">
        <v>26</v>
      </c>
      <c r="BK126" s="315">
        <f t="shared" si="25"/>
        <v>2398.5</v>
      </c>
      <c r="BL126" s="267">
        <v>37</v>
      </c>
      <c r="BM126" s="268">
        <f t="shared" si="30"/>
        <v>5217</v>
      </c>
      <c r="BN126" s="252">
        <v>26</v>
      </c>
      <c r="BO126" s="253">
        <v>4590</v>
      </c>
      <c r="BP126" s="267">
        <v>37</v>
      </c>
      <c r="BQ126" s="268">
        <v>6660</v>
      </c>
      <c r="BR126" s="252">
        <v>26</v>
      </c>
      <c r="BS126" s="315">
        <f t="shared" si="26"/>
        <v>1716</v>
      </c>
      <c r="BT126" s="267">
        <v>37</v>
      </c>
      <c r="BU126" s="268">
        <f t="shared" si="31"/>
        <v>4773</v>
      </c>
      <c r="BV126" s="252"/>
      <c r="BW126" s="253"/>
      <c r="BX126" s="267"/>
      <c r="BY126" s="268"/>
      <c r="BZ126" s="252"/>
      <c r="CA126" s="253"/>
      <c r="CB126" s="267"/>
      <c r="CC126" s="268"/>
      <c r="CD126" s="255">
        <f t="shared" si="20"/>
        <v>26</v>
      </c>
      <c r="CE126" s="256">
        <f t="shared" si="21"/>
        <v>520529.5</v>
      </c>
      <c r="CF126" s="257">
        <f t="shared" si="22"/>
        <v>37</v>
      </c>
      <c r="CG126" s="261">
        <f t="shared" si="23"/>
        <v>776841</v>
      </c>
    </row>
    <row r="127" spans="1:85" s="263" customFormat="1" ht="12.75" customHeight="1">
      <c r="A127" s="311" t="s">
        <v>45</v>
      </c>
      <c r="B127" s="312" t="s">
        <v>51</v>
      </c>
      <c r="C127" s="312"/>
      <c r="D127" s="311">
        <v>141264</v>
      </c>
      <c r="E127" s="313">
        <v>3</v>
      </c>
      <c r="F127" s="252">
        <v>424</v>
      </c>
      <c r="G127" s="253">
        <v>2127678</v>
      </c>
      <c r="H127" s="276">
        <v>437</v>
      </c>
      <c r="I127" s="276">
        <v>2450355</v>
      </c>
      <c r="J127" s="252">
        <v>373</v>
      </c>
      <c r="K127" s="253">
        <v>2915464</v>
      </c>
      <c r="L127" s="276">
        <v>371</v>
      </c>
      <c r="M127" s="276">
        <v>2829870</v>
      </c>
      <c r="N127" s="252"/>
      <c r="O127" s="253"/>
      <c r="P127" s="276"/>
      <c r="Q127" s="314"/>
      <c r="R127" s="252">
        <v>424</v>
      </c>
      <c r="S127" s="253">
        <v>1882136</v>
      </c>
      <c r="T127" s="276">
        <v>448</v>
      </c>
      <c r="U127" s="276">
        <v>1995257</v>
      </c>
      <c r="V127" s="252">
        <v>424</v>
      </c>
      <c r="W127" s="315">
        <f t="shared" si="24"/>
        <v>39114</v>
      </c>
      <c r="X127" s="276">
        <v>448</v>
      </c>
      <c r="Y127" s="268">
        <f t="shared" si="27"/>
        <v>63168</v>
      </c>
      <c r="Z127" s="252">
        <v>424</v>
      </c>
      <c r="AA127" s="253">
        <v>76320</v>
      </c>
      <c r="AB127" s="276">
        <v>448</v>
      </c>
      <c r="AC127" s="276">
        <v>80640</v>
      </c>
      <c r="AD127" s="252">
        <v>424</v>
      </c>
      <c r="AE127" s="315">
        <f t="shared" si="28"/>
        <v>27984</v>
      </c>
      <c r="AF127" s="276">
        <v>448</v>
      </c>
      <c r="AG127" s="268">
        <f t="shared" si="29"/>
        <v>57792</v>
      </c>
      <c r="AH127" s="252"/>
      <c r="AI127" s="253"/>
      <c r="AJ127" s="267"/>
      <c r="AK127" s="268"/>
      <c r="AL127" s="252"/>
      <c r="AM127" s="253"/>
      <c r="AN127" s="276"/>
      <c r="AO127" s="276"/>
      <c r="AP127" s="255">
        <f t="shared" si="16"/>
        <v>424</v>
      </c>
      <c r="AQ127" s="256">
        <f t="shared" si="17"/>
        <v>7068696</v>
      </c>
      <c r="AR127" s="257">
        <f t="shared" si="18"/>
        <v>448</v>
      </c>
      <c r="AS127" s="258">
        <f t="shared" si="19"/>
        <v>7477082</v>
      </c>
      <c r="AT127" s="259">
        <v>48</v>
      </c>
      <c r="AU127" s="253">
        <v>240960</v>
      </c>
      <c r="AV127" s="267">
        <v>51</v>
      </c>
      <c r="AW127" s="268">
        <v>299236</v>
      </c>
      <c r="AX127" s="252">
        <v>43</v>
      </c>
      <c r="AY127" s="253">
        <v>357730</v>
      </c>
      <c r="AZ127" s="267">
        <v>43</v>
      </c>
      <c r="BA127" s="268">
        <v>393596</v>
      </c>
      <c r="BB127" s="252"/>
      <c r="BC127" s="253"/>
      <c r="BD127" s="267"/>
      <c r="BE127" s="268"/>
      <c r="BF127" s="252">
        <v>48</v>
      </c>
      <c r="BG127" s="253">
        <v>213840</v>
      </c>
      <c r="BH127" s="267">
        <v>51</v>
      </c>
      <c r="BI127" s="268">
        <v>238134</v>
      </c>
      <c r="BJ127" s="252">
        <v>48</v>
      </c>
      <c r="BK127" s="315">
        <f t="shared" si="25"/>
        <v>4428</v>
      </c>
      <c r="BL127" s="267">
        <v>51</v>
      </c>
      <c r="BM127" s="268">
        <f t="shared" si="30"/>
        <v>7191</v>
      </c>
      <c r="BN127" s="252">
        <v>48</v>
      </c>
      <c r="BO127" s="253">
        <v>8640</v>
      </c>
      <c r="BP127" s="267">
        <v>51</v>
      </c>
      <c r="BQ127" s="268">
        <v>9180</v>
      </c>
      <c r="BR127" s="252">
        <v>48</v>
      </c>
      <c r="BS127" s="315">
        <f t="shared" si="26"/>
        <v>3168</v>
      </c>
      <c r="BT127" s="267">
        <v>51</v>
      </c>
      <c r="BU127" s="268">
        <f t="shared" si="31"/>
        <v>6579</v>
      </c>
      <c r="BV127" s="252"/>
      <c r="BW127" s="253"/>
      <c r="BX127" s="267"/>
      <c r="BY127" s="268"/>
      <c r="BZ127" s="252"/>
      <c r="CA127" s="253"/>
      <c r="CB127" s="267"/>
      <c r="CC127" s="268"/>
      <c r="CD127" s="255">
        <f t="shared" si="20"/>
        <v>48</v>
      </c>
      <c r="CE127" s="256">
        <f t="shared" si="21"/>
        <v>828766</v>
      </c>
      <c r="CF127" s="257">
        <f t="shared" si="22"/>
        <v>51</v>
      </c>
      <c r="CG127" s="261">
        <f t="shared" si="23"/>
        <v>953916</v>
      </c>
    </row>
    <row r="128" spans="1:85" s="263" customFormat="1" ht="12.75" customHeight="1">
      <c r="A128" s="311" t="s">
        <v>45</v>
      </c>
      <c r="B128" s="312" t="s">
        <v>52</v>
      </c>
      <c r="C128" s="312"/>
      <c r="D128" s="311">
        <v>138716</v>
      </c>
      <c r="E128" s="313">
        <v>4</v>
      </c>
      <c r="F128" s="252">
        <v>136</v>
      </c>
      <c r="G128" s="253">
        <v>718658</v>
      </c>
      <c r="H128" s="276">
        <v>141</v>
      </c>
      <c r="I128" s="276">
        <v>772212</v>
      </c>
      <c r="J128" s="252">
        <v>120</v>
      </c>
      <c r="K128" s="253">
        <v>828336</v>
      </c>
      <c r="L128" s="276">
        <v>120</v>
      </c>
      <c r="M128" s="276">
        <v>925020</v>
      </c>
      <c r="N128" s="252"/>
      <c r="O128" s="253"/>
      <c r="P128" s="276"/>
      <c r="Q128" s="314"/>
      <c r="R128" s="252">
        <v>139</v>
      </c>
      <c r="S128" s="253">
        <v>589217</v>
      </c>
      <c r="T128" s="276">
        <v>143</v>
      </c>
      <c r="U128" s="276">
        <v>614292</v>
      </c>
      <c r="V128" s="252">
        <v>139</v>
      </c>
      <c r="W128" s="315">
        <f t="shared" si="24"/>
        <v>12822.75</v>
      </c>
      <c r="X128" s="276">
        <v>143</v>
      </c>
      <c r="Y128" s="268">
        <f t="shared" si="27"/>
        <v>20163</v>
      </c>
      <c r="Z128" s="252">
        <v>137</v>
      </c>
      <c r="AA128" s="253">
        <v>24642</v>
      </c>
      <c r="AB128" s="276">
        <v>142</v>
      </c>
      <c r="AC128" s="276">
        <v>25533</v>
      </c>
      <c r="AD128" s="252">
        <v>139</v>
      </c>
      <c r="AE128" s="315">
        <f t="shared" si="28"/>
        <v>9174</v>
      </c>
      <c r="AF128" s="276">
        <v>143</v>
      </c>
      <c r="AG128" s="268">
        <f t="shared" si="29"/>
        <v>18447</v>
      </c>
      <c r="AH128" s="252"/>
      <c r="AI128" s="253"/>
      <c r="AJ128" s="267"/>
      <c r="AK128" s="268"/>
      <c r="AL128" s="252"/>
      <c r="AM128" s="253"/>
      <c r="AN128" s="276"/>
      <c r="AO128" s="276"/>
      <c r="AP128" s="255">
        <f t="shared" si="16"/>
        <v>139</v>
      </c>
      <c r="AQ128" s="256">
        <f t="shared" si="17"/>
        <v>2182849.75</v>
      </c>
      <c r="AR128" s="257">
        <f t="shared" si="18"/>
        <v>143</v>
      </c>
      <c r="AS128" s="258">
        <f t="shared" si="19"/>
        <v>2375667</v>
      </c>
      <c r="AT128" s="259">
        <v>2</v>
      </c>
      <c r="AU128" s="253">
        <v>10476</v>
      </c>
      <c r="AV128" s="267">
        <v>2</v>
      </c>
      <c r="AW128" s="268">
        <v>10568</v>
      </c>
      <c r="AX128" s="252">
        <v>2</v>
      </c>
      <c r="AY128" s="253">
        <v>14813</v>
      </c>
      <c r="AZ128" s="267">
        <v>2</v>
      </c>
      <c r="BA128" s="268">
        <v>8508</v>
      </c>
      <c r="BB128" s="252"/>
      <c r="BC128" s="253"/>
      <c r="BD128" s="267"/>
      <c r="BE128" s="268"/>
      <c r="BF128" s="252">
        <v>2</v>
      </c>
      <c r="BG128" s="253">
        <v>8673</v>
      </c>
      <c r="BH128" s="267">
        <v>2</v>
      </c>
      <c r="BI128" s="268">
        <v>8750</v>
      </c>
      <c r="BJ128" s="252">
        <v>2</v>
      </c>
      <c r="BK128" s="315">
        <f t="shared" si="25"/>
        <v>184.5</v>
      </c>
      <c r="BL128" s="267">
        <v>2</v>
      </c>
      <c r="BM128" s="268">
        <f t="shared" si="30"/>
        <v>282</v>
      </c>
      <c r="BN128" s="252">
        <v>2</v>
      </c>
      <c r="BO128" s="253">
        <v>351</v>
      </c>
      <c r="BP128" s="267">
        <v>2</v>
      </c>
      <c r="BQ128" s="268">
        <v>351</v>
      </c>
      <c r="BR128" s="252">
        <v>2</v>
      </c>
      <c r="BS128" s="315">
        <f t="shared" si="26"/>
        <v>132</v>
      </c>
      <c r="BT128" s="267">
        <v>2</v>
      </c>
      <c r="BU128" s="268">
        <f t="shared" si="31"/>
        <v>258</v>
      </c>
      <c r="BV128" s="252"/>
      <c r="BW128" s="253"/>
      <c r="BX128" s="267"/>
      <c r="BY128" s="268"/>
      <c r="BZ128" s="252"/>
      <c r="CA128" s="253"/>
      <c r="CB128" s="267"/>
      <c r="CC128" s="268"/>
      <c r="CD128" s="255">
        <f t="shared" si="20"/>
        <v>2</v>
      </c>
      <c r="CE128" s="256">
        <f t="shared" si="21"/>
        <v>34629.5</v>
      </c>
      <c r="CF128" s="257">
        <f t="shared" si="22"/>
        <v>2</v>
      </c>
      <c r="CG128" s="261">
        <f t="shared" si="23"/>
        <v>28717</v>
      </c>
    </row>
    <row r="129" spans="1:85" s="263" customFormat="1" ht="12.75" customHeight="1">
      <c r="A129" s="311" t="s">
        <v>45</v>
      </c>
      <c r="B129" s="312" t="s">
        <v>53</v>
      </c>
      <c r="C129" s="312"/>
      <c r="D129" s="311">
        <v>138789</v>
      </c>
      <c r="E129" s="313">
        <v>4</v>
      </c>
      <c r="F129" s="252">
        <v>192</v>
      </c>
      <c r="G129" s="253">
        <v>1076067</v>
      </c>
      <c r="H129" s="276">
        <v>231</v>
      </c>
      <c r="I129" s="276">
        <v>1220721</v>
      </c>
      <c r="J129" s="252">
        <v>164</v>
      </c>
      <c r="K129" s="253">
        <v>1059360</v>
      </c>
      <c r="L129" s="276">
        <v>190</v>
      </c>
      <c r="M129" s="276">
        <v>1187696</v>
      </c>
      <c r="N129" s="252"/>
      <c r="O129" s="253"/>
      <c r="P129" s="276"/>
      <c r="Q129" s="314"/>
      <c r="R129" s="252">
        <v>193</v>
      </c>
      <c r="S129" s="253">
        <v>880921</v>
      </c>
      <c r="T129" s="276">
        <v>232</v>
      </c>
      <c r="U129" s="276">
        <v>983030</v>
      </c>
      <c r="V129" s="252">
        <v>193</v>
      </c>
      <c r="W129" s="315">
        <f t="shared" si="24"/>
        <v>17804.25</v>
      </c>
      <c r="X129" s="276">
        <v>232</v>
      </c>
      <c r="Y129" s="268">
        <f t="shared" si="27"/>
        <v>32712</v>
      </c>
      <c r="Z129" s="252">
        <v>191</v>
      </c>
      <c r="AA129" s="253">
        <v>34380</v>
      </c>
      <c r="AB129" s="276">
        <v>232</v>
      </c>
      <c r="AC129" s="276">
        <v>41760</v>
      </c>
      <c r="AD129" s="252">
        <v>193</v>
      </c>
      <c r="AE129" s="315">
        <f t="shared" si="28"/>
        <v>12738</v>
      </c>
      <c r="AF129" s="276">
        <v>232</v>
      </c>
      <c r="AG129" s="268">
        <f t="shared" si="29"/>
        <v>29928</v>
      </c>
      <c r="AH129" s="252"/>
      <c r="AI129" s="253"/>
      <c r="AJ129" s="267"/>
      <c r="AK129" s="268"/>
      <c r="AL129" s="252"/>
      <c r="AM129" s="253"/>
      <c r="AN129" s="276"/>
      <c r="AO129" s="276"/>
      <c r="AP129" s="255">
        <f t="shared" si="16"/>
        <v>193</v>
      </c>
      <c r="AQ129" s="256">
        <f t="shared" si="17"/>
        <v>3081270.25</v>
      </c>
      <c r="AR129" s="257">
        <f t="shared" si="18"/>
        <v>232</v>
      </c>
      <c r="AS129" s="258">
        <f t="shared" si="19"/>
        <v>3495847</v>
      </c>
      <c r="AT129" s="259">
        <v>13</v>
      </c>
      <c r="AU129" s="253">
        <v>79984</v>
      </c>
      <c r="AV129" s="267">
        <v>22</v>
      </c>
      <c r="AW129" s="268">
        <v>133975</v>
      </c>
      <c r="AX129" s="252">
        <v>11</v>
      </c>
      <c r="AY129" s="253">
        <v>74529</v>
      </c>
      <c r="AZ129" s="267">
        <v>20</v>
      </c>
      <c r="BA129" s="268">
        <v>134568</v>
      </c>
      <c r="BB129" s="252"/>
      <c r="BC129" s="253"/>
      <c r="BD129" s="267"/>
      <c r="BE129" s="268"/>
      <c r="BF129" s="252">
        <v>13</v>
      </c>
      <c r="BG129" s="253">
        <v>64643</v>
      </c>
      <c r="BH129" s="267">
        <v>22</v>
      </c>
      <c r="BI129" s="268">
        <v>105277</v>
      </c>
      <c r="BJ129" s="252">
        <v>13</v>
      </c>
      <c r="BK129" s="315">
        <f t="shared" si="25"/>
        <v>1199.25</v>
      </c>
      <c r="BL129" s="267">
        <v>22</v>
      </c>
      <c r="BM129" s="268">
        <f t="shared" si="30"/>
        <v>3102</v>
      </c>
      <c r="BN129" s="252">
        <v>12</v>
      </c>
      <c r="BO129" s="253">
        <v>2160</v>
      </c>
      <c r="BP129" s="267">
        <v>22</v>
      </c>
      <c r="BQ129" s="268">
        <v>3960</v>
      </c>
      <c r="BR129" s="252">
        <v>13</v>
      </c>
      <c r="BS129" s="315">
        <f t="shared" si="26"/>
        <v>858</v>
      </c>
      <c r="BT129" s="267">
        <v>22</v>
      </c>
      <c r="BU129" s="268">
        <f t="shared" si="31"/>
        <v>2838</v>
      </c>
      <c r="BV129" s="252"/>
      <c r="BW129" s="253"/>
      <c r="BX129" s="267"/>
      <c r="BY129" s="268"/>
      <c r="BZ129" s="252"/>
      <c r="CA129" s="253"/>
      <c r="CB129" s="267"/>
      <c r="CC129" s="268"/>
      <c r="CD129" s="255">
        <f t="shared" si="20"/>
        <v>13</v>
      </c>
      <c r="CE129" s="256">
        <f t="shared" si="21"/>
        <v>223373.25</v>
      </c>
      <c r="CF129" s="257">
        <f t="shared" si="22"/>
        <v>22</v>
      </c>
      <c r="CG129" s="261">
        <f t="shared" si="23"/>
        <v>383720</v>
      </c>
    </row>
    <row r="130" spans="1:85" s="263" customFormat="1" ht="12.75" customHeight="1">
      <c r="A130" s="311" t="s">
        <v>45</v>
      </c>
      <c r="B130" s="312" t="s">
        <v>54</v>
      </c>
      <c r="C130" s="312"/>
      <c r="D130" s="311">
        <v>139366</v>
      </c>
      <c r="E130" s="313">
        <v>4</v>
      </c>
      <c r="F130" s="252">
        <v>244</v>
      </c>
      <c r="G130" s="253">
        <v>1321479</v>
      </c>
      <c r="H130" s="276">
        <v>238</v>
      </c>
      <c r="I130" s="276">
        <v>1309443</v>
      </c>
      <c r="J130" s="252">
        <v>201</v>
      </c>
      <c r="K130" s="253">
        <v>1223787</v>
      </c>
      <c r="L130" s="276">
        <v>197</v>
      </c>
      <c r="M130" s="276">
        <v>1293972</v>
      </c>
      <c r="N130" s="252"/>
      <c r="O130" s="253"/>
      <c r="P130" s="276"/>
      <c r="Q130" s="314"/>
      <c r="R130" s="252">
        <v>244</v>
      </c>
      <c r="S130" s="253">
        <v>1077621</v>
      </c>
      <c r="T130" s="276">
        <v>237</v>
      </c>
      <c r="U130" s="276">
        <v>1053396</v>
      </c>
      <c r="V130" s="252">
        <v>244</v>
      </c>
      <c r="W130" s="315">
        <f t="shared" si="24"/>
        <v>22509</v>
      </c>
      <c r="X130" s="276">
        <v>238</v>
      </c>
      <c r="Y130" s="268">
        <f t="shared" si="27"/>
        <v>33558</v>
      </c>
      <c r="Z130" s="252">
        <v>244</v>
      </c>
      <c r="AA130" s="253">
        <v>43983</v>
      </c>
      <c r="AB130" s="276">
        <v>237</v>
      </c>
      <c r="AC130" s="276">
        <v>42648</v>
      </c>
      <c r="AD130" s="252">
        <v>244</v>
      </c>
      <c r="AE130" s="315">
        <f t="shared" si="28"/>
        <v>16104</v>
      </c>
      <c r="AF130" s="276">
        <v>238</v>
      </c>
      <c r="AG130" s="268">
        <f t="shared" si="29"/>
        <v>30702</v>
      </c>
      <c r="AH130" s="252"/>
      <c r="AI130" s="253"/>
      <c r="AJ130" s="267"/>
      <c r="AK130" s="268"/>
      <c r="AL130" s="252"/>
      <c r="AM130" s="253"/>
      <c r="AN130" s="276"/>
      <c r="AO130" s="276"/>
      <c r="AP130" s="255">
        <f t="shared" si="16"/>
        <v>244</v>
      </c>
      <c r="AQ130" s="256">
        <f t="shared" si="17"/>
        <v>3705483</v>
      </c>
      <c r="AR130" s="257">
        <f t="shared" si="18"/>
        <v>238</v>
      </c>
      <c r="AS130" s="258">
        <f t="shared" si="19"/>
        <v>3763719</v>
      </c>
      <c r="AT130" s="259">
        <v>17</v>
      </c>
      <c r="AU130" s="253">
        <v>151807</v>
      </c>
      <c r="AV130" s="267">
        <v>31</v>
      </c>
      <c r="AW130" s="268">
        <v>269428</v>
      </c>
      <c r="AX130" s="252">
        <v>16</v>
      </c>
      <c r="AY130" s="253">
        <v>118173</v>
      </c>
      <c r="AZ130" s="267">
        <v>29</v>
      </c>
      <c r="BA130" s="268">
        <v>216756</v>
      </c>
      <c r="BB130" s="252"/>
      <c r="BC130" s="253"/>
      <c r="BD130" s="267"/>
      <c r="BE130" s="268"/>
      <c r="BF130" s="252">
        <v>17</v>
      </c>
      <c r="BG130" s="253">
        <v>122531</v>
      </c>
      <c r="BH130" s="267">
        <v>30</v>
      </c>
      <c r="BI130" s="268">
        <v>205075</v>
      </c>
      <c r="BJ130" s="252">
        <v>17</v>
      </c>
      <c r="BK130" s="315">
        <f t="shared" si="25"/>
        <v>1568.25</v>
      </c>
      <c r="BL130" s="267">
        <v>30</v>
      </c>
      <c r="BM130" s="268">
        <f t="shared" si="30"/>
        <v>4230</v>
      </c>
      <c r="BN130" s="252">
        <v>17</v>
      </c>
      <c r="BO130" s="253">
        <v>3060</v>
      </c>
      <c r="BP130" s="267">
        <v>30</v>
      </c>
      <c r="BQ130" s="268">
        <v>5400</v>
      </c>
      <c r="BR130" s="252">
        <v>17</v>
      </c>
      <c r="BS130" s="315">
        <f t="shared" si="26"/>
        <v>1122</v>
      </c>
      <c r="BT130" s="267">
        <v>30</v>
      </c>
      <c r="BU130" s="268">
        <f t="shared" si="31"/>
        <v>3870</v>
      </c>
      <c r="BV130" s="252"/>
      <c r="BW130" s="253"/>
      <c r="BX130" s="267"/>
      <c r="BY130" s="268"/>
      <c r="BZ130" s="252"/>
      <c r="CA130" s="253"/>
      <c r="CB130" s="267"/>
      <c r="CC130" s="268"/>
      <c r="CD130" s="255">
        <f t="shared" si="20"/>
        <v>17</v>
      </c>
      <c r="CE130" s="256">
        <f t="shared" si="21"/>
        <v>398261.25</v>
      </c>
      <c r="CF130" s="257">
        <f t="shared" si="22"/>
        <v>31</v>
      </c>
      <c r="CG130" s="261">
        <f t="shared" si="23"/>
        <v>704759</v>
      </c>
    </row>
    <row r="131" spans="1:85" s="263" customFormat="1" ht="12.75" customHeight="1">
      <c r="A131" s="311" t="s">
        <v>45</v>
      </c>
      <c r="B131" s="312" t="s">
        <v>55</v>
      </c>
      <c r="C131" s="312"/>
      <c r="D131" s="311">
        <v>139861</v>
      </c>
      <c r="E131" s="313">
        <v>4</v>
      </c>
      <c r="F131" s="252">
        <v>270</v>
      </c>
      <c r="G131" s="253">
        <v>1422682</v>
      </c>
      <c r="H131" s="276">
        <v>281</v>
      </c>
      <c r="I131" s="276">
        <v>1500874</v>
      </c>
      <c r="J131" s="252">
        <v>223</v>
      </c>
      <c r="K131" s="253">
        <v>1521852</v>
      </c>
      <c r="L131" s="276">
        <v>232</v>
      </c>
      <c r="M131" s="276">
        <v>1629161</v>
      </c>
      <c r="N131" s="252"/>
      <c r="O131" s="253"/>
      <c r="P131" s="276"/>
      <c r="Q131" s="314"/>
      <c r="R131" s="252">
        <v>270</v>
      </c>
      <c r="S131" s="253">
        <v>1098310</v>
      </c>
      <c r="T131" s="276">
        <v>281</v>
      </c>
      <c r="U131" s="276">
        <v>1149521</v>
      </c>
      <c r="V131" s="252">
        <v>270</v>
      </c>
      <c r="W131" s="315">
        <f t="shared" si="24"/>
        <v>24907.5</v>
      </c>
      <c r="X131" s="276">
        <v>281</v>
      </c>
      <c r="Y131" s="268">
        <f t="shared" si="27"/>
        <v>39621</v>
      </c>
      <c r="Z131" s="252">
        <v>270</v>
      </c>
      <c r="AA131" s="253">
        <v>48600</v>
      </c>
      <c r="AB131" s="276">
        <v>281</v>
      </c>
      <c r="AC131" s="276">
        <v>50580</v>
      </c>
      <c r="AD131" s="252">
        <v>270</v>
      </c>
      <c r="AE131" s="315">
        <f t="shared" si="28"/>
        <v>17820</v>
      </c>
      <c r="AF131" s="276">
        <v>281</v>
      </c>
      <c r="AG131" s="268">
        <f t="shared" si="29"/>
        <v>36249</v>
      </c>
      <c r="AH131" s="252"/>
      <c r="AI131" s="253"/>
      <c r="AJ131" s="267"/>
      <c r="AK131" s="268"/>
      <c r="AL131" s="252"/>
      <c r="AM131" s="253"/>
      <c r="AN131" s="276"/>
      <c r="AO131" s="276"/>
      <c r="AP131" s="255">
        <f t="shared" si="16"/>
        <v>270</v>
      </c>
      <c r="AQ131" s="256">
        <f t="shared" si="17"/>
        <v>4134171.5</v>
      </c>
      <c r="AR131" s="257">
        <f t="shared" si="18"/>
        <v>281</v>
      </c>
      <c r="AS131" s="258">
        <f t="shared" si="19"/>
        <v>4406006</v>
      </c>
      <c r="AT131" s="259">
        <v>31</v>
      </c>
      <c r="AU131" s="253">
        <v>255811</v>
      </c>
      <c r="AV131" s="267">
        <v>35</v>
      </c>
      <c r="AW131" s="268">
        <v>272340</v>
      </c>
      <c r="AX131" s="252">
        <v>25</v>
      </c>
      <c r="AY131" s="253">
        <v>175905</v>
      </c>
      <c r="AZ131" s="267">
        <v>29</v>
      </c>
      <c r="BA131" s="268">
        <v>214591</v>
      </c>
      <c r="BB131" s="252"/>
      <c r="BC131" s="253"/>
      <c r="BD131" s="267"/>
      <c r="BE131" s="268"/>
      <c r="BF131" s="252">
        <v>31</v>
      </c>
      <c r="BG131" s="253">
        <v>200430</v>
      </c>
      <c r="BH131" s="267">
        <v>35</v>
      </c>
      <c r="BI131" s="268">
        <v>218103</v>
      </c>
      <c r="BJ131" s="252">
        <v>31</v>
      </c>
      <c r="BK131" s="315">
        <f t="shared" si="25"/>
        <v>2859.75</v>
      </c>
      <c r="BL131" s="267">
        <v>35</v>
      </c>
      <c r="BM131" s="268">
        <f t="shared" si="30"/>
        <v>4935</v>
      </c>
      <c r="BN131" s="252">
        <v>31</v>
      </c>
      <c r="BO131" s="253">
        <v>5580</v>
      </c>
      <c r="BP131" s="267">
        <v>35</v>
      </c>
      <c r="BQ131" s="268">
        <v>6300</v>
      </c>
      <c r="BR131" s="252">
        <v>31</v>
      </c>
      <c r="BS131" s="315">
        <f t="shared" si="26"/>
        <v>2046</v>
      </c>
      <c r="BT131" s="267">
        <v>35</v>
      </c>
      <c r="BU131" s="268">
        <f t="shared" si="31"/>
        <v>4515</v>
      </c>
      <c r="BV131" s="252"/>
      <c r="BW131" s="253"/>
      <c r="BX131" s="267"/>
      <c r="BY131" s="268"/>
      <c r="BZ131" s="252"/>
      <c r="CA131" s="253"/>
      <c r="CB131" s="267"/>
      <c r="CC131" s="268"/>
      <c r="CD131" s="255">
        <f t="shared" si="20"/>
        <v>31</v>
      </c>
      <c r="CE131" s="256">
        <f t="shared" si="21"/>
        <v>642631.75</v>
      </c>
      <c r="CF131" s="257">
        <f t="shared" si="22"/>
        <v>35</v>
      </c>
      <c r="CG131" s="261">
        <f t="shared" si="23"/>
        <v>720784</v>
      </c>
    </row>
    <row r="132" spans="1:85" s="263" customFormat="1" ht="12.75" customHeight="1">
      <c r="A132" s="311" t="s">
        <v>45</v>
      </c>
      <c r="B132" s="312" t="s">
        <v>56</v>
      </c>
      <c r="C132" s="312"/>
      <c r="D132" s="311">
        <v>140164</v>
      </c>
      <c r="E132" s="313">
        <v>4</v>
      </c>
      <c r="F132" s="252">
        <v>644</v>
      </c>
      <c r="G132" s="253">
        <v>3655507</v>
      </c>
      <c r="H132" s="276">
        <v>670</v>
      </c>
      <c r="I132" s="276">
        <v>3942795</v>
      </c>
      <c r="J132" s="252">
        <v>505</v>
      </c>
      <c r="K132" s="253">
        <v>3185959</v>
      </c>
      <c r="L132" s="276">
        <v>531</v>
      </c>
      <c r="M132" s="276">
        <v>3636008</v>
      </c>
      <c r="N132" s="252"/>
      <c r="O132" s="253"/>
      <c r="P132" s="276"/>
      <c r="Q132" s="314"/>
      <c r="R132" s="252">
        <v>638</v>
      </c>
      <c r="S132" s="253">
        <v>3009394</v>
      </c>
      <c r="T132" s="276">
        <v>673</v>
      </c>
      <c r="U132" s="276">
        <v>3140532</v>
      </c>
      <c r="V132" s="252">
        <v>638</v>
      </c>
      <c r="W132" s="315">
        <f t="shared" si="24"/>
        <v>58855.5</v>
      </c>
      <c r="X132" s="276">
        <v>673</v>
      </c>
      <c r="Y132" s="268">
        <f t="shared" si="27"/>
        <v>94893</v>
      </c>
      <c r="Z132" s="252">
        <v>638</v>
      </c>
      <c r="AA132" s="253">
        <v>114840</v>
      </c>
      <c r="AB132" s="276">
        <v>673</v>
      </c>
      <c r="AC132" s="276">
        <v>121158</v>
      </c>
      <c r="AD132" s="252">
        <v>638</v>
      </c>
      <c r="AE132" s="315">
        <f t="shared" si="28"/>
        <v>42108</v>
      </c>
      <c r="AF132" s="276">
        <v>673</v>
      </c>
      <c r="AG132" s="268">
        <f t="shared" si="29"/>
        <v>86817</v>
      </c>
      <c r="AH132" s="252"/>
      <c r="AI132" s="253"/>
      <c r="AJ132" s="267"/>
      <c r="AK132" s="268"/>
      <c r="AL132" s="252"/>
      <c r="AM132" s="253"/>
      <c r="AN132" s="276"/>
      <c r="AO132" s="276"/>
      <c r="AP132" s="255">
        <f t="shared" si="16"/>
        <v>644</v>
      </c>
      <c r="AQ132" s="256">
        <f t="shared" si="17"/>
        <v>10066663.5</v>
      </c>
      <c r="AR132" s="257">
        <f t="shared" si="18"/>
        <v>673</v>
      </c>
      <c r="AS132" s="258">
        <f t="shared" si="19"/>
        <v>11022203</v>
      </c>
      <c r="AT132" s="259">
        <v>52</v>
      </c>
      <c r="AU132" s="253">
        <v>408841</v>
      </c>
      <c r="AV132" s="267">
        <v>57</v>
      </c>
      <c r="AW132" s="268">
        <v>499818</v>
      </c>
      <c r="AX132" s="252">
        <v>43</v>
      </c>
      <c r="AY132" s="253">
        <v>271077</v>
      </c>
      <c r="AZ132" s="267">
        <v>46</v>
      </c>
      <c r="BA132" s="268">
        <v>304407</v>
      </c>
      <c r="BB132" s="252">
        <v>52</v>
      </c>
      <c r="BC132" s="253">
        <v>5383</v>
      </c>
      <c r="BD132" s="267"/>
      <c r="BE132" s="268"/>
      <c r="BF132" s="252">
        <v>52</v>
      </c>
      <c r="BG132" s="253">
        <v>343187</v>
      </c>
      <c r="BH132" s="267">
        <v>57</v>
      </c>
      <c r="BI132" s="268">
        <v>372531</v>
      </c>
      <c r="BJ132" s="252">
        <v>52</v>
      </c>
      <c r="BK132" s="315">
        <f t="shared" si="25"/>
        <v>4797</v>
      </c>
      <c r="BL132" s="267">
        <v>57</v>
      </c>
      <c r="BM132" s="268">
        <f t="shared" si="30"/>
        <v>8037</v>
      </c>
      <c r="BN132" s="252">
        <v>52</v>
      </c>
      <c r="BO132" s="253">
        <v>9360</v>
      </c>
      <c r="BP132" s="267">
        <v>57</v>
      </c>
      <c r="BQ132" s="268">
        <v>10242</v>
      </c>
      <c r="BR132" s="252">
        <v>52</v>
      </c>
      <c r="BS132" s="315">
        <f t="shared" si="26"/>
        <v>3432</v>
      </c>
      <c r="BT132" s="267">
        <v>57</v>
      </c>
      <c r="BU132" s="268">
        <f t="shared" si="31"/>
        <v>7353</v>
      </c>
      <c r="BV132" s="252"/>
      <c r="BW132" s="253"/>
      <c r="BX132" s="267"/>
      <c r="BY132" s="268"/>
      <c r="BZ132" s="252"/>
      <c r="CA132" s="253"/>
      <c r="CB132" s="267"/>
      <c r="CC132" s="268"/>
      <c r="CD132" s="255">
        <f t="shared" si="20"/>
        <v>52</v>
      </c>
      <c r="CE132" s="256">
        <f t="shared" si="21"/>
        <v>1046077</v>
      </c>
      <c r="CF132" s="257">
        <f t="shared" si="22"/>
        <v>57</v>
      </c>
      <c r="CG132" s="261">
        <f t="shared" si="23"/>
        <v>1202388</v>
      </c>
    </row>
    <row r="133" spans="1:85" s="263" customFormat="1" ht="12.75" customHeight="1">
      <c r="A133" s="311" t="s">
        <v>45</v>
      </c>
      <c r="B133" s="487" t="s">
        <v>57</v>
      </c>
      <c r="C133" s="488" t="s">
        <v>1219</v>
      </c>
      <c r="D133" s="311">
        <v>138983</v>
      </c>
      <c r="E133" s="313">
        <v>5</v>
      </c>
      <c r="F133" s="252">
        <v>240</v>
      </c>
      <c r="G133" s="253">
        <v>1312665</v>
      </c>
      <c r="H133" s="276">
        <v>252</v>
      </c>
      <c r="I133" s="276">
        <v>1641168</v>
      </c>
      <c r="J133" s="252">
        <v>176</v>
      </c>
      <c r="K133" s="253">
        <v>951196</v>
      </c>
      <c r="L133" s="276">
        <v>187</v>
      </c>
      <c r="M133" s="276">
        <v>1250095</v>
      </c>
      <c r="N133" s="252"/>
      <c r="O133" s="253"/>
      <c r="P133" s="276"/>
      <c r="Q133" s="314"/>
      <c r="R133" s="252">
        <v>240</v>
      </c>
      <c r="S133" s="253">
        <v>850698</v>
      </c>
      <c r="T133" s="276">
        <v>252</v>
      </c>
      <c r="U133" s="276">
        <v>1059859</v>
      </c>
      <c r="V133" s="252">
        <v>240</v>
      </c>
      <c r="W133" s="315">
        <f t="shared" si="24"/>
        <v>22140</v>
      </c>
      <c r="X133" s="276">
        <v>252</v>
      </c>
      <c r="Y133" s="268">
        <f t="shared" si="27"/>
        <v>35532</v>
      </c>
      <c r="Z133" s="252">
        <v>240</v>
      </c>
      <c r="AA133" s="253">
        <v>22800</v>
      </c>
      <c r="AB133" s="276">
        <v>252</v>
      </c>
      <c r="AC133" s="276">
        <v>20668</v>
      </c>
      <c r="AD133" s="252">
        <v>240</v>
      </c>
      <c r="AE133" s="315">
        <f t="shared" si="28"/>
        <v>15840</v>
      </c>
      <c r="AF133" s="276">
        <v>252</v>
      </c>
      <c r="AG133" s="268">
        <f t="shared" si="29"/>
        <v>32508</v>
      </c>
      <c r="AH133" s="252"/>
      <c r="AI133" s="253"/>
      <c r="AJ133" s="267"/>
      <c r="AK133" s="268"/>
      <c r="AL133" s="252"/>
      <c r="AM133" s="253"/>
      <c r="AN133" s="276"/>
      <c r="AO133" s="276"/>
      <c r="AP133" s="255">
        <f t="shared" si="16"/>
        <v>240</v>
      </c>
      <c r="AQ133" s="256">
        <f t="shared" si="17"/>
        <v>3175339</v>
      </c>
      <c r="AR133" s="257">
        <f t="shared" si="18"/>
        <v>252</v>
      </c>
      <c r="AS133" s="258">
        <f t="shared" si="19"/>
        <v>4039830</v>
      </c>
      <c r="AT133" s="259">
        <v>3</v>
      </c>
      <c r="AU133" s="253">
        <v>20947</v>
      </c>
      <c r="AV133" s="267">
        <v>3</v>
      </c>
      <c r="AW133" s="268">
        <v>20026</v>
      </c>
      <c r="AX133" s="252">
        <v>2</v>
      </c>
      <c r="AY133" s="253">
        <v>7596</v>
      </c>
      <c r="AZ133" s="267">
        <v>2</v>
      </c>
      <c r="BA133" s="268">
        <v>9370</v>
      </c>
      <c r="BB133" s="252"/>
      <c r="BC133" s="253"/>
      <c r="BD133" s="267"/>
      <c r="BE133" s="268"/>
      <c r="BF133" s="252">
        <v>3</v>
      </c>
      <c r="BG133" s="253">
        <v>14914</v>
      </c>
      <c r="BH133" s="267">
        <v>3</v>
      </c>
      <c r="BI133" s="268">
        <v>12617</v>
      </c>
      <c r="BJ133" s="252">
        <v>3</v>
      </c>
      <c r="BK133" s="315">
        <f t="shared" si="25"/>
        <v>276.75</v>
      </c>
      <c r="BL133" s="267">
        <v>3</v>
      </c>
      <c r="BM133" s="268">
        <f t="shared" si="30"/>
        <v>423</v>
      </c>
      <c r="BN133" s="252">
        <v>3</v>
      </c>
      <c r="BO133" s="253">
        <v>342</v>
      </c>
      <c r="BP133" s="267">
        <v>3</v>
      </c>
      <c r="BQ133" s="268">
        <v>246</v>
      </c>
      <c r="BR133" s="252">
        <v>3</v>
      </c>
      <c r="BS133" s="315">
        <f t="shared" si="26"/>
        <v>198</v>
      </c>
      <c r="BT133" s="267">
        <v>3</v>
      </c>
      <c r="BU133" s="268">
        <f t="shared" si="31"/>
        <v>387</v>
      </c>
      <c r="BV133" s="252"/>
      <c r="BW133" s="253"/>
      <c r="BX133" s="267"/>
      <c r="BY133" s="268"/>
      <c r="BZ133" s="252"/>
      <c r="CA133" s="253"/>
      <c r="CB133" s="267"/>
      <c r="CC133" s="268"/>
      <c r="CD133" s="255">
        <f t="shared" si="20"/>
        <v>3</v>
      </c>
      <c r="CE133" s="256">
        <f t="shared" si="21"/>
        <v>44273.75</v>
      </c>
      <c r="CF133" s="257">
        <f t="shared" si="22"/>
        <v>3</v>
      </c>
      <c r="CG133" s="261">
        <f t="shared" si="23"/>
        <v>43069</v>
      </c>
    </row>
    <row r="134" spans="1:85" s="263" customFormat="1" ht="12.75" customHeight="1">
      <c r="A134" s="311" t="s">
        <v>45</v>
      </c>
      <c r="B134" s="312" t="s">
        <v>58</v>
      </c>
      <c r="C134" s="312"/>
      <c r="D134" s="311">
        <v>139719</v>
      </c>
      <c r="E134" s="313">
        <v>5</v>
      </c>
      <c r="F134" s="252">
        <v>59</v>
      </c>
      <c r="G134" s="253">
        <v>285620</v>
      </c>
      <c r="H134" s="276">
        <v>139</v>
      </c>
      <c r="I134" s="276">
        <v>339789</v>
      </c>
      <c r="J134" s="252">
        <v>55</v>
      </c>
      <c r="K134" s="253">
        <v>465181</v>
      </c>
      <c r="L134" s="276">
        <v>105</v>
      </c>
      <c r="M134" s="276">
        <v>920763</v>
      </c>
      <c r="N134" s="252"/>
      <c r="O134" s="253"/>
      <c r="P134" s="276"/>
      <c r="Q134" s="314"/>
      <c r="R134" s="252"/>
      <c r="S134" s="253"/>
      <c r="T134" s="276">
        <v>105</v>
      </c>
      <c r="U134" s="276">
        <v>453474</v>
      </c>
      <c r="V134" s="252">
        <v>59</v>
      </c>
      <c r="W134" s="315">
        <f t="shared" si="24"/>
        <v>5442.75</v>
      </c>
      <c r="X134" s="276">
        <v>139</v>
      </c>
      <c r="Y134" s="268">
        <f t="shared" si="27"/>
        <v>19599</v>
      </c>
      <c r="Z134" s="252">
        <v>55</v>
      </c>
      <c r="AA134" s="253">
        <v>10766</v>
      </c>
      <c r="AB134" s="276">
        <v>105</v>
      </c>
      <c r="AC134" s="276">
        <v>4212</v>
      </c>
      <c r="AD134" s="252">
        <v>59</v>
      </c>
      <c r="AE134" s="315">
        <f t="shared" si="28"/>
        <v>3894</v>
      </c>
      <c r="AF134" s="276">
        <v>139</v>
      </c>
      <c r="AG134" s="268">
        <f t="shared" si="29"/>
        <v>17931</v>
      </c>
      <c r="AH134" s="252"/>
      <c r="AI134" s="253"/>
      <c r="AJ134" s="267"/>
      <c r="AK134" s="268"/>
      <c r="AL134" s="252"/>
      <c r="AM134" s="253"/>
      <c r="AN134" s="276"/>
      <c r="AO134" s="276"/>
      <c r="AP134" s="255">
        <f t="shared" si="16"/>
        <v>59</v>
      </c>
      <c r="AQ134" s="256">
        <f t="shared" si="17"/>
        <v>770903.75</v>
      </c>
      <c r="AR134" s="257">
        <f t="shared" si="18"/>
        <v>139</v>
      </c>
      <c r="AS134" s="258">
        <f t="shared" si="19"/>
        <v>1755768</v>
      </c>
      <c r="AT134" s="259">
        <v>42</v>
      </c>
      <c r="AU134" s="253">
        <v>250879</v>
      </c>
      <c r="AV134" s="267">
        <v>37</v>
      </c>
      <c r="AW134" s="268">
        <v>156003</v>
      </c>
      <c r="AX134" s="252">
        <v>38</v>
      </c>
      <c r="AY134" s="253">
        <v>253553</v>
      </c>
      <c r="AZ134" s="267">
        <v>38</v>
      </c>
      <c r="BA134" s="268">
        <v>419313</v>
      </c>
      <c r="BB134" s="252"/>
      <c r="BC134" s="253"/>
      <c r="BD134" s="267"/>
      <c r="BE134" s="268"/>
      <c r="BF134" s="252"/>
      <c r="BG134" s="253"/>
      <c r="BH134" s="267">
        <v>38</v>
      </c>
      <c r="BI134" s="268">
        <v>234277</v>
      </c>
      <c r="BJ134" s="252">
        <v>42</v>
      </c>
      <c r="BK134" s="315">
        <f t="shared" si="25"/>
        <v>3874.5</v>
      </c>
      <c r="BL134" s="267">
        <v>38</v>
      </c>
      <c r="BM134" s="268">
        <f t="shared" si="30"/>
        <v>5358</v>
      </c>
      <c r="BN134" s="252">
        <v>38</v>
      </c>
      <c r="BO134" s="253">
        <v>6782</v>
      </c>
      <c r="BP134" s="267">
        <v>38</v>
      </c>
      <c r="BQ134" s="268">
        <v>7020</v>
      </c>
      <c r="BR134" s="252">
        <v>42</v>
      </c>
      <c r="BS134" s="315">
        <f t="shared" si="26"/>
        <v>2772</v>
      </c>
      <c r="BT134" s="267">
        <v>38</v>
      </c>
      <c r="BU134" s="268">
        <f t="shared" si="31"/>
        <v>4902</v>
      </c>
      <c r="BV134" s="252"/>
      <c r="BW134" s="253"/>
      <c r="BX134" s="267"/>
      <c r="BY134" s="268"/>
      <c r="BZ134" s="252"/>
      <c r="CA134" s="253"/>
      <c r="CB134" s="267"/>
      <c r="CC134" s="268"/>
      <c r="CD134" s="255">
        <f t="shared" si="20"/>
        <v>42</v>
      </c>
      <c r="CE134" s="256">
        <f t="shared" si="21"/>
        <v>517860.5</v>
      </c>
      <c r="CF134" s="257">
        <f t="shared" si="22"/>
        <v>38</v>
      </c>
      <c r="CG134" s="261">
        <f t="shared" si="23"/>
        <v>826873</v>
      </c>
    </row>
    <row r="135" spans="1:85" s="263" customFormat="1" ht="12.75" customHeight="1">
      <c r="A135" s="311" t="s">
        <v>45</v>
      </c>
      <c r="B135" s="312" t="s">
        <v>59</v>
      </c>
      <c r="C135" s="312"/>
      <c r="D135" s="311">
        <v>139764</v>
      </c>
      <c r="E135" s="313">
        <v>5</v>
      </c>
      <c r="F135" s="252">
        <v>94</v>
      </c>
      <c r="G135" s="253">
        <v>499479</v>
      </c>
      <c r="H135" s="276">
        <v>101</v>
      </c>
      <c r="I135" s="276">
        <v>537446</v>
      </c>
      <c r="J135" s="252">
        <v>86</v>
      </c>
      <c r="K135" s="253">
        <v>486588</v>
      </c>
      <c r="L135" s="276">
        <v>93</v>
      </c>
      <c r="M135" s="276">
        <v>534580</v>
      </c>
      <c r="N135" s="252"/>
      <c r="O135" s="253"/>
      <c r="P135" s="276"/>
      <c r="Q135" s="314"/>
      <c r="R135" s="252">
        <v>94</v>
      </c>
      <c r="S135" s="253">
        <v>407787</v>
      </c>
      <c r="T135" s="276">
        <v>101</v>
      </c>
      <c r="U135" s="276">
        <v>428303</v>
      </c>
      <c r="V135" s="252">
        <v>94</v>
      </c>
      <c r="W135" s="315">
        <f t="shared" si="24"/>
        <v>8671.5</v>
      </c>
      <c r="X135" s="276">
        <v>101</v>
      </c>
      <c r="Y135" s="268">
        <f t="shared" si="27"/>
        <v>14241</v>
      </c>
      <c r="Z135" s="252">
        <v>94</v>
      </c>
      <c r="AA135" s="253">
        <v>14100</v>
      </c>
      <c r="AB135" s="276">
        <v>101</v>
      </c>
      <c r="AC135" s="276">
        <v>15150</v>
      </c>
      <c r="AD135" s="252">
        <v>94</v>
      </c>
      <c r="AE135" s="315">
        <f t="shared" si="28"/>
        <v>6204</v>
      </c>
      <c r="AF135" s="276">
        <v>101</v>
      </c>
      <c r="AG135" s="268">
        <f t="shared" si="29"/>
        <v>13029</v>
      </c>
      <c r="AH135" s="252"/>
      <c r="AI135" s="253"/>
      <c r="AJ135" s="267"/>
      <c r="AK135" s="268"/>
      <c r="AL135" s="252"/>
      <c r="AM135" s="253"/>
      <c r="AN135" s="276"/>
      <c r="AO135" s="276"/>
      <c r="AP135" s="255">
        <f t="shared" si="16"/>
        <v>94</v>
      </c>
      <c r="AQ135" s="256">
        <f t="shared" si="17"/>
        <v>1422829.5</v>
      </c>
      <c r="AR135" s="257">
        <f t="shared" si="18"/>
        <v>101</v>
      </c>
      <c r="AS135" s="258">
        <f t="shared" si="19"/>
        <v>1542749</v>
      </c>
      <c r="AT135" s="259">
        <v>2</v>
      </c>
      <c r="AU135" s="253">
        <v>17884</v>
      </c>
      <c r="AV135" s="267">
        <v>1</v>
      </c>
      <c r="AW135" s="268">
        <v>6865</v>
      </c>
      <c r="AX135" s="252">
        <v>1</v>
      </c>
      <c r="AY135" s="253">
        <v>7145</v>
      </c>
      <c r="AZ135" s="267">
        <v>1</v>
      </c>
      <c r="BA135" s="268">
        <v>6306</v>
      </c>
      <c r="BB135" s="252"/>
      <c r="BC135" s="253"/>
      <c r="BD135" s="267"/>
      <c r="BE135" s="268"/>
      <c r="BF135" s="252">
        <v>2</v>
      </c>
      <c r="BG135" s="253">
        <v>14399</v>
      </c>
      <c r="BH135" s="267">
        <v>1</v>
      </c>
      <c r="BI135" s="268">
        <v>6865</v>
      </c>
      <c r="BJ135" s="252">
        <v>2</v>
      </c>
      <c r="BK135" s="315">
        <f t="shared" si="25"/>
        <v>184.5</v>
      </c>
      <c r="BL135" s="267">
        <v>1</v>
      </c>
      <c r="BM135" s="268">
        <f t="shared" si="30"/>
        <v>141</v>
      </c>
      <c r="BN135" s="252">
        <v>2</v>
      </c>
      <c r="BO135" s="253">
        <v>360</v>
      </c>
      <c r="BP135" s="267">
        <v>1</v>
      </c>
      <c r="BQ135" s="268">
        <v>180</v>
      </c>
      <c r="BR135" s="252">
        <v>2</v>
      </c>
      <c r="BS135" s="315">
        <f t="shared" si="26"/>
        <v>132</v>
      </c>
      <c r="BT135" s="267">
        <v>1</v>
      </c>
      <c r="BU135" s="268">
        <f t="shared" si="31"/>
        <v>129</v>
      </c>
      <c r="BV135" s="252"/>
      <c r="BW135" s="253"/>
      <c r="BX135" s="267"/>
      <c r="BY135" s="268"/>
      <c r="BZ135" s="252"/>
      <c r="CA135" s="253"/>
      <c r="CB135" s="267"/>
      <c r="CC135" s="268"/>
      <c r="CD135" s="255">
        <f t="shared" si="20"/>
        <v>2</v>
      </c>
      <c r="CE135" s="256">
        <f t="shared" si="21"/>
        <v>40104.5</v>
      </c>
      <c r="CF135" s="257">
        <f t="shared" si="22"/>
        <v>1</v>
      </c>
      <c r="CG135" s="261">
        <f t="shared" si="23"/>
        <v>20486</v>
      </c>
    </row>
    <row r="136" spans="1:85" s="263" customFormat="1" ht="12.75" customHeight="1">
      <c r="A136" s="311" t="s">
        <v>45</v>
      </c>
      <c r="B136" s="487" t="s">
        <v>60</v>
      </c>
      <c r="C136" s="488" t="s">
        <v>1219</v>
      </c>
      <c r="D136" s="311">
        <v>140669</v>
      </c>
      <c r="E136" s="313">
        <v>5</v>
      </c>
      <c r="F136" s="252">
        <v>198</v>
      </c>
      <c r="G136" s="253">
        <v>1066501</v>
      </c>
      <c r="H136" s="276">
        <v>214</v>
      </c>
      <c r="I136" s="276">
        <v>1173930</v>
      </c>
      <c r="J136" s="252">
        <v>169</v>
      </c>
      <c r="K136" s="253">
        <v>1057923</v>
      </c>
      <c r="L136" s="276">
        <v>184</v>
      </c>
      <c r="M136" s="276">
        <v>1264837</v>
      </c>
      <c r="N136" s="252"/>
      <c r="O136" s="253"/>
      <c r="P136" s="276"/>
      <c r="Q136" s="314"/>
      <c r="R136" s="252">
        <v>198</v>
      </c>
      <c r="S136" s="253">
        <v>864807</v>
      </c>
      <c r="T136" s="276">
        <v>214</v>
      </c>
      <c r="U136" s="276">
        <v>930530</v>
      </c>
      <c r="V136" s="252">
        <v>198</v>
      </c>
      <c r="W136" s="315">
        <f t="shared" si="24"/>
        <v>18265.5</v>
      </c>
      <c r="X136" s="276">
        <v>214</v>
      </c>
      <c r="Y136" s="268">
        <f t="shared" si="27"/>
        <v>30174</v>
      </c>
      <c r="Z136" s="252">
        <v>198</v>
      </c>
      <c r="AA136" s="253">
        <v>35631</v>
      </c>
      <c r="AB136" s="276">
        <v>214</v>
      </c>
      <c r="AC136" s="276">
        <v>38520</v>
      </c>
      <c r="AD136" s="252">
        <v>198</v>
      </c>
      <c r="AE136" s="315">
        <f t="shared" si="28"/>
        <v>13068</v>
      </c>
      <c r="AF136" s="276">
        <v>214</v>
      </c>
      <c r="AG136" s="268">
        <f t="shared" si="29"/>
        <v>27606</v>
      </c>
      <c r="AH136" s="252"/>
      <c r="AI136" s="253"/>
      <c r="AJ136" s="267"/>
      <c r="AK136" s="268"/>
      <c r="AL136" s="252"/>
      <c r="AM136" s="253"/>
      <c r="AN136" s="276"/>
      <c r="AO136" s="276"/>
      <c r="AP136" s="255">
        <f t="shared" ref="AP136:AP195" si="32">MAX(AL136,AH136,AD136,Z136,V136,R136,N136,J136,F136)</f>
        <v>198</v>
      </c>
      <c r="AQ136" s="256">
        <f t="shared" ref="AQ136:AQ195" si="33">SUM(AM136,AI136,AE136,AA136,W136,S136,O136,K136,G136)</f>
        <v>3056195.5</v>
      </c>
      <c r="AR136" s="257">
        <f t="shared" ref="AR136:AR195" si="34">MAX(AN136,AJ136,AF136,AB136,X136,T136,P136,L136,H136)</f>
        <v>214</v>
      </c>
      <c r="AS136" s="258">
        <f t="shared" ref="AS136:AS195" si="35">SUM(AO136,AK136,AG136,AC136,Y136,U136,Q136,M136,I136)</f>
        <v>3465597</v>
      </c>
      <c r="AT136" s="259">
        <v>22</v>
      </c>
      <c r="AU136" s="253">
        <v>172617</v>
      </c>
      <c r="AV136" s="267">
        <v>24</v>
      </c>
      <c r="AW136" s="268">
        <v>202350</v>
      </c>
      <c r="AX136" s="252">
        <v>20</v>
      </c>
      <c r="AY136" s="253">
        <v>133015</v>
      </c>
      <c r="AZ136" s="267">
        <v>22</v>
      </c>
      <c r="BA136" s="268">
        <v>170195</v>
      </c>
      <c r="BB136" s="252"/>
      <c r="BC136" s="253"/>
      <c r="BD136" s="267"/>
      <c r="BE136" s="268"/>
      <c r="BF136" s="252">
        <v>22</v>
      </c>
      <c r="BG136" s="253">
        <v>138090</v>
      </c>
      <c r="BH136" s="267">
        <v>24</v>
      </c>
      <c r="BI136" s="268">
        <v>159888</v>
      </c>
      <c r="BJ136" s="252">
        <v>22</v>
      </c>
      <c r="BK136" s="315">
        <f t="shared" si="25"/>
        <v>2029.5</v>
      </c>
      <c r="BL136" s="267">
        <v>24</v>
      </c>
      <c r="BM136" s="268">
        <f t="shared" si="30"/>
        <v>3384</v>
      </c>
      <c r="BN136" s="252">
        <v>22</v>
      </c>
      <c r="BO136" s="253">
        <v>3960</v>
      </c>
      <c r="BP136" s="267">
        <v>24</v>
      </c>
      <c r="BQ136" s="268">
        <v>4320</v>
      </c>
      <c r="BR136" s="252">
        <v>22</v>
      </c>
      <c r="BS136" s="315">
        <f t="shared" si="26"/>
        <v>1452</v>
      </c>
      <c r="BT136" s="267">
        <v>24</v>
      </c>
      <c r="BU136" s="268">
        <f t="shared" si="31"/>
        <v>3096</v>
      </c>
      <c r="BV136" s="252"/>
      <c r="BW136" s="253"/>
      <c r="BX136" s="267"/>
      <c r="BY136" s="268"/>
      <c r="BZ136" s="252"/>
      <c r="CA136" s="253"/>
      <c r="CB136" s="267"/>
      <c r="CC136" s="268"/>
      <c r="CD136" s="255">
        <f t="shared" ref="CD136:CD195" si="36">MAX(BZ136,BV136,BR136,BN136,BJ136,BF136,BB136,AX136,AT136)</f>
        <v>22</v>
      </c>
      <c r="CE136" s="256">
        <f t="shared" ref="CE136:CE195" si="37">SUM(CA136,BW136,BS136,BO136,BK136,BG136,BC136,AY136,AU136)</f>
        <v>451163.5</v>
      </c>
      <c r="CF136" s="257">
        <f t="shared" ref="CF136:CF195" si="38">MAX(CB136,BX136,BT136,BP136,BL136,BH136,BD136,AZ136,AV136)</f>
        <v>24</v>
      </c>
      <c r="CG136" s="261">
        <f t="shared" ref="CG136:CG195" si="39">SUM(CC136,BY136,BU136,BQ136,BM136,BI136,BE136,BA136,AW136)</f>
        <v>543233</v>
      </c>
    </row>
    <row r="137" spans="1:85" s="263" customFormat="1" ht="12.75" customHeight="1">
      <c r="A137" s="311" t="s">
        <v>45</v>
      </c>
      <c r="B137" s="312" t="s">
        <v>61</v>
      </c>
      <c r="C137" s="312"/>
      <c r="D137" s="311">
        <v>140960</v>
      </c>
      <c r="E137" s="313">
        <v>5</v>
      </c>
      <c r="F137" s="252">
        <v>137</v>
      </c>
      <c r="G137" s="253">
        <v>729312</v>
      </c>
      <c r="H137" s="276">
        <v>143</v>
      </c>
      <c r="I137" s="276">
        <v>788651</v>
      </c>
      <c r="J137" s="252">
        <v>112</v>
      </c>
      <c r="K137" s="253">
        <v>652512</v>
      </c>
      <c r="L137" s="276">
        <v>121</v>
      </c>
      <c r="M137" s="276">
        <v>899921</v>
      </c>
      <c r="N137" s="252"/>
      <c r="O137" s="253"/>
      <c r="P137" s="276"/>
      <c r="Q137" s="314"/>
      <c r="R137" s="252">
        <v>141</v>
      </c>
      <c r="S137" s="253">
        <v>577536</v>
      </c>
      <c r="T137" s="276">
        <v>149</v>
      </c>
      <c r="U137" s="276">
        <v>624040</v>
      </c>
      <c r="V137" s="252">
        <v>141</v>
      </c>
      <c r="W137" s="315">
        <f t="shared" si="24"/>
        <v>13007.25</v>
      </c>
      <c r="X137" s="276">
        <v>149</v>
      </c>
      <c r="Y137" s="268">
        <f t="shared" si="27"/>
        <v>21009</v>
      </c>
      <c r="Z137" s="252">
        <v>136</v>
      </c>
      <c r="AA137" s="253">
        <v>24480</v>
      </c>
      <c r="AB137" s="276">
        <v>147</v>
      </c>
      <c r="AC137" s="276">
        <v>26460</v>
      </c>
      <c r="AD137" s="252">
        <v>141</v>
      </c>
      <c r="AE137" s="315">
        <f t="shared" si="28"/>
        <v>9306</v>
      </c>
      <c r="AF137" s="276">
        <v>149</v>
      </c>
      <c r="AG137" s="268">
        <f t="shared" si="29"/>
        <v>19221</v>
      </c>
      <c r="AH137" s="252"/>
      <c r="AI137" s="253"/>
      <c r="AJ137" s="267"/>
      <c r="AK137" s="268"/>
      <c r="AL137" s="252"/>
      <c r="AM137" s="253"/>
      <c r="AN137" s="276"/>
      <c r="AO137" s="276"/>
      <c r="AP137" s="255">
        <f t="shared" si="32"/>
        <v>141</v>
      </c>
      <c r="AQ137" s="256">
        <f t="shared" si="33"/>
        <v>2006153.25</v>
      </c>
      <c r="AR137" s="257">
        <f t="shared" si="34"/>
        <v>149</v>
      </c>
      <c r="AS137" s="258">
        <f t="shared" si="35"/>
        <v>2379302</v>
      </c>
      <c r="AT137" s="259">
        <v>10</v>
      </c>
      <c r="AU137" s="253">
        <v>52510</v>
      </c>
      <c r="AV137" s="267">
        <v>7</v>
      </c>
      <c r="AW137" s="268">
        <v>41506</v>
      </c>
      <c r="AX137" s="252">
        <v>8</v>
      </c>
      <c r="AY137" s="253">
        <v>40640</v>
      </c>
      <c r="AZ137" s="267">
        <v>6</v>
      </c>
      <c r="BA137" s="268">
        <v>34119</v>
      </c>
      <c r="BB137" s="252"/>
      <c r="BC137" s="253"/>
      <c r="BD137" s="267"/>
      <c r="BE137" s="268"/>
      <c r="BF137" s="252">
        <v>10</v>
      </c>
      <c r="BG137" s="253">
        <v>38140</v>
      </c>
      <c r="BH137" s="267">
        <v>8</v>
      </c>
      <c r="BI137" s="268">
        <v>37143</v>
      </c>
      <c r="BJ137" s="252">
        <v>10</v>
      </c>
      <c r="BK137" s="315">
        <f t="shared" si="25"/>
        <v>922.5</v>
      </c>
      <c r="BL137" s="267">
        <v>8</v>
      </c>
      <c r="BM137" s="268">
        <f t="shared" si="30"/>
        <v>1128</v>
      </c>
      <c r="BN137" s="252">
        <v>10</v>
      </c>
      <c r="BO137" s="253">
        <v>1800</v>
      </c>
      <c r="BP137" s="267">
        <v>8</v>
      </c>
      <c r="BQ137" s="268">
        <v>1440</v>
      </c>
      <c r="BR137" s="252">
        <v>10</v>
      </c>
      <c r="BS137" s="315">
        <f t="shared" si="26"/>
        <v>660</v>
      </c>
      <c r="BT137" s="267">
        <v>8</v>
      </c>
      <c r="BU137" s="268">
        <f t="shared" si="31"/>
        <v>1032</v>
      </c>
      <c r="BV137" s="252"/>
      <c r="BW137" s="253"/>
      <c r="BX137" s="267"/>
      <c r="BY137" s="268"/>
      <c r="BZ137" s="252"/>
      <c r="CA137" s="253"/>
      <c r="CB137" s="267"/>
      <c r="CC137" s="268"/>
      <c r="CD137" s="255">
        <f t="shared" si="36"/>
        <v>10</v>
      </c>
      <c r="CE137" s="256">
        <f t="shared" si="37"/>
        <v>134672.5</v>
      </c>
      <c r="CF137" s="257">
        <f t="shared" si="38"/>
        <v>8</v>
      </c>
      <c r="CG137" s="261">
        <f t="shared" si="39"/>
        <v>116368</v>
      </c>
    </row>
    <row r="138" spans="1:85" s="263" customFormat="1" ht="12.75" customHeight="1">
      <c r="A138" s="311" t="s">
        <v>45</v>
      </c>
      <c r="B138" s="487" t="s">
        <v>62</v>
      </c>
      <c r="C138" s="488" t="s">
        <v>1220</v>
      </c>
      <c r="D138" s="311">
        <v>139311</v>
      </c>
      <c r="E138" s="313">
        <v>6</v>
      </c>
      <c r="F138" s="252">
        <v>166</v>
      </c>
      <c r="G138" s="253">
        <v>916610</v>
      </c>
      <c r="H138" s="276">
        <v>183</v>
      </c>
      <c r="I138" s="276">
        <v>1009893</v>
      </c>
      <c r="J138" s="252">
        <v>166</v>
      </c>
      <c r="K138" s="253">
        <v>877642</v>
      </c>
      <c r="L138" s="276">
        <v>183</v>
      </c>
      <c r="M138" s="276">
        <v>1179559</v>
      </c>
      <c r="N138" s="252"/>
      <c r="O138" s="253"/>
      <c r="P138" s="276"/>
      <c r="Q138" s="314"/>
      <c r="R138" s="252">
        <v>166</v>
      </c>
      <c r="S138" s="253">
        <v>758916</v>
      </c>
      <c r="T138" s="276">
        <v>183</v>
      </c>
      <c r="U138" s="276">
        <v>673608</v>
      </c>
      <c r="V138" s="252">
        <v>166</v>
      </c>
      <c r="W138" s="315">
        <f t="shared" si="24"/>
        <v>15313.5</v>
      </c>
      <c r="X138" s="276">
        <v>183</v>
      </c>
      <c r="Y138" s="268">
        <f t="shared" si="27"/>
        <v>25803</v>
      </c>
      <c r="Z138" s="252">
        <v>166</v>
      </c>
      <c r="AA138" s="253">
        <v>29880</v>
      </c>
      <c r="AB138" s="276">
        <v>183</v>
      </c>
      <c r="AC138" s="276">
        <v>32940</v>
      </c>
      <c r="AD138" s="252">
        <v>166</v>
      </c>
      <c r="AE138" s="315">
        <f t="shared" si="28"/>
        <v>10956</v>
      </c>
      <c r="AF138" s="276">
        <v>183</v>
      </c>
      <c r="AG138" s="268">
        <f t="shared" si="29"/>
        <v>23607</v>
      </c>
      <c r="AH138" s="252"/>
      <c r="AI138" s="253"/>
      <c r="AJ138" s="267"/>
      <c r="AK138" s="268"/>
      <c r="AL138" s="252"/>
      <c r="AM138" s="253"/>
      <c r="AN138" s="276"/>
      <c r="AO138" s="276"/>
      <c r="AP138" s="255">
        <f t="shared" si="32"/>
        <v>166</v>
      </c>
      <c r="AQ138" s="256">
        <f t="shared" si="33"/>
        <v>2609317.5</v>
      </c>
      <c r="AR138" s="257">
        <f t="shared" si="34"/>
        <v>183</v>
      </c>
      <c r="AS138" s="258">
        <f t="shared" si="35"/>
        <v>2945410</v>
      </c>
      <c r="AT138" s="259">
        <v>30</v>
      </c>
      <c r="AU138" s="253">
        <v>227250</v>
      </c>
      <c r="AV138" s="267">
        <v>30</v>
      </c>
      <c r="AW138" s="268">
        <v>265595</v>
      </c>
      <c r="AX138" s="252">
        <v>30</v>
      </c>
      <c r="AY138" s="253">
        <v>156810</v>
      </c>
      <c r="AZ138" s="267">
        <v>30</v>
      </c>
      <c r="BA138" s="268">
        <v>193370</v>
      </c>
      <c r="BB138" s="252"/>
      <c r="BC138" s="253"/>
      <c r="BD138" s="267"/>
      <c r="BE138" s="268"/>
      <c r="BF138" s="252">
        <v>30</v>
      </c>
      <c r="BG138" s="253">
        <v>213834</v>
      </c>
      <c r="BH138" s="267">
        <v>30</v>
      </c>
      <c r="BI138" s="268">
        <v>178213</v>
      </c>
      <c r="BJ138" s="252">
        <v>30</v>
      </c>
      <c r="BK138" s="315">
        <f t="shared" si="25"/>
        <v>2767.5</v>
      </c>
      <c r="BL138" s="267">
        <v>30</v>
      </c>
      <c r="BM138" s="268">
        <f t="shared" si="30"/>
        <v>4230</v>
      </c>
      <c r="BN138" s="252">
        <v>30</v>
      </c>
      <c r="BO138" s="253">
        <v>5400</v>
      </c>
      <c r="BP138" s="267">
        <v>30</v>
      </c>
      <c r="BQ138" s="268">
        <v>5400</v>
      </c>
      <c r="BR138" s="252">
        <v>30</v>
      </c>
      <c r="BS138" s="315">
        <f t="shared" si="26"/>
        <v>1980</v>
      </c>
      <c r="BT138" s="267">
        <v>30</v>
      </c>
      <c r="BU138" s="268">
        <f t="shared" si="31"/>
        <v>3870</v>
      </c>
      <c r="BV138" s="252"/>
      <c r="BW138" s="253"/>
      <c r="BX138" s="267"/>
      <c r="BY138" s="268"/>
      <c r="BZ138" s="252"/>
      <c r="CA138" s="253"/>
      <c r="CB138" s="267"/>
      <c r="CC138" s="268"/>
      <c r="CD138" s="255">
        <f t="shared" si="36"/>
        <v>30</v>
      </c>
      <c r="CE138" s="256">
        <f t="shared" si="37"/>
        <v>608041.5</v>
      </c>
      <c r="CF138" s="257">
        <f t="shared" si="38"/>
        <v>30</v>
      </c>
      <c r="CG138" s="261">
        <f t="shared" si="39"/>
        <v>650678</v>
      </c>
    </row>
    <row r="139" spans="1:85" s="263" customFormat="1" ht="12.75" customHeight="1">
      <c r="A139" s="311" t="s">
        <v>45</v>
      </c>
      <c r="B139" s="312" t="s">
        <v>63</v>
      </c>
      <c r="C139" s="312"/>
      <c r="D139" s="311">
        <v>140322</v>
      </c>
      <c r="E139" s="313">
        <v>6</v>
      </c>
      <c r="F139" s="252">
        <v>177</v>
      </c>
      <c r="G139" s="253">
        <v>843098</v>
      </c>
      <c r="H139" s="276">
        <v>164</v>
      </c>
      <c r="I139" s="276">
        <v>822982</v>
      </c>
      <c r="J139" s="252">
        <v>137</v>
      </c>
      <c r="K139" s="253">
        <v>875268</v>
      </c>
      <c r="L139" s="276">
        <v>133</v>
      </c>
      <c r="M139" s="276">
        <v>861860</v>
      </c>
      <c r="N139" s="252"/>
      <c r="O139" s="253"/>
      <c r="P139" s="276"/>
      <c r="Q139" s="314"/>
      <c r="R139" s="252">
        <v>176</v>
      </c>
      <c r="S139" s="253">
        <v>676320</v>
      </c>
      <c r="T139" s="276">
        <v>168</v>
      </c>
      <c r="U139" s="276">
        <v>673278</v>
      </c>
      <c r="V139" s="252">
        <v>176</v>
      </c>
      <c r="W139" s="315">
        <f t="shared" si="24"/>
        <v>16236</v>
      </c>
      <c r="X139" s="276">
        <v>168</v>
      </c>
      <c r="Y139" s="268">
        <f t="shared" si="27"/>
        <v>23688</v>
      </c>
      <c r="Z139" s="252">
        <v>176</v>
      </c>
      <c r="AA139" s="253">
        <v>31860</v>
      </c>
      <c r="AB139" s="276">
        <v>168</v>
      </c>
      <c r="AC139" s="276">
        <v>30240</v>
      </c>
      <c r="AD139" s="252">
        <v>176</v>
      </c>
      <c r="AE139" s="315">
        <f t="shared" si="28"/>
        <v>11616</v>
      </c>
      <c r="AF139" s="276">
        <v>168</v>
      </c>
      <c r="AG139" s="268">
        <f t="shared" si="29"/>
        <v>21672</v>
      </c>
      <c r="AH139" s="252"/>
      <c r="AI139" s="253"/>
      <c r="AJ139" s="267"/>
      <c r="AK139" s="268"/>
      <c r="AL139" s="252"/>
      <c r="AM139" s="253"/>
      <c r="AN139" s="276"/>
      <c r="AO139" s="276"/>
      <c r="AP139" s="255">
        <f t="shared" si="32"/>
        <v>177</v>
      </c>
      <c r="AQ139" s="256">
        <f t="shared" si="33"/>
        <v>2454398</v>
      </c>
      <c r="AR139" s="257">
        <f t="shared" si="34"/>
        <v>168</v>
      </c>
      <c r="AS139" s="258">
        <f t="shared" si="35"/>
        <v>2433720</v>
      </c>
      <c r="AT139" s="259"/>
      <c r="AU139" s="253"/>
      <c r="AV139" s="267"/>
      <c r="AW139" s="268"/>
      <c r="AX139" s="252"/>
      <c r="AY139" s="253"/>
      <c r="AZ139" s="267"/>
      <c r="BA139" s="268"/>
      <c r="BB139" s="252"/>
      <c r="BC139" s="253"/>
      <c r="BD139" s="267"/>
      <c r="BE139" s="268"/>
      <c r="BF139" s="252"/>
      <c r="BG139" s="253"/>
      <c r="BH139" s="267"/>
      <c r="BI139" s="268"/>
      <c r="BJ139" s="252"/>
      <c r="BK139" s="315">
        <f t="shared" si="25"/>
        <v>0</v>
      </c>
      <c r="BL139" s="267"/>
      <c r="BM139" s="268">
        <f>BL139*141</f>
        <v>0</v>
      </c>
      <c r="BN139" s="252"/>
      <c r="BO139" s="253"/>
      <c r="BP139" s="316"/>
      <c r="BQ139" s="317"/>
      <c r="BR139" s="252"/>
      <c r="BS139" s="315">
        <f t="shared" si="26"/>
        <v>0</v>
      </c>
      <c r="BT139" s="267"/>
      <c r="BU139" s="268">
        <f t="shared" si="31"/>
        <v>0</v>
      </c>
      <c r="BV139" s="252"/>
      <c r="BW139" s="253"/>
      <c r="BX139" s="267"/>
      <c r="BY139" s="268"/>
      <c r="BZ139" s="252"/>
      <c r="CA139" s="253"/>
      <c r="CB139" s="267"/>
      <c r="CC139" s="268"/>
      <c r="CD139" s="255">
        <f t="shared" si="36"/>
        <v>0</v>
      </c>
      <c r="CE139" s="256">
        <f t="shared" si="37"/>
        <v>0</v>
      </c>
      <c r="CF139" s="257">
        <f t="shared" si="38"/>
        <v>0</v>
      </c>
      <c r="CG139" s="261">
        <f t="shared" si="39"/>
        <v>0</v>
      </c>
    </row>
    <row r="140" spans="1:85" s="263" customFormat="1" ht="12.75" customHeight="1">
      <c r="A140" s="311" t="s">
        <v>45</v>
      </c>
      <c r="B140" s="312" t="s">
        <v>64</v>
      </c>
      <c r="C140" s="312"/>
      <c r="D140" s="311">
        <v>139463</v>
      </c>
      <c r="E140" s="313">
        <v>7</v>
      </c>
      <c r="F140" s="252">
        <v>142</v>
      </c>
      <c r="G140" s="253">
        <v>726022</v>
      </c>
      <c r="H140" s="276">
        <v>137</v>
      </c>
      <c r="I140" s="276">
        <v>704439</v>
      </c>
      <c r="J140" s="252">
        <v>120</v>
      </c>
      <c r="K140" s="253">
        <v>801642</v>
      </c>
      <c r="L140" s="276">
        <v>120</v>
      </c>
      <c r="M140" s="276">
        <v>787965</v>
      </c>
      <c r="N140" s="252"/>
      <c r="O140" s="253"/>
      <c r="P140" s="276"/>
      <c r="Q140" s="314"/>
      <c r="R140" s="252">
        <v>142</v>
      </c>
      <c r="S140" s="253">
        <v>572889</v>
      </c>
      <c r="T140" s="276">
        <v>139</v>
      </c>
      <c r="U140" s="276">
        <v>587387</v>
      </c>
      <c r="V140" s="252">
        <v>142</v>
      </c>
      <c r="W140" s="315">
        <f t="shared" si="24"/>
        <v>13099.5</v>
      </c>
      <c r="X140" s="276">
        <v>139</v>
      </c>
      <c r="Y140" s="268">
        <f t="shared" si="27"/>
        <v>19599</v>
      </c>
      <c r="Z140" s="252">
        <v>142</v>
      </c>
      <c r="AA140" s="253">
        <v>25542</v>
      </c>
      <c r="AB140" s="276">
        <v>137</v>
      </c>
      <c r="AC140" s="276">
        <v>24660</v>
      </c>
      <c r="AD140" s="252">
        <v>142</v>
      </c>
      <c r="AE140" s="315">
        <f t="shared" si="28"/>
        <v>9372</v>
      </c>
      <c r="AF140" s="276">
        <v>139</v>
      </c>
      <c r="AG140" s="268">
        <f t="shared" si="29"/>
        <v>17931</v>
      </c>
      <c r="AH140" s="252"/>
      <c r="AI140" s="253"/>
      <c r="AJ140" s="267"/>
      <c r="AK140" s="268"/>
      <c r="AL140" s="252"/>
      <c r="AM140" s="253"/>
      <c r="AN140" s="276"/>
      <c r="AO140" s="276"/>
      <c r="AP140" s="255">
        <f t="shared" si="32"/>
        <v>142</v>
      </c>
      <c r="AQ140" s="256">
        <f t="shared" si="33"/>
        <v>2148566.5</v>
      </c>
      <c r="AR140" s="257">
        <f t="shared" si="34"/>
        <v>139</v>
      </c>
      <c r="AS140" s="258">
        <f t="shared" si="35"/>
        <v>2141981</v>
      </c>
      <c r="AT140" s="259"/>
      <c r="AU140" s="253"/>
      <c r="AV140" s="267">
        <v>2</v>
      </c>
      <c r="AW140" s="268">
        <v>1624</v>
      </c>
      <c r="AX140" s="252"/>
      <c r="AY140" s="253"/>
      <c r="AZ140" s="267"/>
      <c r="BA140" s="268"/>
      <c r="BB140" s="252"/>
      <c r="BC140" s="253"/>
      <c r="BD140" s="267"/>
      <c r="BE140" s="268"/>
      <c r="BF140" s="252"/>
      <c r="BG140" s="253"/>
      <c r="BH140" s="267">
        <v>2</v>
      </c>
      <c r="BI140" s="268">
        <v>10276</v>
      </c>
      <c r="BJ140" s="252"/>
      <c r="BK140" s="315">
        <f t="shared" si="25"/>
        <v>0</v>
      </c>
      <c r="BL140" s="267">
        <v>2</v>
      </c>
      <c r="BM140" s="268">
        <f t="shared" si="30"/>
        <v>282</v>
      </c>
      <c r="BN140" s="252"/>
      <c r="BO140" s="253"/>
      <c r="BP140" s="267">
        <v>2</v>
      </c>
      <c r="BQ140" s="268">
        <v>360</v>
      </c>
      <c r="BR140" s="252"/>
      <c r="BS140" s="315">
        <f t="shared" si="26"/>
        <v>0</v>
      </c>
      <c r="BT140" s="267">
        <v>2</v>
      </c>
      <c r="BU140" s="268">
        <f t="shared" si="31"/>
        <v>258</v>
      </c>
      <c r="BV140" s="252"/>
      <c r="BW140" s="253"/>
      <c r="BX140" s="267"/>
      <c r="BY140" s="268"/>
      <c r="BZ140" s="252"/>
      <c r="CA140" s="253"/>
      <c r="CB140" s="267"/>
      <c r="CC140" s="268"/>
      <c r="CD140" s="255">
        <f t="shared" si="36"/>
        <v>0</v>
      </c>
      <c r="CE140" s="256">
        <f t="shared" si="37"/>
        <v>0</v>
      </c>
      <c r="CF140" s="257">
        <f t="shared" si="38"/>
        <v>2</v>
      </c>
      <c r="CG140" s="261">
        <f t="shared" si="39"/>
        <v>12800</v>
      </c>
    </row>
    <row r="141" spans="1:85" s="263" customFormat="1" ht="12.75" customHeight="1">
      <c r="A141" s="311" t="s">
        <v>45</v>
      </c>
      <c r="B141" s="312" t="s">
        <v>65</v>
      </c>
      <c r="C141" s="312"/>
      <c r="D141" s="311">
        <v>244437</v>
      </c>
      <c r="E141" s="313">
        <v>8</v>
      </c>
      <c r="F141" s="252">
        <v>365</v>
      </c>
      <c r="G141" s="253">
        <v>1683732</v>
      </c>
      <c r="H141" s="276">
        <v>388</v>
      </c>
      <c r="I141" s="276">
        <v>1812725</v>
      </c>
      <c r="J141" s="252">
        <v>365</v>
      </c>
      <c r="K141" s="253">
        <v>1671431</v>
      </c>
      <c r="L141" s="276">
        <v>388</v>
      </c>
      <c r="M141" s="276">
        <v>2017109</v>
      </c>
      <c r="N141" s="252"/>
      <c r="O141" s="253"/>
      <c r="P141" s="276"/>
      <c r="Q141" s="314"/>
      <c r="R141" s="252">
        <v>365</v>
      </c>
      <c r="S141" s="253">
        <v>1381877</v>
      </c>
      <c r="T141" s="276">
        <v>388</v>
      </c>
      <c r="U141" s="276">
        <v>1442773</v>
      </c>
      <c r="V141" s="252">
        <v>365</v>
      </c>
      <c r="W141" s="315">
        <f t="shared" si="24"/>
        <v>33671.25</v>
      </c>
      <c r="X141" s="276">
        <v>388</v>
      </c>
      <c r="Y141" s="268">
        <f t="shared" si="27"/>
        <v>54708</v>
      </c>
      <c r="Z141" s="252">
        <v>365</v>
      </c>
      <c r="AA141" s="253">
        <v>65601</v>
      </c>
      <c r="AB141" s="276">
        <v>388</v>
      </c>
      <c r="AC141" s="276">
        <v>69795</v>
      </c>
      <c r="AD141" s="252">
        <v>365</v>
      </c>
      <c r="AE141" s="315">
        <f t="shared" si="28"/>
        <v>24090</v>
      </c>
      <c r="AF141" s="276">
        <v>388</v>
      </c>
      <c r="AG141" s="268">
        <f t="shared" si="29"/>
        <v>50052</v>
      </c>
      <c r="AH141" s="252"/>
      <c r="AI141" s="253"/>
      <c r="AJ141" s="267"/>
      <c r="AK141" s="268"/>
      <c r="AL141" s="252"/>
      <c r="AM141" s="253"/>
      <c r="AN141" s="276"/>
      <c r="AO141" s="276"/>
      <c r="AP141" s="255">
        <f t="shared" si="32"/>
        <v>365</v>
      </c>
      <c r="AQ141" s="256">
        <f t="shared" si="33"/>
        <v>4860402.25</v>
      </c>
      <c r="AR141" s="257">
        <f t="shared" si="34"/>
        <v>388</v>
      </c>
      <c r="AS141" s="258">
        <f t="shared" si="35"/>
        <v>5447162</v>
      </c>
      <c r="AT141" s="259">
        <v>33</v>
      </c>
      <c r="AU141" s="253">
        <v>199110</v>
      </c>
      <c r="AV141" s="267">
        <v>64</v>
      </c>
      <c r="AW141" s="268">
        <v>470341</v>
      </c>
      <c r="AX141" s="252">
        <v>33</v>
      </c>
      <c r="AY141" s="253">
        <v>265544</v>
      </c>
      <c r="AZ141" s="267">
        <v>64</v>
      </c>
      <c r="BA141" s="268">
        <v>391434</v>
      </c>
      <c r="BB141" s="252"/>
      <c r="BC141" s="253"/>
      <c r="BD141" s="267"/>
      <c r="BE141" s="268"/>
      <c r="BF141" s="252">
        <v>33</v>
      </c>
      <c r="BG141" s="253">
        <v>165832</v>
      </c>
      <c r="BH141" s="267">
        <v>64</v>
      </c>
      <c r="BI141" s="268">
        <v>370384</v>
      </c>
      <c r="BJ141" s="252">
        <v>33</v>
      </c>
      <c r="BK141" s="315">
        <f t="shared" si="25"/>
        <v>3044.25</v>
      </c>
      <c r="BL141" s="267">
        <v>64</v>
      </c>
      <c r="BM141" s="268">
        <f t="shared" si="30"/>
        <v>9024</v>
      </c>
      <c r="BN141" s="252">
        <v>33</v>
      </c>
      <c r="BO141" s="253">
        <v>6156</v>
      </c>
      <c r="BP141" s="316">
        <v>64</v>
      </c>
      <c r="BQ141" s="317">
        <v>11520</v>
      </c>
      <c r="BR141" s="252">
        <v>33</v>
      </c>
      <c r="BS141" s="315">
        <f t="shared" si="26"/>
        <v>2178</v>
      </c>
      <c r="BT141" s="267">
        <v>64</v>
      </c>
      <c r="BU141" s="268">
        <f t="shared" si="31"/>
        <v>8256</v>
      </c>
      <c r="BV141" s="252"/>
      <c r="BW141" s="253"/>
      <c r="BX141" s="267"/>
      <c r="BY141" s="268"/>
      <c r="BZ141" s="252"/>
      <c r="CA141" s="253"/>
      <c r="CB141" s="267"/>
      <c r="CC141" s="268"/>
      <c r="CD141" s="255">
        <f t="shared" si="36"/>
        <v>33</v>
      </c>
      <c r="CE141" s="256">
        <f t="shared" si="37"/>
        <v>641864.25</v>
      </c>
      <c r="CF141" s="257">
        <f t="shared" si="38"/>
        <v>64</v>
      </c>
      <c r="CG141" s="261">
        <f t="shared" si="39"/>
        <v>1260959</v>
      </c>
    </row>
    <row r="142" spans="1:85" s="263" customFormat="1" ht="12.75" customHeight="1">
      <c r="A142" s="311" t="s">
        <v>45</v>
      </c>
      <c r="B142" s="487" t="s">
        <v>66</v>
      </c>
      <c r="C142" s="492" t="s">
        <v>1222</v>
      </c>
      <c r="D142" s="311">
        <v>138558</v>
      </c>
      <c r="E142" s="313">
        <v>9</v>
      </c>
      <c r="F142" s="252">
        <v>85</v>
      </c>
      <c r="G142" s="253">
        <v>365840</v>
      </c>
      <c r="H142" s="276">
        <v>83</v>
      </c>
      <c r="I142" s="276">
        <v>350041</v>
      </c>
      <c r="J142" s="252">
        <v>70</v>
      </c>
      <c r="K142" s="253">
        <v>476864</v>
      </c>
      <c r="L142" s="276">
        <v>66</v>
      </c>
      <c r="M142" s="276">
        <v>484269</v>
      </c>
      <c r="N142" s="252"/>
      <c r="O142" s="253"/>
      <c r="P142" s="276"/>
      <c r="Q142" s="314"/>
      <c r="R142" s="252">
        <v>86</v>
      </c>
      <c r="S142" s="253">
        <v>299467</v>
      </c>
      <c r="T142" s="276">
        <v>87</v>
      </c>
      <c r="U142" s="276">
        <v>297407</v>
      </c>
      <c r="V142" s="252">
        <v>86</v>
      </c>
      <c r="W142" s="315">
        <f t="shared" si="24"/>
        <v>7933.5</v>
      </c>
      <c r="X142" s="276">
        <v>87</v>
      </c>
      <c r="Y142" s="268">
        <f t="shared" si="27"/>
        <v>12267</v>
      </c>
      <c r="Z142" s="252">
        <v>86</v>
      </c>
      <c r="AA142" s="253">
        <v>15480</v>
      </c>
      <c r="AB142" s="276">
        <v>83</v>
      </c>
      <c r="AC142" s="276">
        <v>14940</v>
      </c>
      <c r="AD142" s="252">
        <v>86</v>
      </c>
      <c r="AE142" s="315">
        <f t="shared" si="28"/>
        <v>5676</v>
      </c>
      <c r="AF142" s="276">
        <v>87</v>
      </c>
      <c r="AG142" s="268">
        <f t="shared" si="29"/>
        <v>11223</v>
      </c>
      <c r="AH142" s="252"/>
      <c r="AI142" s="253"/>
      <c r="AJ142" s="267"/>
      <c r="AK142" s="268"/>
      <c r="AL142" s="252"/>
      <c r="AM142" s="253"/>
      <c r="AN142" s="276"/>
      <c r="AO142" s="276"/>
      <c r="AP142" s="255">
        <f t="shared" si="32"/>
        <v>86</v>
      </c>
      <c r="AQ142" s="256">
        <f t="shared" si="33"/>
        <v>1171260.5</v>
      </c>
      <c r="AR142" s="257">
        <f t="shared" si="34"/>
        <v>87</v>
      </c>
      <c r="AS142" s="258">
        <f t="shared" si="35"/>
        <v>1170147</v>
      </c>
      <c r="AT142" s="259">
        <v>8</v>
      </c>
      <c r="AU142" s="253">
        <v>54800</v>
      </c>
      <c r="AV142" s="267">
        <v>9</v>
      </c>
      <c r="AW142" s="268">
        <v>54404</v>
      </c>
      <c r="AX142" s="252">
        <v>8</v>
      </c>
      <c r="AY142" s="253">
        <v>59254</v>
      </c>
      <c r="AZ142" s="267">
        <v>9</v>
      </c>
      <c r="BA142" s="268">
        <v>66199</v>
      </c>
      <c r="BB142" s="252"/>
      <c r="BC142" s="253"/>
      <c r="BD142" s="267"/>
      <c r="BE142" s="268"/>
      <c r="BF142" s="252">
        <v>8</v>
      </c>
      <c r="BG142" s="253">
        <v>43308</v>
      </c>
      <c r="BH142" s="267">
        <v>9</v>
      </c>
      <c r="BI142" s="268">
        <v>44891</v>
      </c>
      <c r="BJ142" s="252">
        <v>8</v>
      </c>
      <c r="BK142" s="315">
        <f t="shared" si="25"/>
        <v>738</v>
      </c>
      <c r="BL142" s="267">
        <v>9</v>
      </c>
      <c r="BM142" s="268">
        <f t="shared" si="30"/>
        <v>1269</v>
      </c>
      <c r="BN142" s="252">
        <v>8</v>
      </c>
      <c r="BO142" s="253">
        <v>1440</v>
      </c>
      <c r="BP142" s="267">
        <v>9</v>
      </c>
      <c r="BQ142" s="268">
        <v>1620</v>
      </c>
      <c r="BR142" s="252">
        <v>8</v>
      </c>
      <c r="BS142" s="315">
        <f t="shared" si="26"/>
        <v>528</v>
      </c>
      <c r="BT142" s="267">
        <v>9</v>
      </c>
      <c r="BU142" s="268">
        <f t="shared" si="31"/>
        <v>1161</v>
      </c>
      <c r="BV142" s="252"/>
      <c r="BW142" s="253"/>
      <c r="BX142" s="267"/>
      <c r="BY142" s="268"/>
      <c r="BZ142" s="252"/>
      <c r="CA142" s="253"/>
      <c r="CB142" s="267"/>
      <c r="CC142" s="268"/>
      <c r="CD142" s="255">
        <f t="shared" si="36"/>
        <v>8</v>
      </c>
      <c r="CE142" s="256">
        <f t="shared" si="37"/>
        <v>160068</v>
      </c>
      <c r="CF142" s="257">
        <f t="shared" si="38"/>
        <v>9</v>
      </c>
      <c r="CG142" s="261">
        <f t="shared" si="39"/>
        <v>169544</v>
      </c>
    </row>
    <row r="143" spans="1:85" s="263" customFormat="1" ht="12.75" customHeight="1">
      <c r="A143" s="311" t="s">
        <v>45</v>
      </c>
      <c r="B143" s="312" t="s">
        <v>72</v>
      </c>
      <c r="C143" s="312"/>
      <c r="D143" s="311">
        <v>139010</v>
      </c>
      <c r="E143" s="313">
        <v>9</v>
      </c>
      <c r="F143" s="252">
        <v>81</v>
      </c>
      <c r="G143" s="253">
        <v>404763</v>
      </c>
      <c r="H143" s="276">
        <v>54</v>
      </c>
      <c r="I143" s="276">
        <v>227612</v>
      </c>
      <c r="J143" s="252">
        <v>31</v>
      </c>
      <c r="K143" s="253">
        <v>342520</v>
      </c>
      <c r="L143" s="276">
        <v>41</v>
      </c>
      <c r="M143" s="276">
        <v>293210</v>
      </c>
      <c r="N143" s="252"/>
      <c r="O143" s="253"/>
      <c r="P143" s="276"/>
      <c r="Q143" s="314"/>
      <c r="R143" s="252">
        <v>48</v>
      </c>
      <c r="S143" s="253">
        <v>163950</v>
      </c>
      <c r="T143" s="276">
        <v>54</v>
      </c>
      <c r="U143" s="276">
        <v>175689</v>
      </c>
      <c r="V143" s="252">
        <v>48</v>
      </c>
      <c r="W143" s="315">
        <f t="shared" si="24"/>
        <v>4428</v>
      </c>
      <c r="X143" s="276">
        <v>54</v>
      </c>
      <c r="Y143" s="268">
        <f t="shared" si="27"/>
        <v>7614</v>
      </c>
      <c r="Z143" s="252">
        <v>48</v>
      </c>
      <c r="AA143" s="253">
        <v>10125</v>
      </c>
      <c r="AB143" s="276">
        <v>54</v>
      </c>
      <c r="AC143" s="276">
        <v>9702</v>
      </c>
      <c r="AD143" s="252">
        <v>48</v>
      </c>
      <c r="AE143" s="315">
        <f t="shared" si="28"/>
        <v>3168</v>
      </c>
      <c r="AF143" s="276">
        <v>54</v>
      </c>
      <c r="AG143" s="268">
        <f t="shared" si="29"/>
        <v>6966</v>
      </c>
      <c r="AH143" s="252"/>
      <c r="AI143" s="253"/>
      <c r="AJ143" s="267"/>
      <c r="AK143" s="268"/>
      <c r="AL143" s="252"/>
      <c r="AM143" s="253"/>
      <c r="AN143" s="276"/>
      <c r="AO143" s="276"/>
      <c r="AP143" s="255">
        <f t="shared" si="32"/>
        <v>81</v>
      </c>
      <c r="AQ143" s="256">
        <f t="shared" si="33"/>
        <v>928954</v>
      </c>
      <c r="AR143" s="257">
        <f t="shared" si="34"/>
        <v>54</v>
      </c>
      <c r="AS143" s="258">
        <f t="shared" si="35"/>
        <v>720793</v>
      </c>
      <c r="AT143" s="259">
        <v>34</v>
      </c>
      <c r="AU143" s="253">
        <v>225954</v>
      </c>
      <c r="AV143" s="267">
        <v>20</v>
      </c>
      <c r="AW143" s="268">
        <v>111270</v>
      </c>
      <c r="AX143" s="252">
        <v>17</v>
      </c>
      <c r="AY143" s="253">
        <v>152421</v>
      </c>
      <c r="AZ143" s="267">
        <v>16</v>
      </c>
      <c r="BA143" s="268">
        <v>181056</v>
      </c>
      <c r="BB143" s="252"/>
      <c r="BC143" s="253"/>
      <c r="BD143" s="267"/>
      <c r="BE143" s="268"/>
      <c r="BF143" s="252">
        <v>17</v>
      </c>
      <c r="BG143" s="253">
        <v>70672</v>
      </c>
      <c r="BH143" s="267">
        <v>20</v>
      </c>
      <c r="BI143" s="268">
        <v>75605</v>
      </c>
      <c r="BJ143" s="252">
        <v>17</v>
      </c>
      <c r="BK143" s="315">
        <f t="shared" si="25"/>
        <v>1568.25</v>
      </c>
      <c r="BL143" s="267">
        <v>20</v>
      </c>
      <c r="BM143" s="268">
        <f t="shared" si="30"/>
        <v>2820</v>
      </c>
      <c r="BN143" s="252">
        <v>17</v>
      </c>
      <c r="BO143" s="253">
        <v>4080</v>
      </c>
      <c r="BP143" s="267">
        <v>20</v>
      </c>
      <c r="BQ143" s="268">
        <v>3780</v>
      </c>
      <c r="BR143" s="252">
        <v>17</v>
      </c>
      <c r="BS143" s="315">
        <f t="shared" si="26"/>
        <v>1122</v>
      </c>
      <c r="BT143" s="267">
        <v>20</v>
      </c>
      <c r="BU143" s="268">
        <f t="shared" si="31"/>
        <v>2580</v>
      </c>
      <c r="BV143" s="252"/>
      <c r="BW143" s="253"/>
      <c r="BX143" s="267"/>
      <c r="BY143" s="268"/>
      <c r="BZ143" s="252"/>
      <c r="CA143" s="253"/>
      <c r="CB143" s="267"/>
      <c r="CC143" s="268"/>
      <c r="CD143" s="255">
        <f t="shared" si="36"/>
        <v>34</v>
      </c>
      <c r="CE143" s="256">
        <f t="shared" si="37"/>
        <v>455817.25</v>
      </c>
      <c r="CF143" s="257">
        <f t="shared" si="38"/>
        <v>20</v>
      </c>
      <c r="CG143" s="261">
        <f t="shared" si="39"/>
        <v>377111</v>
      </c>
    </row>
    <row r="144" spans="1:85" s="263" customFormat="1" ht="12.75" customHeight="1">
      <c r="A144" s="311" t="s">
        <v>45</v>
      </c>
      <c r="B144" s="318" t="s">
        <v>777</v>
      </c>
      <c r="C144" s="318"/>
      <c r="D144" s="319">
        <v>139250</v>
      </c>
      <c r="E144" s="320">
        <v>9</v>
      </c>
      <c r="F144" s="252">
        <v>57</v>
      </c>
      <c r="G144" s="253">
        <v>271043</v>
      </c>
      <c r="H144" s="276">
        <v>70</v>
      </c>
      <c r="I144" s="276">
        <v>343322</v>
      </c>
      <c r="J144" s="252">
        <v>45</v>
      </c>
      <c r="K144" s="253">
        <v>337394</v>
      </c>
      <c r="L144" s="276">
        <v>54</v>
      </c>
      <c r="M144" s="276">
        <v>414228</v>
      </c>
      <c r="N144" s="252"/>
      <c r="O144" s="253"/>
      <c r="P144" s="276"/>
      <c r="Q144" s="314"/>
      <c r="R144" s="252">
        <v>60</v>
      </c>
      <c r="S144" s="253">
        <v>139494</v>
      </c>
      <c r="T144" s="276">
        <v>70</v>
      </c>
      <c r="U144" s="276">
        <v>161088</v>
      </c>
      <c r="V144" s="252">
        <v>60</v>
      </c>
      <c r="W144" s="315">
        <f t="shared" si="24"/>
        <v>5535</v>
      </c>
      <c r="X144" s="276">
        <v>70</v>
      </c>
      <c r="Y144" s="268">
        <f t="shared" si="27"/>
        <v>9870</v>
      </c>
      <c r="Z144" s="252">
        <v>60</v>
      </c>
      <c r="AA144" s="253">
        <v>10800</v>
      </c>
      <c r="AB144" s="276">
        <v>70</v>
      </c>
      <c r="AC144" s="276">
        <v>12600</v>
      </c>
      <c r="AD144" s="252">
        <v>60</v>
      </c>
      <c r="AE144" s="315">
        <f t="shared" si="28"/>
        <v>3960</v>
      </c>
      <c r="AF144" s="276">
        <v>70</v>
      </c>
      <c r="AG144" s="268">
        <f t="shared" si="29"/>
        <v>9030</v>
      </c>
      <c r="AH144" s="252"/>
      <c r="AI144" s="253"/>
      <c r="AJ144" s="267"/>
      <c r="AK144" s="268"/>
      <c r="AL144" s="252"/>
      <c r="AM144" s="253"/>
      <c r="AN144" s="276"/>
      <c r="AO144" s="276"/>
      <c r="AP144" s="255">
        <f t="shared" si="32"/>
        <v>60</v>
      </c>
      <c r="AQ144" s="256">
        <f t="shared" si="33"/>
        <v>768226</v>
      </c>
      <c r="AR144" s="257">
        <f t="shared" si="34"/>
        <v>70</v>
      </c>
      <c r="AS144" s="258">
        <f t="shared" si="35"/>
        <v>950138</v>
      </c>
      <c r="AT144" s="259">
        <v>11</v>
      </c>
      <c r="AU144" s="253">
        <v>61252</v>
      </c>
      <c r="AV144" s="267">
        <v>14</v>
      </c>
      <c r="AW144" s="268">
        <v>91192</v>
      </c>
      <c r="AX144" s="252">
        <v>8</v>
      </c>
      <c r="AY144" s="253">
        <v>58736</v>
      </c>
      <c r="AZ144" s="267">
        <v>11</v>
      </c>
      <c r="BA144" s="268">
        <v>82236</v>
      </c>
      <c r="BB144" s="252"/>
      <c r="BC144" s="253"/>
      <c r="BD144" s="267"/>
      <c r="BE144" s="268"/>
      <c r="BF144" s="252">
        <v>11</v>
      </c>
      <c r="BG144" s="253">
        <v>29616</v>
      </c>
      <c r="BH144" s="267">
        <v>14</v>
      </c>
      <c r="BI144" s="268">
        <v>43741</v>
      </c>
      <c r="BJ144" s="252">
        <v>11</v>
      </c>
      <c r="BK144" s="315">
        <f t="shared" si="25"/>
        <v>1014.75</v>
      </c>
      <c r="BL144" s="267">
        <v>14</v>
      </c>
      <c r="BM144" s="268">
        <f t="shared" si="30"/>
        <v>1974</v>
      </c>
      <c r="BN144" s="252">
        <v>11</v>
      </c>
      <c r="BO144" s="253">
        <v>1980</v>
      </c>
      <c r="BP144" s="267">
        <v>14</v>
      </c>
      <c r="BQ144" s="268">
        <v>2520</v>
      </c>
      <c r="BR144" s="252">
        <v>11</v>
      </c>
      <c r="BS144" s="315">
        <f t="shared" si="26"/>
        <v>726</v>
      </c>
      <c r="BT144" s="267">
        <v>14</v>
      </c>
      <c r="BU144" s="268">
        <f t="shared" si="31"/>
        <v>1806</v>
      </c>
      <c r="BV144" s="252"/>
      <c r="BW144" s="253"/>
      <c r="BX144" s="267"/>
      <c r="BY144" s="268"/>
      <c r="BZ144" s="252"/>
      <c r="CA144" s="253"/>
      <c r="CB144" s="267"/>
      <c r="CC144" s="268"/>
      <c r="CD144" s="255">
        <f t="shared" si="36"/>
        <v>11</v>
      </c>
      <c r="CE144" s="256">
        <f t="shared" si="37"/>
        <v>153324.75</v>
      </c>
      <c r="CF144" s="257">
        <f t="shared" si="38"/>
        <v>14</v>
      </c>
      <c r="CG144" s="261">
        <f t="shared" si="39"/>
        <v>223469</v>
      </c>
    </row>
    <row r="145" spans="1:86" s="263" customFormat="1" ht="12.75" customHeight="1">
      <c r="A145" s="311" t="s">
        <v>45</v>
      </c>
      <c r="B145" s="318" t="s">
        <v>67</v>
      </c>
      <c r="C145" s="318"/>
      <c r="D145" s="311">
        <v>138691</v>
      </c>
      <c r="E145" s="313">
        <v>9</v>
      </c>
      <c r="F145" s="252">
        <v>91</v>
      </c>
      <c r="G145" s="253">
        <v>393239</v>
      </c>
      <c r="H145" s="276">
        <v>93</v>
      </c>
      <c r="I145" s="276">
        <v>420350</v>
      </c>
      <c r="J145" s="252">
        <v>76</v>
      </c>
      <c r="K145" s="253">
        <v>483587</v>
      </c>
      <c r="L145" s="276">
        <v>76</v>
      </c>
      <c r="M145" s="276">
        <v>529226</v>
      </c>
      <c r="N145" s="252"/>
      <c r="O145" s="253"/>
      <c r="P145" s="276"/>
      <c r="Q145" s="314"/>
      <c r="R145" s="252">
        <v>91</v>
      </c>
      <c r="S145" s="253">
        <v>316660</v>
      </c>
      <c r="T145" s="276">
        <v>93</v>
      </c>
      <c r="U145" s="276">
        <v>324677</v>
      </c>
      <c r="V145" s="252">
        <v>91</v>
      </c>
      <c r="W145" s="315">
        <f t="shared" si="24"/>
        <v>8394.75</v>
      </c>
      <c r="X145" s="276">
        <v>93</v>
      </c>
      <c r="Y145" s="268">
        <f t="shared" si="27"/>
        <v>13113</v>
      </c>
      <c r="Z145" s="252">
        <v>91</v>
      </c>
      <c r="AA145" s="253">
        <v>13680</v>
      </c>
      <c r="AB145" s="276">
        <v>93</v>
      </c>
      <c r="AC145" s="276">
        <v>16740</v>
      </c>
      <c r="AD145" s="252">
        <v>91</v>
      </c>
      <c r="AE145" s="315">
        <f t="shared" si="28"/>
        <v>6006</v>
      </c>
      <c r="AF145" s="276">
        <v>93</v>
      </c>
      <c r="AG145" s="268">
        <f t="shared" si="29"/>
        <v>11997</v>
      </c>
      <c r="AH145" s="252"/>
      <c r="AI145" s="253"/>
      <c r="AJ145" s="267"/>
      <c r="AK145" s="268"/>
      <c r="AL145" s="252"/>
      <c r="AM145" s="253"/>
      <c r="AN145" s="276"/>
      <c r="AO145" s="276"/>
      <c r="AP145" s="255">
        <f t="shared" si="32"/>
        <v>91</v>
      </c>
      <c r="AQ145" s="256">
        <f t="shared" si="33"/>
        <v>1221566.75</v>
      </c>
      <c r="AR145" s="257">
        <f t="shared" si="34"/>
        <v>93</v>
      </c>
      <c r="AS145" s="258">
        <f t="shared" si="35"/>
        <v>1316103</v>
      </c>
      <c r="AT145" s="259">
        <v>27</v>
      </c>
      <c r="AU145" s="253">
        <v>142852</v>
      </c>
      <c r="AV145" s="267">
        <v>28</v>
      </c>
      <c r="AW145" s="268">
        <v>149561</v>
      </c>
      <c r="AX145" s="252">
        <v>22</v>
      </c>
      <c r="AY145" s="253">
        <v>180117</v>
      </c>
      <c r="AZ145" s="267">
        <v>24</v>
      </c>
      <c r="BA145" s="268">
        <v>208781</v>
      </c>
      <c r="BB145" s="252"/>
      <c r="BC145" s="253"/>
      <c r="BD145" s="267"/>
      <c r="BE145" s="268"/>
      <c r="BF145" s="252">
        <v>27</v>
      </c>
      <c r="BG145" s="253">
        <v>115034</v>
      </c>
      <c r="BH145" s="267">
        <v>28</v>
      </c>
      <c r="BI145" s="268">
        <v>117978</v>
      </c>
      <c r="BJ145" s="252">
        <v>27</v>
      </c>
      <c r="BK145" s="315">
        <f t="shared" si="25"/>
        <v>2490.75</v>
      </c>
      <c r="BL145" s="267">
        <v>28</v>
      </c>
      <c r="BM145" s="268">
        <f t="shared" si="30"/>
        <v>3948</v>
      </c>
      <c r="BN145" s="252">
        <v>27</v>
      </c>
      <c r="BO145" s="253">
        <v>4860</v>
      </c>
      <c r="BP145" s="267">
        <v>27</v>
      </c>
      <c r="BQ145" s="268">
        <v>4860</v>
      </c>
      <c r="BR145" s="252">
        <v>27</v>
      </c>
      <c r="BS145" s="315">
        <f t="shared" si="26"/>
        <v>1782</v>
      </c>
      <c r="BT145" s="267">
        <v>28</v>
      </c>
      <c r="BU145" s="268">
        <f t="shared" si="31"/>
        <v>3612</v>
      </c>
      <c r="BV145" s="252"/>
      <c r="BW145" s="253"/>
      <c r="BX145" s="267"/>
      <c r="BY145" s="268"/>
      <c r="BZ145" s="252"/>
      <c r="CA145" s="253"/>
      <c r="CB145" s="267"/>
      <c r="CC145" s="268"/>
      <c r="CD145" s="255">
        <f t="shared" si="36"/>
        <v>27</v>
      </c>
      <c r="CE145" s="256">
        <f t="shared" si="37"/>
        <v>447135.75</v>
      </c>
      <c r="CF145" s="257">
        <f t="shared" si="38"/>
        <v>28</v>
      </c>
      <c r="CG145" s="261">
        <f t="shared" si="39"/>
        <v>488740</v>
      </c>
    </row>
    <row r="146" spans="1:86" s="263" customFormat="1" ht="12.75" customHeight="1">
      <c r="A146" s="319" t="s">
        <v>45</v>
      </c>
      <c r="B146" s="489" t="s">
        <v>68</v>
      </c>
      <c r="C146" s="490" t="s">
        <v>1221</v>
      </c>
      <c r="D146" s="319">
        <v>139773</v>
      </c>
      <c r="E146" s="491">
        <v>7</v>
      </c>
      <c r="F146" s="252">
        <v>185</v>
      </c>
      <c r="G146" s="253">
        <v>781995</v>
      </c>
      <c r="H146" s="276">
        <v>193</v>
      </c>
      <c r="I146" s="276">
        <v>861414</v>
      </c>
      <c r="J146" s="252">
        <v>147</v>
      </c>
      <c r="K146" s="253">
        <v>936115</v>
      </c>
      <c r="L146" s="276">
        <v>160</v>
      </c>
      <c r="M146" s="276">
        <v>1102712</v>
      </c>
      <c r="N146" s="252"/>
      <c r="O146" s="253"/>
      <c r="P146" s="276"/>
      <c r="Q146" s="314"/>
      <c r="R146" s="252">
        <v>180</v>
      </c>
      <c r="S146" s="253">
        <v>598185</v>
      </c>
      <c r="T146" s="276">
        <v>193</v>
      </c>
      <c r="U146" s="276">
        <v>643983</v>
      </c>
      <c r="V146" s="252">
        <v>180</v>
      </c>
      <c r="W146" s="315">
        <f t="shared" si="24"/>
        <v>16605</v>
      </c>
      <c r="X146" s="276">
        <v>193</v>
      </c>
      <c r="Y146" s="268">
        <f t="shared" si="27"/>
        <v>27213</v>
      </c>
      <c r="Z146" s="252">
        <v>180</v>
      </c>
      <c r="AA146" s="253">
        <v>2700</v>
      </c>
      <c r="AB146" s="276">
        <v>193</v>
      </c>
      <c r="AC146" s="276">
        <v>34740</v>
      </c>
      <c r="AD146" s="252">
        <v>180</v>
      </c>
      <c r="AE146" s="315">
        <f t="shared" si="28"/>
        <v>11880</v>
      </c>
      <c r="AF146" s="276">
        <v>193</v>
      </c>
      <c r="AG146" s="268">
        <f t="shared" si="29"/>
        <v>24897</v>
      </c>
      <c r="AH146" s="252"/>
      <c r="AI146" s="253"/>
      <c r="AJ146" s="267"/>
      <c r="AK146" s="268"/>
      <c r="AL146" s="252"/>
      <c r="AM146" s="253"/>
      <c r="AN146" s="276"/>
      <c r="AO146" s="276"/>
      <c r="AP146" s="255">
        <f t="shared" si="32"/>
        <v>185</v>
      </c>
      <c r="AQ146" s="256">
        <f t="shared" si="33"/>
        <v>2347480</v>
      </c>
      <c r="AR146" s="257">
        <f t="shared" si="34"/>
        <v>193</v>
      </c>
      <c r="AS146" s="258">
        <f t="shared" si="35"/>
        <v>2694959</v>
      </c>
      <c r="AT146" s="259">
        <v>11</v>
      </c>
      <c r="AU146" s="253">
        <v>58689</v>
      </c>
      <c r="AV146" s="267">
        <v>11</v>
      </c>
      <c r="AW146" s="268">
        <v>65716</v>
      </c>
      <c r="AX146" s="252">
        <v>9</v>
      </c>
      <c r="AY146" s="253">
        <v>69039</v>
      </c>
      <c r="AZ146" s="267">
        <v>9</v>
      </c>
      <c r="BA146" s="268">
        <v>63912</v>
      </c>
      <c r="BB146" s="252"/>
      <c r="BC146" s="253"/>
      <c r="BD146" s="267"/>
      <c r="BE146" s="268"/>
      <c r="BF146" s="252">
        <v>11</v>
      </c>
      <c r="BG146" s="253">
        <v>34504</v>
      </c>
      <c r="BH146" s="267">
        <v>11</v>
      </c>
      <c r="BI146" s="268">
        <v>39157</v>
      </c>
      <c r="BJ146" s="252">
        <v>11</v>
      </c>
      <c r="BK146" s="315">
        <f t="shared" si="25"/>
        <v>1014.75</v>
      </c>
      <c r="BL146" s="267">
        <v>11</v>
      </c>
      <c r="BM146" s="268">
        <f t="shared" si="30"/>
        <v>1551</v>
      </c>
      <c r="BN146" s="252">
        <v>11</v>
      </c>
      <c r="BO146" s="253">
        <v>165</v>
      </c>
      <c r="BP146" s="267">
        <v>11</v>
      </c>
      <c r="BQ146" s="268">
        <v>1980</v>
      </c>
      <c r="BR146" s="252">
        <v>11</v>
      </c>
      <c r="BS146" s="315">
        <f t="shared" si="26"/>
        <v>726</v>
      </c>
      <c r="BT146" s="267">
        <v>11</v>
      </c>
      <c r="BU146" s="268">
        <f t="shared" si="31"/>
        <v>1419</v>
      </c>
      <c r="BV146" s="252"/>
      <c r="BW146" s="253"/>
      <c r="BX146" s="267"/>
      <c r="BY146" s="268"/>
      <c r="BZ146" s="252"/>
      <c r="CA146" s="253"/>
      <c r="CB146" s="267"/>
      <c r="CC146" s="268"/>
      <c r="CD146" s="255">
        <f t="shared" si="36"/>
        <v>11</v>
      </c>
      <c r="CE146" s="256">
        <f t="shared" si="37"/>
        <v>164137.75</v>
      </c>
      <c r="CF146" s="257">
        <f t="shared" si="38"/>
        <v>11</v>
      </c>
      <c r="CG146" s="261">
        <f t="shared" si="39"/>
        <v>173735</v>
      </c>
    </row>
    <row r="147" spans="1:86" s="263" customFormat="1" ht="12.75" customHeight="1">
      <c r="A147" s="319" t="s">
        <v>45</v>
      </c>
      <c r="B147" s="321" t="s">
        <v>998</v>
      </c>
      <c r="C147" s="321"/>
      <c r="D147" s="319">
        <v>139700</v>
      </c>
      <c r="E147" s="320">
        <v>9</v>
      </c>
      <c r="F147" s="252">
        <v>94</v>
      </c>
      <c r="G147" s="253">
        <v>413706</v>
      </c>
      <c r="H147" s="276">
        <v>133</v>
      </c>
      <c r="I147" s="276">
        <v>596308</v>
      </c>
      <c r="J147" s="252">
        <v>76</v>
      </c>
      <c r="K147" s="253">
        <v>347168</v>
      </c>
      <c r="L147" s="276">
        <v>101</v>
      </c>
      <c r="M147" s="276">
        <v>550968</v>
      </c>
      <c r="N147" s="252"/>
      <c r="O147" s="253"/>
      <c r="P147" s="276"/>
      <c r="Q147" s="314"/>
      <c r="R147" s="252">
        <v>93</v>
      </c>
      <c r="S147" s="253">
        <v>333126</v>
      </c>
      <c r="T147" s="276">
        <v>132</v>
      </c>
      <c r="U147" s="276">
        <v>421434</v>
      </c>
      <c r="V147" s="252">
        <v>93</v>
      </c>
      <c r="W147" s="315">
        <f t="shared" si="24"/>
        <v>8579.25</v>
      </c>
      <c r="X147" s="276">
        <v>133</v>
      </c>
      <c r="Y147" s="268">
        <f t="shared" si="27"/>
        <v>18753</v>
      </c>
      <c r="Z147" s="252">
        <v>93</v>
      </c>
      <c r="AA147" s="253">
        <v>17205</v>
      </c>
      <c r="AB147" s="276">
        <v>132</v>
      </c>
      <c r="AC147" s="276">
        <v>23760</v>
      </c>
      <c r="AD147" s="252">
        <v>93</v>
      </c>
      <c r="AE147" s="315">
        <f t="shared" si="28"/>
        <v>6138</v>
      </c>
      <c r="AF147" s="276">
        <v>133</v>
      </c>
      <c r="AG147" s="268">
        <f t="shared" si="29"/>
        <v>17157</v>
      </c>
      <c r="AH147" s="252"/>
      <c r="AI147" s="253"/>
      <c r="AJ147" s="267"/>
      <c r="AK147" s="268"/>
      <c r="AL147" s="252"/>
      <c r="AM147" s="253"/>
      <c r="AN147" s="276"/>
      <c r="AO147" s="276"/>
      <c r="AP147" s="255">
        <f t="shared" si="32"/>
        <v>94</v>
      </c>
      <c r="AQ147" s="256">
        <f t="shared" si="33"/>
        <v>1125922.25</v>
      </c>
      <c r="AR147" s="257">
        <f t="shared" si="34"/>
        <v>133</v>
      </c>
      <c r="AS147" s="258">
        <f t="shared" si="35"/>
        <v>1628380</v>
      </c>
      <c r="AT147" s="259">
        <v>5</v>
      </c>
      <c r="AU147" s="253">
        <v>29004</v>
      </c>
      <c r="AV147" s="267">
        <v>1</v>
      </c>
      <c r="AW147" s="268">
        <v>550</v>
      </c>
      <c r="AX147" s="252">
        <v>4</v>
      </c>
      <c r="AY147" s="253">
        <v>17740</v>
      </c>
      <c r="AZ147" s="267">
        <v>1</v>
      </c>
      <c r="BA147" s="268">
        <v>12337</v>
      </c>
      <c r="BB147" s="252"/>
      <c r="BC147" s="253"/>
      <c r="BD147" s="267"/>
      <c r="BE147" s="268"/>
      <c r="BF147" s="252">
        <v>5</v>
      </c>
      <c r="BG147" s="253">
        <v>26710</v>
      </c>
      <c r="BH147" s="267">
        <v>1</v>
      </c>
      <c r="BI147" s="268">
        <v>3900</v>
      </c>
      <c r="BJ147" s="252">
        <v>5</v>
      </c>
      <c r="BK147" s="315">
        <f t="shared" si="25"/>
        <v>461.25</v>
      </c>
      <c r="BL147" s="267">
        <v>1</v>
      </c>
      <c r="BM147" s="268">
        <f t="shared" si="30"/>
        <v>141</v>
      </c>
      <c r="BN147" s="252">
        <v>5</v>
      </c>
      <c r="BO147" s="253">
        <v>920</v>
      </c>
      <c r="BP147" s="267">
        <v>1</v>
      </c>
      <c r="BQ147" s="268">
        <v>180</v>
      </c>
      <c r="BR147" s="252">
        <v>5</v>
      </c>
      <c r="BS147" s="315">
        <f t="shared" si="26"/>
        <v>330</v>
      </c>
      <c r="BT147" s="267">
        <v>1</v>
      </c>
      <c r="BU147" s="268">
        <f t="shared" si="31"/>
        <v>129</v>
      </c>
      <c r="BV147" s="252"/>
      <c r="BW147" s="253"/>
      <c r="BX147" s="267"/>
      <c r="BY147" s="268"/>
      <c r="BZ147" s="252"/>
      <c r="CA147" s="253"/>
      <c r="CB147" s="267"/>
      <c r="CC147" s="268"/>
      <c r="CD147" s="255">
        <f t="shared" si="36"/>
        <v>5</v>
      </c>
      <c r="CE147" s="256">
        <f t="shared" si="37"/>
        <v>75165.25</v>
      </c>
      <c r="CF147" s="257">
        <f t="shared" si="38"/>
        <v>1</v>
      </c>
      <c r="CG147" s="261">
        <f t="shared" si="39"/>
        <v>17237</v>
      </c>
    </row>
    <row r="148" spans="1:86" s="263" customFormat="1" ht="12.75" customHeight="1">
      <c r="A148" s="311" t="s">
        <v>45</v>
      </c>
      <c r="B148" s="487" t="s">
        <v>69</v>
      </c>
      <c r="C148" s="492" t="s">
        <v>1223</v>
      </c>
      <c r="D148" s="311">
        <v>139968</v>
      </c>
      <c r="E148" s="313">
        <v>9</v>
      </c>
      <c r="F148" s="252">
        <v>112</v>
      </c>
      <c r="G148" s="253">
        <v>544676</v>
      </c>
      <c r="H148" s="267">
        <v>115</v>
      </c>
      <c r="I148" s="268">
        <v>586042</v>
      </c>
      <c r="J148" s="252">
        <v>94</v>
      </c>
      <c r="K148" s="253">
        <v>519071</v>
      </c>
      <c r="L148" s="267">
        <v>93</v>
      </c>
      <c r="M148" s="268">
        <v>563405</v>
      </c>
      <c r="N148" s="252"/>
      <c r="O148" s="253"/>
      <c r="P148" s="267"/>
      <c r="Q148" s="268"/>
      <c r="R148" s="252">
        <v>114</v>
      </c>
      <c r="S148" s="253">
        <v>359380</v>
      </c>
      <c r="T148" s="267">
        <v>115</v>
      </c>
      <c r="U148" s="268">
        <v>457195</v>
      </c>
      <c r="V148" s="252">
        <v>114</v>
      </c>
      <c r="W148" s="315">
        <f t="shared" si="24"/>
        <v>10516.5</v>
      </c>
      <c r="X148" s="267">
        <v>115</v>
      </c>
      <c r="Y148" s="268">
        <f t="shared" si="27"/>
        <v>16215</v>
      </c>
      <c r="Z148" s="252">
        <v>114</v>
      </c>
      <c r="AA148" s="253">
        <v>17100</v>
      </c>
      <c r="AB148" s="267">
        <v>115</v>
      </c>
      <c r="AC148" s="268">
        <v>17250</v>
      </c>
      <c r="AD148" s="252">
        <v>114</v>
      </c>
      <c r="AE148" s="315">
        <f t="shared" si="28"/>
        <v>7524</v>
      </c>
      <c r="AF148" s="267">
        <v>115</v>
      </c>
      <c r="AG148" s="268">
        <f t="shared" si="29"/>
        <v>14835</v>
      </c>
      <c r="AH148" s="252"/>
      <c r="AI148" s="253"/>
      <c r="AJ148" s="267"/>
      <c r="AK148" s="268"/>
      <c r="AL148" s="252"/>
      <c r="AM148" s="253"/>
      <c r="AN148" s="267"/>
      <c r="AO148" s="268"/>
      <c r="AP148" s="255">
        <f t="shared" si="32"/>
        <v>114</v>
      </c>
      <c r="AQ148" s="256">
        <f t="shared" si="33"/>
        <v>1458267.5</v>
      </c>
      <c r="AR148" s="257">
        <f t="shared" si="34"/>
        <v>115</v>
      </c>
      <c r="AS148" s="258">
        <f t="shared" si="35"/>
        <v>1654942</v>
      </c>
      <c r="AT148" s="259"/>
      <c r="AU148" s="253"/>
      <c r="AV148" s="267"/>
      <c r="AW148" s="268"/>
      <c r="AX148" s="252"/>
      <c r="AY148" s="253"/>
      <c r="AZ148" s="267"/>
      <c r="BA148" s="268"/>
      <c r="BB148" s="252"/>
      <c r="BC148" s="253"/>
      <c r="BD148" s="267"/>
      <c r="BE148" s="268"/>
      <c r="BF148" s="252"/>
      <c r="BG148" s="253"/>
      <c r="BH148" s="267"/>
      <c r="BI148" s="268"/>
      <c r="BJ148" s="252"/>
      <c r="BK148" s="315">
        <f t="shared" si="25"/>
        <v>0</v>
      </c>
      <c r="BL148" s="267"/>
      <c r="BM148" s="268">
        <f t="shared" si="30"/>
        <v>0</v>
      </c>
      <c r="BN148" s="252"/>
      <c r="BO148" s="253"/>
      <c r="BP148" s="267"/>
      <c r="BQ148" s="268"/>
      <c r="BR148" s="252"/>
      <c r="BS148" s="315">
        <f t="shared" si="26"/>
        <v>0</v>
      </c>
      <c r="BT148" s="267"/>
      <c r="BU148" s="268">
        <f t="shared" si="31"/>
        <v>0</v>
      </c>
      <c r="BV148" s="252"/>
      <c r="BW148" s="253"/>
      <c r="BX148" s="267"/>
      <c r="BY148" s="268"/>
      <c r="BZ148" s="252"/>
      <c r="CA148" s="253"/>
      <c r="CB148" s="267"/>
      <c r="CC148" s="268"/>
      <c r="CD148" s="255">
        <f t="shared" si="36"/>
        <v>0</v>
      </c>
      <c r="CE148" s="256">
        <f t="shared" si="37"/>
        <v>0</v>
      </c>
      <c r="CF148" s="257">
        <f t="shared" si="38"/>
        <v>0</v>
      </c>
      <c r="CG148" s="261">
        <f t="shared" si="39"/>
        <v>0</v>
      </c>
    </row>
    <row r="149" spans="1:86" s="263" customFormat="1" ht="12.75" customHeight="1">
      <c r="A149" s="311" t="s">
        <v>45</v>
      </c>
      <c r="B149" s="321" t="s">
        <v>70</v>
      </c>
      <c r="C149" s="321"/>
      <c r="D149" s="311">
        <v>140483</v>
      </c>
      <c r="E149" s="313">
        <v>9</v>
      </c>
      <c r="F149" s="252">
        <v>91</v>
      </c>
      <c r="G149" s="253">
        <v>471460</v>
      </c>
      <c r="H149" s="267">
        <v>90</v>
      </c>
      <c r="I149" s="268">
        <v>482347</v>
      </c>
      <c r="J149" s="252">
        <v>73</v>
      </c>
      <c r="K149" s="253">
        <v>483340</v>
      </c>
      <c r="L149" s="267">
        <v>72</v>
      </c>
      <c r="M149" s="268">
        <v>519393</v>
      </c>
      <c r="N149" s="252"/>
      <c r="O149" s="253"/>
      <c r="P149" s="267"/>
      <c r="Q149" s="268"/>
      <c r="R149" s="252">
        <v>91</v>
      </c>
      <c r="S149" s="253">
        <v>320497</v>
      </c>
      <c r="T149" s="267">
        <v>91</v>
      </c>
      <c r="U149" s="268">
        <v>321709</v>
      </c>
      <c r="V149" s="252">
        <v>91</v>
      </c>
      <c r="W149" s="315">
        <f t="shared" si="24"/>
        <v>8394.75</v>
      </c>
      <c r="X149" s="267">
        <v>91</v>
      </c>
      <c r="Y149" s="268">
        <f t="shared" si="27"/>
        <v>12831</v>
      </c>
      <c r="Z149" s="252">
        <v>91</v>
      </c>
      <c r="AA149" s="253">
        <v>16371</v>
      </c>
      <c r="AB149" s="267">
        <v>91</v>
      </c>
      <c r="AC149" s="268">
        <v>16380</v>
      </c>
      <c r="AD149" s="252">
        <v>91</v>
      </c>
      <c r="AE149" s="315">
        <f t="shared" si="28"/>
        <v>6006</v>
      </c>
      <c r="AF149" s="267">
        <v>91</v>
      </c>
      <c r="AG149" s="268">
        <f t="shared" si="29"/>
        <v>11739</v>
      </c>
      <c r="AH149" s="252"/>
      <c r="AI149" s="253"/>
      <c r="AJ149" s="267"/>
      <c r="AK149" s="268"/>
      <c r="AL149" s="252"/>
      <c r="AM149" s="253"/>
      <c r="AN149" s="267"/>
      <c r="AO149" s="268"/>
      <c r="AP149" s="255">
        <f t="shared" si="32"/>
        <v>91</v>
      </c>
      <c r="AQ149" s="256">
        <f t="shared" si="33"/>
        <v>1306068.75</v>
      </c>
      <c r="AR149" s="257">
        <f t="shared" si="34"/>
        <v>91</v>
      </c>
      <c r="AS149" s="258">
        <f t="shared" si="35"/>
        <v>1364399</v>
      </c>
      <c r="AT149" s="259">
        <v>22</v>
      </c>
      <c r="AU149" s="253">
        <v>104582</v>
      </c>
      <c r="AV149" s="267">
        <v>19</v>
      </c>
      <c r="AW149" s="268">
        <v>102570</v>
      </c>
      <c r="AX149" s="252">
        <v>9</v>
      </c>
      <c r="AY149" s="253">
        <v>75585</v>
      </c>
      <c r="AZ149" s="267">
        <v>12</v>
      </c>
      <c r="BA149" s="268">
        <v>73579</v>
      </c>
      <c r="BB149" s="252"/>
      <c r="BC149" s="253"/>
      <c r="BD149" s="267"/>
      <c r="BE149" s="268"/>
      <c r="BF149" s="252">
        <v>22</v>
      </c>
      <c r="BG149" s="253">
        <v>86619</v>
      </c>
      <c r="BH149" s="267">
        <v>19</v>
      </c>
      <c r="BI149" s="268">
        <v>79465</v>
      </c>
      <c r="BJ149" s="252">
        <v>22</v>
      </c>
      <c r="BK149" s="315">
        <f t="shared" si="25"/>
        <v>2029.5</v>
      </c>
      <c r="BL149" s="267">
        <v>19</v>
      </c>
      <c r="BM149" s="268">
        <f t="shared" si="30"/>
        <v>2679</v>
      </c>
      <c r="BN149" s="252">
        <v>22</v>
      </c>
      <c r="BO149" s="253">
        <v>3960</v>
      </c>
      <c r="BP149" s="267">
        <v>19</v>
      </c>
      <c r="BQ149" s="268">
        <v>3420</v>
      </c>
      <c r="BR149" s="252">
        <v>22</v>
      </c>
      <c r="BS149" s="315">
        <f t="shared" si="26"/>
        <v>1452</v>
      </c>
      <c r="BT149" s="267">
        <v>19</v>
      </c>
      <c r="BU149" s="268">
        <f t="shared" si="31"/>
        <v>2451</v>
      </c>
      <c r="BV149" s="252"/>
      <c r="BW149" s="253"/>
      <c r="BX149" s="267"/>
      <c r="BY149" s="268"/>
      <c r="BZ149" s="252"/>
      <c r="CA149" s="253"/>
      <c r="CB149" s="267"/>
      <c r="CC149" s="268"/>
      <c r="CD149" s="255">
        <f t="shared" si="36"/>
        <v>22</v>
      </c>
      <c r="CE149" s="256">
        <f t="shared" si="37"/>
        <v>274227.5</v>
      </c>
      <c r="CF149" s="257">
        <f t="shared" si="38"/>
        <v>19</v>
      </c>
      <c r="CG149" s="261">
        <f t="shared" si="39"/>
        <v>264164</v>
      </c>
    </row>
    <row r="150" spans="1:86" s="263" customFormat="1" ht="12.75" customHeight="1">
      <c r="A150" s="311" t="s">
        <v>45</v>
      </c>
      <c r="B150" s="487" t="s">
        <v>71</v>
      </c>
      <c r="C150" s="492" t="s">
        <v>1224</v>
      </c>
      <c r="D150" s="311">
        <v>138901</v>
      </c>
      <c r="E150" s="313">
        <v>10</v>
      </c>
      <c r="F150" s="252">
        <v>44</v>
      </c>
      <c r="G150" s="253">
        <v>207172</v>
      </c>
      <c r="H150" s="267">
        <v>53</v>
      </c>
      <c r="I150" s="268">
        <v>245276</v>
      </c>
      <c r="J150" s="252">
        <v>38</v>
      </c>
      <c r="K150" s="253">
        <v>188146</v>
      </c>
      <c r="L150" s="267">
        <v>39</v>
      </c>
      <c r="M150" s="268">
        <v>246997</v>
      </c>
      <c r="N150" s="252"/>
      <c r="O150" s="253"/>
      <c r="P150" s="267"/>
      <c r="Q150" s="268"/>
      <c r="R150" s="252">
        <v>44</v>
      </c>
      <c r="S150" s="253">
        <v>172143</v>
      </c>
      <c r="T150" s="267">
        <v>53</v>
      </c>
      <c r="U150" s="268">
        <v>186355</v>
      </c>
      <c r="V150" s="252">
        <v>44</v>
      </c>
      <c r="W150" s="315">
        <f t="shared" si="24"/>
        <v>4059</v>
      </c>
      <c r="X150" s="267">
        <v>53</v>
      </c>
      <c r="Y150" s="268">
        <f t="shared" si="27"/>
        <v>7473</v>
      </c>
      <c r="Z150" s="252">
        <v>44</v>
      </c>
      <c r="AA150" s="253">
        <v>7440</v>
      </c>
      <c r="AB150" s="267">
        <v>53</v>
      </c>
      <c r="AC150" s="268">
        <v>7920</v>
      </c>
      <c r="AD150" s="252">
        <v>44</v>
      </c>
      <c r="AE150" s="315">
        <f t="shared" si="28"/>
        <v>2904</v>
      </c>
      <c r="AF150" s="267">
        <v>53</v>
      </c>
      <c r="AG150" s="268">
        <f t="shared" si="29"/>
        <v>6837</v>
      </c>
      <c r="AH150" s="252"/>
      <c r="AI150" s="253"/>
      <c r="AJ150" s="267"/>
      <c r="AK150" s="268"/>
      <c r="AL150" s="252"/>
      <c r="AM150" s="253"/>
      <c r="AN150" s="267"/>
      <c r="AO150" s="268"/>
      <c r="AP150" s="255">
        <f t="shared" si="32"/>
        <v>44</v>
      </c>
      <c r="AQ150" s="256">
        <f t="shared" si="33"/>
        <v>581864</v>
      </c>
      <c r="AR150" s="257">
        <f t="shared" si="34"/>
        <v>53</v>
      </c>
      <c r="AS150" s="258">
        <f t="shared" si="35"/>
        <v>700858</v>
      </c>
      <c r="AT150" s="259">
        <v>4</v>
      </c>
      <c r="AU150" s="253">
        <v>32766</v>
      </c>
      <c r="AV150" s="267">
        <v>4</v>
      </c>
      <c r="AW150" s="268">
        <v>31776</v>
      </c>
      <c r="AX150" s="252">
        <v>4</v>
      </c>
      <c r="AY150" s="253">
        <v>24736</v>
      </c>
      <c r="AZ150" s="267">
        <v>3</v>
      </c>
      <c r="BA150" s="268">
        <v>30368</v>
      </c>
      <c r="BB150" s="252"/>
      <c r="BC150" s="253"/>
      <c r="BD150" s="267"/>
      <c r="BE150" s="268"/>
      <c r="BF150" s="252">
        <v>4</v>
      </c>
      <c r="BG150" s="253">
        <v>24591</v>
      </c>
      <c r="BH150" s="267">
        <v>4</v>
      </c>
      <c r="BI150" s="268">
        <v>22899</v>
      </c>
      <c r="BJ150" s="252">
        <v>4</v>
      </c>
      <c r="BK150" s="315">
        <f t="shared" si="25"/>
        <v>369</v>
      </c>
      <c r="BL150" s="267">
        <v>4</v>
      </c>
      <c r="BM150" s="268">
        <f t="shared" si="30"/>
        <v>564</v>
      </c>
      <c r="BN150" s="252">
        <v>4</v>
      </c>
      <c r="BO150" s="253">
        <v>720</v>
      </c>
      <c r="BP150" s="267">
        <v>4</v>
      </c>
      <c r="BQ150" s="268">
        <v>720</v>
      </c>
      <c r="BR150" s="252">
        <v>4</v>
      </c>
      <c r="BS150" s="315">
        <f t="shared" si="26"/>
        <v>264</v>
      </c>
      <c r="BT150" s="267">
        <v>4</v>
      </c>
      <c r="BU150" s="268">
        <f t="shared" si="31"/>
        <v>516</v>
      </c>
      <c r="BV150" s="252"/>
      <c r="BW150" s="253"/>
      <c r="BX150" s="267"/>
      <c r="BY150" s="268"/>
      <c r="BZ150" s="252"/>
      <c r="CA150" s="253"/>
      <c r="CB150" s="267"/>
      <c r="CC150" s="268"/>
      <c r="CD150" s="255">
        <f t="shared" si="36"/>
        <v>4</v>
      </c>
      <c r="CE150" s="256">
        <f t="shared" si="37"/>
        <v>83446</v>
      </c>
      <c r="CF150" s="257">
        <f t="shared" si="38"/>
        <v>4</v>
      </c>
      <c r="CG150" s="261">
        <f t="shared" si="39"/>
        <v>86843</v>
      </c>
    </row>
    <row r="151" spans="1:86" s="263" customFormat="1" ht="12.75" customHeight="1">
      <c r="A151" s="311" t="s">
        <v>45</v>
      </c>
      <c r="B151" s="487" t="s">
        <v>73</v>
      </c>
      <c r="C151" s="492" t="s">
        <v>1224</v>
      </c>
      <c r="D151" s="311">
        <v>139621</v>
      </c>
      <c r="E151" s="313">
        <v>10</v>
      </c>
      <c r="F151" s="252">
        <v>49</v>
      </c>
      <c r="G151" s="253">
        <v>197826</v>
      </c>
      <c r="H151" s="267">
        <v>61</v>
      </c>
      <c r="I151" s="268">
        <v>250758</v>
      </c>
      <c r="J151" s="252">
        <v>41</v>
      </c>
      <c r="K151" s="253">
        <v>250455</v>
      </c>
      <c r="L151" s="267">
        <v>51</v>
      </c>
      <c r="M151" s="268">
        <v>311342</v>
      </c>
      <c r="N151" s="252"/>
      <c r="O151" s="253"/>
      <c r="P151" s="267"/>
      <c r="Q151" s="268"/>
      <c r="R151" s="252">
        <v>49</v>
      </c>
      <c r="S151" s="253">
        <v>160012</v>
      </c>
      <c r="T151" s="267">
        <v>61</v>
      </c>
      <c r="U151" s="268">
        <v>196367</v>
      </c>
      <c r="V151" s="252">
        <v>49</v>
      </c>
      <c r="W151" s="315">
        <f t="shared" si="24"/>
        <v>4520.25</v>
      </c>
      <c r="X151" s="267">
        <v>61</v>
      </c>
      <c r="Y151" s="268">
        <f t="shared" si="27"/>
        <v>8601</v>
      </c>
      <c r="Z151" s="252">
        <v>49</v>
      </c>
      <c r="AA151" s="253">
        <v>8820</v>
      </c>
      <c r="AB151" s="267">
        <v>61</v>
      </c>
      <c r="AC151" s="268">
        <v>10800</v>
      </c>
      <c r="AD151" s="252">
        <v>49</v>
      </c>
      <c r="AE151" s="315">
        <f t="shared" si="28"/>
        <v>3234</v>
      </c>
      <c r="AF151" s="267">
        <v>61</v>
      </c>
      <c r="AG151" s="268">
        <f t="shared" si="29"/>
        <v>7869</v>
      </c>
      <c r="AH151" s="252"/>
      <c r="AI151" s="253"/>
      <c r="AJ151" s="267"/>
      <c r="AK151" s="268"/>
      <c r="AL151" s="252"/>
      <c r="AM151" s="253"/>
      <c r="AN151" s="267"/>
      <c r="AO151" s="268"/>
      <c r="AP151" s="255">
        <f t="shared" si="32"/>
        <v>49</v>
      </c>
      <c r="AQ151" s="256">
        <f t="shared" si="33"/>
        <v>624867.25</v>
      </c>
      <c r="AR151" s="257">
        <f t="shared" si="34"/>
        <v>61</v>
      </c>
      <c r="AS151" s="258">
        <f t="shared" si="35"/>
        <v>785737</v>
      </c>
      <c r="AT151" s="259">
        <v>4</v>
      </c>
      <c r="AU151" s="253">
        <v>26509</v>
      </c>
      <c r="AV151" s="267">
        <v>4</v>
      </c>
      <c r="AW151" s="268">
        <v>26509</v>
      </c>
      <c r="AX151" s="252">
        <v>4</v>
      </c>
      <c r="AY151" s="253">
        <v>26897</v>
      </c>
      <c r="AZ151" s="267">
        <v>4</v>
      </c>
      <c r="BA151" s="268">
        <v>26897</v>
      </c>
      <c r="BB151" s="252"/>
      <c r="BC151" s="253"/>
      <c r="BD151" s="267"/>
      <c r="BE151" s="268"/>
      <c r="BF151" s="252">
        <v>4</v>
      </c>
      <c r="BG151" s="253">
        <v>23534</v>
      </c>
      <c r="BH151" s="267">
        <v>4</v>
      </c>
      <c r="BI151" s="268">
        <v>23534</v>
      </c>
      <c r="BJ151" s="252">
        <v>4</v>
      </c>
      <c r="BK151" s="315">
        <f t="shared" si="25"/>
        <v>369</v>
      </c>
      <c r="BL151" s="267">
        <v>4</v>
      </c>
      <c r="BM151" s="268">
        <f t="shared" si="30"/>
        <v>564</v>
      </c>
      <c r="BN151" s="252">
        <v>4</v>
      </c>
      <c r="BO151" s="253">
        <v>720</v>
      </c>
      <c r="BP151" s="267">
        <v>4</v>
      </c>
      <c r="BQ151" s="268">
        <v>720</v>
      </c>
      <c r="BR151" s="252">
        <v>4</v>
      </c>
      <c r="BS151" s="315">
        <f t="shared" si="26"/>
        <v>264</v>
      </c>
      <c r="BT151" s="267">
        <v>4</v>
      </c>
      <c r="BU151" s="268">
        <f t="shared" si="31"/>
        <v>516</v>
      </c>
      <c r="BV151" s="252"/>
      <c r="BW151" s="253"/>
      <c r="BX151" s="267"/>
      <c r="BY151" s="268"/>
      <c r="BZ151" s="252"/>
      <c r="CA151" s="253"/>
      <c r="CB151" s="267"/>
      <c r="CC151" s="268"/>
      <c r="CD151" s="255">
        <f t="shared" si="36"/>
        <v>4</v>
      </c>
      <c r="CE151" s="256">
        <f t="shared" si="37"/>
        <v>78293</v>
      </c>
      <c r="CF151" s="257">
        <f t="shared" si="38"/>
        <v>4</v>
      </c>
      <c r="CG151" s="261">
        <f t="shared" si="39"/>
        <v>78740</v>
      </c>
    </row>
    <row r="152" spans="1:86" s="263" customFormat="1" ht="12.75" customHeight="1">
      <c r="A152" s="311" t="s">
        <v>45</v>
      </c>
      <c r="B152" s="312" t="s">
        <v>74</v>
      </c>
      <c r="C152" s="312"/>
      <c r="D152" s="311">
        <v>140997</v>
      </c>
      <c r="E152" s="313">
        <v>10</v>
      </c>
      <c r="F152" s="252">
        <v>42</v>
      </c>
      <c r="G152" s="253">
        <v>178995</v>
      </c>
      <c r="H152" s="267">
        <v>43</v>
      </c>
      <c r="I152" s="268">
        <v>187519</v>
      </c>
      <c r="J152" s="252">
        <v>42</v>
      </c>
      <c r="K152" s="253">
        <v>283013</v>
      </c>
      <c r="L152" s="267">
        <v>43</v>
      </c>
      <c r="M152" s="268">
        <v>249347</v>
      </c>
      <c r="N152" s="252"/>
      <c r="O152" s="253"/>
      <c r="P152" s="267"/>
      <c r="Q152" s="268"/>
      <c r="R152" s="252">
        <v>42</v>
      </c>
      <c r="S152" s="253">
        <v>140586</v>
      </c>
      <c r="T152" s="267">
        <v>43</v>
      </c>
      <c r="U152" s="268">
        <v>147280</v>
      </c>
      <c r="V152" s="252">
        <v>42</v>
      </c>
      <c r="W152" s="315">
        <f t="shared" si="24"/>
        <v>3874.5</v>
      </c>
      <c r="X152" s="267">
        <v>43</v>
      </c>
      <c r="Y152" s="268">
        <f t="shared" si="27"/>
        <v>6063</v>
      </c>
      <c r="Z152" s="252">
        <v>42</v>
      </c>
      <c r="AA152" s="253">
        <v>7560</v>
      </c>
      <c r="AB152" s="267">
        <v>43</v>
      </c>
      <c r="AC152" s="268">
        <v>7920</v>
      </c>
      <c r="AD152" s="252">
        <v>42</v>
      </c>
      <c r="AE152" s="315">
        <f t="shared" si="28"/>
        <v>2772</v>
      </c>
      <c r="AF152" s="267">
        <v>43</v>
      </c>
      <c r="AG152" s="268">
        <f t="shared" si="29"/>
        <v>5547</v>
      </c>
      <c r="AH152" s="252"/>
      <c r="AI152" s="253"/>
      <c r="AJ152" s="267"/>
      <c r="AK152" s="268"/>
      <c r="AL152" s="252"/>
      <c r="AM152" s="253"/>
      <c r="AN152" s="267"/>
      <c r="AO152" s="268"/>
      <c r="AP152" s="255">
        <f t="shared" si="32"/>
        <v>42</v>
      </c>
      <c r="AQ152" s="256">
        <f t="shared" si="33"/>
        <v>616800.5</v>
      </c>
      <c r="AR152" s="257">
        <f t="shared" si="34"/>
        <v>43</v>
      </c>
      <c r="AS152" s="258">
        <f t="shared" si="35"/>
        <v>603676</v>
      </c>
      <c r="AT152" s="322"/>
      <c r="AU152" s="323"/>
      <c r="AV152" s="267"/>
      <c r="AW152" s="268"/>
      <c r="AX152" s="324"/>
      <c r="AY152" s="323"/>
      <c r="AZ152" s="267"/>
      <c r="BA152" s="268"/>
      <c r="BB152" s="252"/>
      <c r="BC152" s="253"/>
      <c r="BD152" s="267"/>
      <c r="BE152" s="268"/>
      <c r="BF152" s="324"/>
      <c r="BG152" s="323"/>
      <c r="BH152" s="267"/>
      <c r="BI152" s="268"/>
      <c r="BJ152" s="324"/>
      <c r="BK152" s="323"/>
      <c r="BL152" s="267"/>
      <c r="BM152" s="268">
        <f t="shared" si="30"/>
        <v>0</v>
      </c>
      <c r="BN152" s="252"/>
      <c r="BO152" s="253"/>
      <c r="BP152" s="316"/>
      <c r="BQ152" s="317"/>
      <c r="BR152" s="324"/>
      <c r="BS152" s="323"/>
      <c r="BT152" s="267"/>
      <c r="BU152" s="268">
        <f t="shared" si="31"/>
        <v>0</v>
      </c>
      <c r="BV152" s="252"/>
      <c r="BW152" s="253"/>
      <c r="BX152" s="267"/>
      <c r="BY152" s="268"/>
      <c r="BZ152" s="252"/>
      <c r="CA152" s="253"/>
      <c r="CB152" s="267"/>
      <c r="CC152" s="268"/>
      <c r="CD152" s="255">
        <f t="shared" si="36"/>
        <v>0</v>
      </c>
      <c r="CE152" s="256">
        <f t="shared" si="37"/>
        <v>0</v>
      </c>
      <c r="CF152" s="257">
        <f t="shared" si="38"/>
        <v>0</v>
      </c>
      <c r="CG152" s="261">
        <f t="shared" si="39"/>
        <v>0</v>
      </c>
    </row>
    <row r="153" spans="1:86" s="263" customFormat="1" ht="12.75" customHeight="1">
      <c r="A153" s="311" t="s">
        <v>45</v>
      </c>
      <c r="B153" s="312" t="s">
        <v>75</v>
      </c>
      <c r="C153" s="312"/>
      <c r="D153" s="311">
        <v>141307</v>
      </c>
      <c r="E153" s="313">
        <v>10</v>
      </c>
      <c r="F153" s="324">
        <v>24</v>
      </c>
      <c r="G153" s="323">
        <v>101463</v>
      </c>
      <c r="H153" s="267">
        <v>26</v>
      </c>
      <c r="I153" s="268">
        <v>108602</v>
      </c>
      <c r="J153" s="252">
        <v>18</v>
      </c>
      <c r="K153" s="253">
        <v>103345</v>
      </c>
      <c r="L153" s="267">
        <v>24</v>
      </c>
      <c r="M153" s="268">
        <v>133499</v>
      </c>
      <c r="N153" s="252"/>
      <c r="O153" s="253"/>
      <c r="P153" s="267"/>
      <c r="Q153" s="268"/>
      <c r="R153" s="252">
        <v>24</v>
      </c>
      <c r="S153" s="253">
        <v>82126</v>
      </c>
      <c r="T153" s="267">
        <v>26</v>
      </c>
      <c r="U153" s="268">
        <v>68397</v>
      </c>
      <c r="V153" s="252">
        <v>24</v>
      </c>
      <c r="W153" s="315">
        <f t="shared" si="24"/>
        <v>2214</v>
      </c>
      <c r="X153" s="267">
        <v>26</v>
      </c>
      <c r="Y153" s="268">
        <f t="shared" si="27"/>
        <v>3666</v>
      </c>
      <c r="Z153" s="324">
        <v>24</v>
      </c>
      <c r="AA153" s="323">
        <v>4320</v>
      </c>
      <c r="AB153" s="267">
        <v>26</v>
      </c>
      <c r="AC153" s="268">
        <v>4680</v>
      </c>
      <c r="AD153" s="252">
        <v>24</v>
      </c>
      <c r="AE153" s="315">
        <f t="shared" si="28"/>
        <v>1584</v>
      </c>
      <c r="AF153" s="267">
        <v>26</v>
      </c>
      <c r="AG153" s="268">
        <f t="shared" si="29"/>
        <v>3354</v>
      </c>
      <c r="AH153" s="252"/>
      <c r="AI153" s="253"/>
      <c r="AJ153" s="267"/>
      <c r="AK153" s="268"/>
      <c r="AL153" s="252"/>
      <c r="AM153" s="253"/>
      <c r="AN153" s="267"/>
      <c r="AO153" s="268"/>
      <c r="AP153" s="255">
        <f t="shared" si="32"/>
        <v>24</v>
      </c>
      <c r="AQ153" s="256">
        <f t="shared" si="33"/>
        <v>295052</v>
      </c>
      <c r="AR153" s="257">
        <f t="shared" si="34"/>
        <v>26</v>
      </c>
      <c r="AS153" s="258">
        <f t="shared" si="35"/>
        <v>322198</v>
      </c>
      <c r="AT153" s="259"/>
      <c r="AU153" s="253"/>
      <c r="AV153" s="267"/>
      <c r="AW153" s="268"/>
      <c r="AX153" s="252"/>
      <c r="AY153" s="253"/>
      <c r="AZ153" s="267"/>
      <c r="BA153" s="268"/>
      <c r="BB153" s="252"/>
      <c r="BC153" s="253"/>
      <c r="BD153" s="267"/>
      <c r="BE153" s="268"/>
      <c r="BF153" s="252"/>
      <c r="BG153" s="253"/>
      <c r="BH153" s="267"/>
      <c r="BI153" s="268"/>
      <c r="BJ153" s="252"/>
      <c r="BK153" s="315">
        <f t="shared" si="25"/>
        <v>0</v>
      </c>
      <c r="BL153" s="267"/>
      <c r="BM153" s="268">
        <f t="shared" si="30"/>
        <v>0</v>
      </c>
      <c r="BN153" s="252"/>
      <c r="BO153" s="253"/>
      <c r="BP153" s="267"/>
      <c r="BQ153" s="268"/>
      <c r="BR153" s="252"/>
      <c r="BS153" s="315">
        <f t="shared" si="26"/>
        <v>0</v>
      </c>
      <c r="BT153" s="267"/>
      <c r="BU153" s="268">
        <f t="shared" si="31"/>
        <v>0</v>
      </c>
      <c r="BV153" s="252"/>
      <c r="BW153" s="253"/>
      <c r="BX153" s="267"/>
      <c r="BY153" s="268"/>
      <c r="BZ153" s="252"/>
      <c r="CA153" s="253"/>
      <c r="CB153" s="267"/>
      <c r="CC153" s="268"/>
      <c r="CD153" s="255">
        <f t="shared" si="36"/>
        <v>0</v>
      </c>
      <c r="CE153" s="256">
        <f t="shared" si="37"/>
        <v>0</v>
      </c>
      <c r="CF153" s="257">
        <f t="shared" si="38"/>
        <v>0</v>
      </c>
      <c r="CG153" s="261">
        <f t="shared" si="39"/>
        <v>0</v>
      </c>
    </row>
    <row r="154" spans="1:86" s="263" customFormat="1" ht="12.75" customHeight="1">
      <c r="A154" s="311" t="s">
        <v>45</v>
      </c>
      <c r="B154" s="487" t="s">
        <v>76</v>
      </c>
      <c r="C154" s="492" t="s">
        <v>1225</v>
      </c>
      <c r="D154" s="311">
        <v>447689</v>
      </c>
      <c r="E154" s="313">
        <v>99</v>
      </c>
      <c r="F154" s="252">
        <v>123</v>
      </c>
      <c r="G154" s="253">
        <v>764167</v>
      </c>
      <c r="H154" s="267">
        <v>193</v>
      </c>
      <c r="I154" s="268">
        <v>1178925</v>
      </c>
      <c r="J154" s="252">
        <v>106</v>
      </c>
      <c r="K154" s="253">
        <v>654937</v>
      </c>
      <c r="L154" s="267">
        <v>193</v>
      </c>
      <c r="M154" s="268">
        <v>1058461</v>
      </c>
      <c r="N154" s="252"/>
      <c r="O154" s="253"/>
      <c r="P154" s="267"/>
      <c r="Q154" s="268"/>
      <c r="R154" s="252">
        <v>123</v>
      </c>
      <c r="S154" s="253">
        <v>620126</v>
      </c>
      <c r="T154" s="267">
        <v>193</v>
      </c>
      <c r="U154" s="268">
        <v>955836</v>
      </c>
      <c r="V154" s="252">
        <v>123</v>
      </c>
      <c r="W154" s="315">
        <f t="shared" si="24"/>
        <v>11346.75</v>
      </c>
      <c r="X154" s="267">
        <v>193</v>
      </c>
      <c r="Y154" s="268">
        <f t="shared" si="27"/>
        <v>27213</v>
      </c>
      <c r="Z154" s="252">
        <v>123</v>
      </c>
      <c r="AA154" s="253">
        <v>22140</v>
      </c>
      <c r="AB154" s="267">
        <v>193</v>
      </c>
      <c r="AC154" s="268">
        <v>34812</v>
      </c>
      <c r="AD154" s="252">
        <v>123</v>
      </c>
      <c r="AE154" s="315">
        <f t="shared" si="28"/>
        <v>8118</v>
      </c>
      <c r="AF154" s="267">
        <v>193</v>
      </c>
      <c r="AG154" s="268">
        <f t="shared" si="29"/>
        <v>24897</v>
      </c>
      <c r="AH154" s="252"/>
      <c r="AI154" s="253"/>
      <c r="AJ154" s="267"/>
      <c r="AK154" s="268"/>
      <c r="AL154" s="252"/>
      <c r="AM154" s="253"/>
      <c r="AN154" s="267"/>
      <c r="AO154" s="268"/>
      <c r="AP154" s="255">
        <f t="shared" si="32"/>
        <v>123</v>
      </c>
      <c r="AQ154" s="256">
        <f t="shared" si="33"/>
        <v>2080834.75</v>
      </c>
      <c r="AR154" s="257">
        <f t="shared" si="34"/>
        <v>193</v>
      </c>
      <c r="AS154" s="258">
        <f t="shared" si="35"/>
        <v>3280144</v>
      </c>
      <c r="AT154" s="259">
        <v>9</v>
      </c>
      <c r="AU154" s="253">
        <v>43223</v>
      </c>
      <c r="AV154" s="267">
        <v>9</v>
      </c>
      <c r="AW154" s="268">
        <v>42793</v>
      </c>
      <c r="AX154" s="252">
        <v>9</v>
      </c>
      <c r="AY154" s="253">
        <v>45940</v>
      </c>
      <c r="AZ154" s="267">
        <v>9</v>
      </c>
      <c r="BA154" s="268">
        <v>59518</v>
      </c>
      <c r="BB154" s="252"/>
      <c r="BC154" s="253"/>
      <c r="BD154" s="267"/>
      <c r="BE154" s="268"/>
      <c r="BF154" s="252">
        <v>9</v>
      </c>
      <c r="BG154" s="253">
        <v>35209</v>
      </c>
      <c r="BH154" s="267">
        <v>9</v>
      </c>
      <c r="BI154" s="268">
        <v>34655</v>
      </c>
      <c r="BJ154" s="252">
        <v>9</v>
      </c>
      <c r="BK154" s="315">
        <f t="shared" si="25"/>
        <v>830.25</v>
      </c>
      <c r="BL154" s="267">
        <v>9</v>
      </c>
      <c r="BM154" s="268">
        <f t="shared" si="30"/>
        <v>1269</v>
      </c>
      <c r="BN154" s="252">
        <v>9</v>
      </c>
      <c r="BO154" s="253">
        <v>1620</v>
      </c>
      <c r="BP154" s="267">
        <v>9</v>
      </c>
      <c r="BQ154" s="268">
        <v>1620</v>
      </c>
      <c r="BR154" s="252">
        <v>9</v>
      </c>
      <c r="BS154" s="315">
        <f t="shared" si="26"/>
        <v>594</v>
      </c>
      <c r="BT154" s="267">
        <v>9</v>
      </c>
      <c r="BU154" s="268">
        <f t="shared" si="31"/>
        <v>1161</v>
      </c>
      <c r="BV154" s="252"/>
      <c r="BW154" s="253"/>
      <c r="BX154" s="267"/>
      <c r="BY154" s="268"/>
      <c r="BZ154" s="252"/>
      <c r="CA154" s="253"/>
      <c r="CB154" s="267"/>
      <c r="CC154" s="268"/>
      <c r="CD154" s="255">
        <f t="shared" si="36"/>
        <v>9</v>
      </c>
      <c r="CE154" s="256">
        <f t="shared" si="37"/>
        <v>127416.25</v>
      </c>
      <c r="CF154" s="257">
        <f t="shared" si="38"/>
        <v>9</v>
      </c>
      <c r="CG154" s="261">
        <f t="shared" si="39"/>
        <v>141016</v>
      </c>
    </row>
    <row r="155" spans="1:86" s="263" customFormat="1" ht="12.75" customHeight="1">
      <c r="A155" s="325" t="s">
        <v>45</v>
      </c>
      <c r="B155" s="326" t="s">
        <v>182</v>
      </c>
      <c r="C155" s="326"/>
      <c r="D155" s="327">
        <v>138682</v>
      </c>
      <c r="E155" s="265">
        <v>12</v>
      </c>
      <c r="F155" s="252"/>
      <c r="G155" s="253"/>
      <c r="H155" s="328"/>
      <c r="I155" s="329"/>
      <c r="J155" s="252"/>
      <c r="K155" s="253"/>
      <c r="L155" s="329"/>
      <c r="M155" s="329"/>
      <c r="N155" s="252"/>
      <c r="O155" s="253"/>
      <c r="P155" s="267"/>
      <c r="Q155" s="268"/>
      <c r="R155" s="252"/>
      <c r="S155" s="253"/>
      <c r="T155" s="329"/>
      <c r="U155" s="329"/>
      <c r="V155" s="252"/>
      <c r="W155" s="253"/>
      <c r="X155" s="329"/>
      <c r="Y155" s="329"/>
      <c r="Z155" s="252"/>
      <c r="AA155" s="253"/>
      <c r="AB155" s="267"/>
      <c r="AC155" s="268"/>
      <c r="AD155" s="252"/>
      <c r="AE155" s="253"/>
      <c r="AF155" s="329"/>
      <c r="AG155" s="329"/>
      <c r="AH155" s="252"/>
      <c r="AI155" s="253"/>
      <c r="AJ155" s="267"/>
      <c r="AK155" s="268"/>
      <c r="AL155" s="252"/>
      <c r="AM155" s="253"/>
      <c r="AN155" s="330"/>
      <c r="AO155" s="331"/>
      <c r="AP155" s="255">
        <f t="shared" si="32"/>
        <v>0</v>
      </c>
      <c r="AQ155" s="256">
        <f t="shared" si="33"/>
        <v>0</v>
      </c>
      <c r="AR155" s="257">
        <f t="shared" si="34"/>
        <v>0</v>
      </c>
      <c r="AS155" s="258">
        <f t="shared" si="35"/>
        <v>0</v>
      </c>
      <c r="AT155" s="259">
        <v>78</v>
      </c>
      <c r="AU155" s="253">
        <v>416779</v>
      </c>
      <c r="AV155" s="328">
        <v>85</v>
      </c>
      <c r="AW155" s="329">
        <v>744276</v>
      </c>
      <c r="AX155" s="252">
        <v>78</v>
      </c>
      <c r="AY155" s="253">
        <v>686780</v>
      </c>
      <c r="AZ155" s="329">
        <v>85</v>
      </c>
      <c r="BA155" s="329">
        <v>1997787</v>
      </c>
      <c r="BB155" s="252"/>
      <c r="BC155" s="253"/>
      <c r="BD155" s="267"/>
      <c r="BE155" s="268"/>
      <c r="BF155" s="252">
        <v>78</v>
      </c>
      <c r="BG155" s="253">
        <v>134531</v>
      </c>
      <c r="BH155" s="329">
        <v>85</v>
      </c>
      <c r="BI155" s="329">
        <v>141833</v>
      </c>
      <c r="BJ155" s="252">
        <v>78</v>
      </c>
      <c r="BK155" s="253">
        <v>7285</v>
      </c>
      <c r="BL155" s="329">
        <v>85</v>
      </c>
      <c r="BM155" s="329">
        <v>7938</v>
      </c>
      <c r="BN155" s="252"/>
      <c r="BO155" s="253"/>
      <c r="BP155" s="267"/>
      <c r="BQ155" s="268"/>
      <c r="BR155" s="252">
        <v>78</v>
      </c>
      <c r="BS155" s="253">
        <v>7284</v>
      </c>
      <c r="BT155" s="329">
        <v>85</v>
      </c>
      <c r="BU155" s="329">
        <v>7938</v>
      </c>
      <c r="BV155" s="252"/>
      <c r="BW155" s="253"/>
      <c r="BX155" s="267"/>
      <c r="BY155" s="268"/>
      <c r="BZ155" s="252"/>
      <c r="CA155" s="253"/>
      <c r="CB155" s="329"/>
      <c r="CC155" s="329"/>
      <c r="CD155" s="255">
        <f t="shared" si="36"/>
        <v>78</v>
      </c>
      <c r="CE155" s="256">
        <f t="shared" si="37"/>
        <v>1252659</v>
      </c>
      <c r="CF155" s="257">
        <f t="shared" si="38"/>
        <v>85</v>
      </c>
      <c r="CG155" s="261">
        <f t="shared" si="39"/>
        <v>2899772</v>
      </c>
      <c r="CH155" s="332"/>
    </row>
    <row r="156" spans="1:86" s="263" customFormat="1" ht="12.75" customHeight="1">
      <c r="A156" s="325" t="s">
        <v>45</v>
      </c>
      <c r="B156" s="326" t="s">
        <v>184</v>
      </c>
      <c r="C156" s="326"/>
      <c r="D156" s="327">
        <v>246813</v>
      </c>
      <c r="E156" s="265">
        <v>12</v>
      </c>
      <c r="F156" s="252">
        <v>17</v>
      </c>
      <c r="G156" s="253">
        <v>89241</v>
      </c>
      <c r="H156" s="328">
        <v>15</v>
      </c>
      <c r="I156" s="329">
        <v>78848</v>
      </c>
      <c r="J156" s="252">
        <v>17</v>
      </c>
      <c r="K156" s="253">
        <v>202378</v>
      </c>
      <c r="L156" s="329">
        <v>15</v>
      </c>
      <c r="M156" s="329">
        <v>169762</v>
      </c>
      <c r="N156" s="252"/>
      <c r="O156" s="253"/>
      <c r="P156" s="267"/>
      <c r="Q156" s="268"/>
      <c r="R156" s="252">
        <v>17</v>
      </c>
      <c r="S156" s="253">
        <v>16106</v>
      </c>
      <c r="T156" s="329">
        <v>15</v>
      </c>
      <c r="U156" s="329">
        <v>15405</v>
      </c>
      <c r="V156" s="252">
        <v>17</v>
      </c>
      <c r="W156" s="253">
        <v>1326</v>
      </c>
      <c r="X156" s="329">
        <v>15</v>
      </c>
      <c r="Y156" s="329">
        <v>2550</v>
      </c>
      <c r="Z156" s="252"/>
      <c r="AA156" s="253"/>
      <c r="AB156" s="267"/>
      <c r="AC156" s="268"/>
      <c r="AD156" s="252">
        <v>17</v>
      </c>
      <c r="AE156" s="253">
        <v>4845</v>
      </c>
      <c r="AF156" s="329">
        <v>15</v>
      </c>
      <c r="AG156" s="329">
        <v>6030</v>
      </c>
      <c r="AH156" s="252"/>
      <c r="AI156" s="253"/>
      <c r="AJ156" s="267"/>
      <c r="AK156" s="268"/>
      <c r="AL156" s="252"/>
      <c r="AM156" s="253"/>
      <c r="AN156" s="330"/>
      <c r="AO156" s="331"/>
      <c r="AP156" s="255">
        <f t="shared" si="32"/>
        <v>17</v>
      </c>
      <c r="AQ156" s="256">
        <f t="shared" si="33"/>
        <v>313896</v>
      </c>
      <c r="AR156" s="257">
        <f t="shared" si="34"/>
        <v>15</v>
      </c>
      <c r="AS156" s="258">
        <f t="shared" si="35"/>
        <v>272595</v>
      </c>
      <c r="AT156" s="259">
        <v>72</v>
      </c>
      <c r="AU156" s="253">
        <v>434854</v>
      </c>
      <c r="AV156" s="328">
        <v>82</v>
      </c>
      <c r="AW156" s="329">
        <v>519719</v>
      </c>
      <c r="AX156" s="252">
        <v>72</v>
      </c>
      <c r="AY156" s="253">
        <v>984243</v>
      </c>
      <c r="AZ156" s="329">
        <v>82</v>
      </c>
      <c r="BA156" s="329">
        <v>1120581</v>
      </c>
      <c r="BB156" s="252"/>
      <c r="BC156" s="253"/>
      <c r="BD156" s="267"/>
      <c r="BE156" s="268"/>
      <c r="BF156" s="252">
        <v>72</v>
      </c>
      <c r="BG156" s="253">
        <v>85299</v>
      </c>
      <c r="BH156" s="329">
        <v>82</v>
      </c>
      <c r="BI156" s="329">
        <v>87696</v>
      </c>
      <c r="BJ156" s="252">
        <v>72</v>
      </c>
      <c r="BK156" s="253">
        <v>5304</v>
      </c>
      <c r="BL156" s="329">
        <v>82</v>
      </c>
      <c r="BM156" s="329">
        <v>13940</v>
      </c>
      <c r="BN156" s="252"/>
      <c r="BO156" s="253"/>
      <c r="BP156" s="267"/>
      <c r="BQ156" s="268"/>
      <c r="BR156" s="252">
        <v>72</v>
      </c>
      <c r="BS156" s="253">
        <v>20520</v>
      </c>
      <c r="BT156" s="329">
        <v>82</v>
      </c>
      <c r="BU156" s="329">
        <v>32964</v>
      </c>
      <c r="BV156" s="252"/>
      <c r="BW156" s="253"/>
      <c r="BX156" s="267"/>
      <c r="BY156" s="268"/>
      <c r="BZ156" s="252"/>
      <c r="CA156" s="253"/>
      <c r="CB156" s="329"/>
      <c r="CC156" s="329"/>
      <c r="CD156" s="255">
        <f t="shared" si="36"/>
        <v>72</v>
      </c>
      <c r="CE156" s="256">
        <f t="shared" si="37"/>
        <v>1530220</v>
      </c>
      <c r="CF156" s="257">
        <f t="shared" si="38"/>
        <v>82</v>
      </c>
      <c r="CG156" s="261">
        <f t="shared" si="39"/>
        <v>1774900</v>
      </c>
      <c r="CH156" s="332"/>
    </row>
    <row r="157" spans="1:86" s="263" customFormat="1" ht="12.75" customHeight="1">
      <c r="A157" s="325" t="s">
        <v>45</v>
      </c>
      <c r="B157" s="326" t="s">
        <v>185</v>
      </c>
      <c r="C157" s="326"/>
      <c r="D157" s="327">
        <v>138840</v>
      </c>
      <c r="E157" s="265">
        <v>12</v>
      </c>
      <c r="F157" s="252"/>
      <c r="G157" s="253"/>
      <c r="H157" s="328"/>
      <c r="I157" s="329"/>
      <c r="J157" s="252"/>
      <c r="K157" s="253"/>
      <c r="L157" s="329"/>
      <c r="M157" s="329"/>
      <c r="N157" s="252"/>
      <c r="O157" s="253"/>
      <c r="P157" s="267"/>
      <c r="Q157" s="268"/>
      <c r="R157" s="252"/>
      <c r="S157" s="253"/>
      <c r="T157" s="329"/>
      <c r="U157" s="329"/>
      <c r="V157" s="252"/>
      <c r="W157" s="253"/>
      <c r="X157" s="329"/>
      <c r="Y157" s="329"/>
      <c r="Z157" s="252"/>
      <c r="AA157" s="253"/>
      <c r="AB157" s="267"/>
      <c r="AC157" s="268"/>
      <c r="AD157" s="252"/>
      <c r="AE157" s="253"/>
      <c r="AF157" s="329"/>
      <c r="AG157" s="329"/>
      <c r="AH157" s="252"/>
      <c r="AI157" s="253"/>
      <c r="AJ157" s="267"/>
      <c r="AK157" s="268"/>
      <c r="AL157" s="252"/>
      <c r="AM157" s="253"/>
      <c r="AN157" s="330"/>
      <c r="AO157" s="331"/>
      <c r="AP157" s="255">
        <f t="shared" si="32"/>
        <v>0</v>
      </c>
      <c r="AQ157" s="256">
        <f t="shared" si="33"/>
        <v>0</v>
      </c>
      <c r="AR157" s="257">
        <f t="shared" si="34"/>
        <v>0</v>
      </c>
      <c r="AS157" s="258">
        <f t="shared" si="35"/>
        <v>0</v>
      </c>
      <c r="AT157" s="259">
        <v>85</v>
      </c>
      <c r="AU157" s="253">
        <v>436808</v>
      </c>
      <c r="AV157" s="328">
        <v>89</v>
      </c>
      <c r="AW157" s="329">
        <v>441078</v>
      </c>
      <c r="AX157" s="252">
        <v>85</v>
      </c>
      <c r="AY157" s="253">
        <v>1075217</v>
      </c>
      <c r="AZ157" s="329">
        <v>89</v>
      </c>
      <c r="BA157" s="329">
        <v>1216102</v>
      </c>
      <c r="BB157" s="252"/>
      <c r="BC157" s="253"/>
      <c r="BD157" s="267"/>
      <c r="BE157" s="268"/>
      <c r="BF157" s="252">
        <v>85</v>
      </c>
      <c r="BG157" s="253">
        <v>68251</v>
      </c>
      <c r="BH157" s="329">
        <v>89</v>
      </c>
      <c r="BI157" s="329">
        <v>68918</v>
      </c>
      <c r="BJ157" s="252">
        <v>85</v>
      </c>
      <c r="BK157" s="253">
        <v>2295</v>
      </c>
      <c r="BL157" s="329">
        <v>89</v>
      </c>
      <c r="BM157" s="329">
        <v>2403</v>
      </c>
      <c r="BN157" s="252"/>
      <c r="BO157" s="253"/>
      <c r="BP157" s="267"/>
      <c r="BQ157" s="268"/>
      <c r="BR157" s="252">
        <v>85</v>
      </c>
      <c r="BS157" s="253">
        <v>15725</v>
      </c>
      <c r="BT157" s="329">
        <v>89</v>
      </c>
      <c r="BU157" s="329">
        <v>16465</v>
      </c>
      <c r="BV157" s="252"/>
      <c r="BW157" s="253"/>
      <c r="BX157" s="267"/>
      <c r="BY157" s="268"/>
      <c r="BZ157" s="252"/>
      <c r="CA157" s="253"/>
      <c r="CB157" s="329"/>
      <c r="CC157" s="329"/>
      <c r="CD157" s="255">
        <f t="shared" si="36"/>
        <v>85</v>
      </c>
      <c r="CE157" s="256">
        <f t="shared" si="37"/>
        <v>1598296</v>
      </c>
      <c r="CF157" s="257">
        <f t="shared" si="38"/>
        <v>89</v>
      </c>
      <c r="CG157" s="261">
        <f t="shared" si="39"/>
        <v>1744966</v>
      </c>
      <c r="CH157" s="332"/>
    </row>
    <row r="158" spans="1:86" s="263" customFormat="1" ht="12.75" customHeight="1">
      <c r="A158" s="325" t="s">
        <v>45</v>
      </c>
      <c r="B158" s="326" t="s">
        <v>186</v>
      </c>
      <c r="C158" s="326"/>
      <c r="D158" s="327">
        <v>138956</v>
      </c>
      <c r="E158" s="265">
        <v>12</v>
      </c>
      <c r="F158" s="252"/>
      <c r="G158" s="253"/>
      <c r="H158" s="328">
        <v>1</v>
      </c>
      <c r="I158" s="329">
        <v>5037</v>
      </c>
      <c r="J158" s="252"/>
      <c r="K158" s="253"/>
      <c r="L158" s="329">
        <v>1</v>
      </c>
      <c r="M158" s="329">
        <v>12380</v>
      </c>
      <c r="N158" s="252"/>
      <c r="O158" s="253"/>
      <c r="P158" s="267"/>
      <c r="Q158" s="268"/>
      <c r="R158" s="252"/>
      <c r="S158" s="253"/>
      <c r="T158" s="329">
        <v>1</v>
      </c>
      <c r="U158" s="329">
        <v>3701</v>
      </c>
      <c r="V158" s="252"/>
      <c r="W158" s="253"/>
      <c r="X158" s="329">
        <v>1</v>
      </c>
      <c r="Y158" s="329">
        <v>65</v>
      </c>
      <c r="Z158" s="252"/>
      <c r="AA158" s="253"/>
      <c r="AB158" s="267"/>
      <c r="AC158" s="268"/>
      <c r="AD158" s="252"/>
      <c r="AE158" s="253"/>
      <c r="AF158" s="329">
        <v>1</v>
      </c>
      <c r="AG158" s="329">
        <v>323</v>
      </c>
      <c r="AH158" s="252"/>
      <c r="AI158" s="253"/>
      <c r="AJ158" s="267"/>
      <c r="AK158" s="268"/>
      <c r="AL158" s="252"/>
      <c r="AM158" s="253"/>
      <c r="AN158" s="330"/>
      <c r="AO158" s="331"/>
      <c r="AP158" s="255">
        <f t="shared" si="32"/>
        <v>0</v>
      </c>
      <c r="AQ158" s="256">
        <f t="shared" si="33"/>
        <v>0</v>
      </c>
      <c r="AR158" s="257">
        <f t="shared" si="34"/>
        <v>1</v>
      </c>
      <c r="AS158" s="258">
        <f t="shared" si="35"/>
        <v>21506</v>
      </c>
      <c r="AT158" s="259">
        <v>133</v>
      </c>
      <c r="AU158" s="253">
        <v>777597</v>
      </c>
      <c r="AV158" s="328">
        <v>132</v>
      </c>
      <c r="AW158" s="329">
        <v>778844</v>
      </c>
      <c r="AX158" s="252">
        <v>133</v>
      </c>
      <c r="AY158" s="253">
        <v>740475</v>
      </c>
      <c r="AZ158" s="329">
        <v>132</v>
      </c>
      <c r="BA158" s="329">
        <v>1971614</v>
      </c>
      <c r="BB158" s="252"/>
      <c r="BC158" s="253"/>
      <c r="BD158" s="267"/>
      <c r="BE158" s="268"/>
      <c r="BF158" s="252">
        <v>133</v>
      </c>
      <c r="BG158" s="253">
        <v>279413</v>
      </c>
      <c r="BH158" s="329">
        <v>132</v>
      </c>
      <c r="BI158" s="329">
        <v>256201</v>
      </c>
      <c r="BJ158" s="252">
        <v>133</v>
      </c>
      <c r="BK158" s="253">
        <v>8645</v>
      </c>
      <c r="BL158" s="329">
        <v>132</v>
      </c>
      <c r="BM158" s="329">
        <v>8580</v>
      </c>
      <c r="BN158" s="252"/>
      <c r="BO158" s="253"/>
      <c r="BP158" s="267"/>
      <c r="BQ158" s="268"/>
      <c r="BR158" s="252">
        <v>133</v>
      </c>
      <c r="BS158" s="253">
        <v>42959</v>
      </c>
      <c r="BT158" s="329">
        <v>132</v>
      </c>
      <c r="BU158" s="329">
        <v>42636</v>
      </c>
      <c r="BV158" s="252"/>
      <c r="BW158" s="253"/>
      <c r="BX158" s="267"/>
      <c r="BY158" s="268"/>
      <c r="BZ158" s="252"/>
      <c r="CA158" s="253"/>
      <c r="CB158" s="329"/>
      <c r="CC158" s="329"/>
      <c r="CD158" s="255">
        <f t="shared" si="36"/>
        <v>133</v>
      </c>
      <c r="CE158" s="256">
        <f t="shared" si="37"/>
        <v>1849089</v>
      </c>
      <c r="CF158" s="257">
        <f t="shared" si="38"/>
        <v>132</v>
      </c>
      <c r="CG158" s="261">
        <f t="shared" si="39"/>
        <v>3057875</v>
      </c>
      <c r="CH158" s="332"/>
    </row>
    <row r="159" spans="1:86" s="263" customFormat="1" ht="12.75" customHeight="1">
      <c r="A159" s="325" t="s">
        <v>45</v>
      </c>
      <c r="B159" s="326" t="s">
        <v>187</v>
      </c>
      <c r="C159" s="326"/>
      <c r="D159" s="327">
        <v>140304</v>
      </c>
      <c r="E159" s="265">
        <v>12</v>
      </c>
      <c r="F159" s="252">
        <v>2</v>
      </c>
      <c r="G159" s="253">
        <v>7656</v>
      </c>
      <c r="H159" s="328">
        <v>1</v>
      </c>
      <c r="I159" s="329">
        <v>3756</v>
      </c>
      <c r="J159" s="252">
        <v>2</v>
      </c>
      <c r="K159" s="253">
        <v>19687</v>
      </c>
      <c r="L159" s="329">
        <v>1</v>
      </c>
      <c r="M159" s="329">
        <v>9349</v>
      </c>
      <c r="N159" s="252"/>
      <c r="O159" s="253"/>
      <c r="P159" s="267"/>
      <c r="Q159" s="268"/>
      <c r="R159" s="252">
        <v>2</v>
      </c>
      <c r="S159" s="253">
        <v>1289</v>
      </c>
      <c r="T159" s="329">
        <v>1</v>
      </c>
      <c r="U159" s="329">
        <v>530</v>
      </c>
      <c r="V159" s="252">
        <v>2</v>
      </c>
      <c r="W159" s="253">
        <v>34</v>
      </c>
      <c r="X159" s="329">
        <v>1</v>
      </c>
      <c r="Y159" s="329">
        <v>53</v>
      </c>
      <c r="Z159" s="252"/>
      <c r="AA159" s="253"/>
      <c r="AB159" s="267"/>
      <c r="AC159" s="268"/>
      <c r="AD159" s="252">
        <v>2</v>
      </c>
      <c r="AE159" s="253">
        <v>780</v>
      </c>
      <c r="AF159" s="329">
        <v>1</v>
      </c>
      <c r="AG159" s="329">
        <v>101</v>
      </c>
      <c r="AH159" s="252"/>
      <c r="AI159" s="253"/>
      <c r="AJ159" s="267"/>
      <c r="AK159" s="268"/>
      <c r="AL159" s="252"/>
      <c r="AM159" s="253"/>
      <c r="AN159" s="330"/>
      <c r="AO159" s="331"/>
      <c r="AP159" s="255">
        <f t="shared" si="32"/>
        <v>2</v>
      </c>
      <c r="AQ159" s="256">
        <f t="shared" si="33"/>
        <v>29446</v>
      </c>
      <c r="AR159" s="257">
        <f t="shared" si="34"/>
        <v>1</v>
      </c>
      <c r="AS159" s="258">
        <f t="shared" si="35"/>
        <v>13789</v>
      </c>
      <c r="AT159" s="259">
        <v>115</v>
      </c>
      <c r="AU159" s="253">
        <v>542122</v>
      </c>
      <c r="AV159" s="328">
        <v>120</v>
      </c>
      <c r="AW159" s="329">
        <v>584351</v>
      </c>
      <c r="AX159" s="252">
        <v>115</v>
      </c>
      <c r="AY159" s="253">
        <v>1228264</v>
      </c>
      <c r="AZ159" s="329">
        <v>120</v>
      </c>
      <c r="BA159" s="329">
        <v>1462086</v>
      </c>
      <c r="BB159" s="252"/>
      <c r="BC159" s="253"/>
      <c r="BD159" s="267"/>
      <c r="BE159" s="268"/>
      <c r="BF159" s="252">
        <v>115</v>
      </c>
      <c r="BG159" s="253">
        <v>253479</v>
      </c>
      <c r="BH159" s="329">
        <v>120</v>
      </c>
      <c r="BI159" s="329">
        <v>243376</v>
      </c>
      <c r="BJ159" s="252">
        <v>115</v>
      </c>
      <c r="BK159" s="253">
        <v>17773</v>
      </c>
      <c r="BL159" s="329">
        <v>120</v>
      </c>
      <c r="BM159" s="329">
        <v>6360</v>
      </c>
      <c r="BN159" s="252"/>
      <c r="BO159" s="253"/>
      <c r="BP159" s="267"/>
      <c r="BQ159" s="268"/>
      <c r="BR159" s="252">
        <v>115</v>
      </c>
      <c r="BS159" s="253">
        <v>44850</v>
      </c>
      <c r="BT159" s="329">
        <v>120</v>
      </c>
      <c r="BU159" s="329">
        <v>12120</v>
      </c>
      <c r="BV159" s="252"/>
      <c r="BW159" s="253"/>
      <c r="BX159" s="267"/>
      <c r="BY159" s="268"/>
      <c r="BZ159" s="252"/>
      <c r="CA159" s="253"/>
      <c r="CB159" s="329"/>
      <c r="CC159" s="329"/>
      <c r="CD159" s="255">
        <f t="shared" si="36"/>
        <v>115</v>
      </c>
      <c r="CE159" s="256">
        <f t="shared" si="37"/>
        <v>2086488</v>
      </c>
      <c r="CF159" s="257">
        <f t="shared" si="38"/>
        <v>120</v>
      </c>
      <c r="CG159" s="261">
        <f t="shared" si="39"/>
        <v>2308293</v>
      </c>
      <c r="CH159" s="332"/>
    </row>
    <row r="160" spans="1:86" s="263" customFormat="1" ht="12.75" customHeight="1">
      <c r="A160" s="325" t="s">
        <v>45</v>
      </c>
      <c r="B160" s="333" t="s">
        <v>188</v>
      </c>
      <c r="C160" s="333"/>
      <c r="D160" s="327">
        <v>140331</v>
      </c>
      <c r="E160" s="265">
        <v>12</v>
      </c>
      <c r="F160" s="252">
        <v>3</v>
      </c>
      <c r="G160" s="253">
        <v>5941</v>
      </c>
      <c r="H160" s="328">
        <v>1</v>
      </c>
      <c r="I160" s="329">
        <v>3132</v>
      </c>
      <c r="J160" s="252">
        <v>0</v>
      </c>
      <c r="K160" s="253">
        <v>0</v>
      </c>
      <c r="L160" s="329"/>
      <c r="M160" s="329"/>
      <c r="N160" s="252">
        <v>0</v>
      </c>
      <c r="O160" s="253">
        <v>0</v>
      </c>
      <c r="P160" s="267"/>
      <c r="Q160" s="268"/>
      <c r="R160" s="252">
        <v>1</v>
      </c>
      <c r="S160" s="253">
        <v>1153</v>
      </c>
      <c r="T160" s="329">
        <v>1</v>
      </c>
      <c r="U160" s="329">
        <v>1600</v>
      </c>
      <c r="V160" s="252">
        <v>3</v>
      </c>
      <c r="W160" s="253">
        <v>273</v>
      </c>
      <c r="X160" s="329">
        <v>1</v>
      </c>
      <c r="Y160" s="329">
        <v>130</v>
      </c>
      <c r="Z160" s="252">
        <v>0</v>
      </c>
      <c r="AA160" s="253">
        <v>0</v>
      </c>
      <c r="AB160" s="267"/>
      <c r="AC160" s="268"/>
      <c r="AD160" s="252">
        <v>3</v>
      </c>
      <c r="AE160" s="253">
        <v>830</v>
      </c>
      <c r="AF160" s="329">
        <v>1</v>
      </c>
      <c r="AG160" s="329">
        <v>322</v>
      </c>
      <c r="AH160" s="252">
        <v>0</v>
      </c>
      <c r="AI160" s="253">
        <v>0</v>
      </c>
      <c r="AJ160" s="267"/>
      <c r="AK160" s="268"/>
      <c r="AL160" s="252">
        <v>3</v>
      </c>
      <c r="AM160" s="253">
        <v>9857</v>
      </c>
      <c r="AN160" s="334">
        <v>1</v>
      </c>
      <c r="AO160" s="335">
        <v>7697</v>
      </c>
      <c r="AP160" s="255">
        <f t="shared" si="32"/>
        <v>3</v>
      </c>
      <c r="AQ160" s="256">
        <f t="shared" si="33"/>
        <v>18054</v>
      </c>
      <c r="AR160" s="257">
        <f t="shared" si="34"/>
        <v>1</v>
      </c>
      <c r="AS160" s="258">
        <f t="shared" si="35"/>
        <v>12881</v>
      </c>
      <c r="AT160" s="259">
        <v>158</v>
      </c>
      <c r="AU160" s="253">
        <v>871276</v>
      </c>
      <c r="AV160" s="328">
        <v>171</v>
      </c>
      <c r="AW160" s="329">
        <v>964540</v>
      </c>
      <c r="AX160" s="252">
        <v>0</v>
      </c>
      <c r="AY160" s="253">
        <v>0</v>
      </c>
      <c r="AZ160" s="329"/>
      <c r="BA160" s="329"/>
      <c r="BB160" s="252">
        <v>0</v>
      </c>
      <c r="BC160" s="253">
        <v>0</v>
      </c>
      <c r="BD160" s="267"/>
      <c r="BE160" s="268"/>
      <c r="BF160" s="252">
        <v>38</v>
      </c>
      <c r="BG160" s="253">
        <v>117694</v>
      </c>
      <c r="BH160" s="329">
        <v>54</v>
      </c>
      <c r="BI160" s="329">
        <v>172694</v>
      </c>
      <c r="BJ160" s="252">
        <v>155</v>
      </c>
      <c r="BK160" s="253">
        <v>14131</v>
      </c>
      <c r="BL160" s="329">
        <v>172</v>
      </c>
      <c r="BM160" s="329">
        <v>22374</v>
      </c>
      <c r="BN160" s="252">
        <v>0</v>
      </c>
      <c r="BO160" s="253">
        <v>0</v>
      </c>
      <c r="BP160" s="267"/>
      <c r="BQ160" s="268"/>
      <c r="BR160" s="252">
        <v>155</v>
      </c>
      <c r="BS160" s="253">
        <v>42901</v>
      </c>
      <c r="BT160" s="329">
        <v>172</v>
      </c>
      <c r="BU160" s="329">
        <v>55471</v>
      </c>
      <c r="BV160" s="252">
        <v>0</v>
      </c>
      <c r="BW160" s="253">
        <v>0</v>
      </c>
      <c r="BX160" s="267"/>
      <c r="BY160" s="268"/>
      <c r="BZ160" s="252">
        <v>155</v>
      </c>
      <c r="CA160" s="253">
        <v>1448287</v>
      </c>
      <c r="CB160" s="329">
        <v>172</v>
      </c>
      <c r="CC160" s="329">
        <v>2544527</v>
      </c>
      <c r="CD160" s="255">
        <f t="shared" si="36"/>
        <v>158</v>
      </c>
      <c r="CE160" s="256">
        <f t="shared" si="37"/>
        <v>2494289</v>
      </c>
      <c r="CF160" s="257">
        <f t="shared" si="38"/>
        <v>172</v>
      </c>
      <c r="CG160" s="261">
        <f t="shared" si="39"/>
        <v>3759606</v>
      </c>
      <c r="CH160" s="332"/>
    </row>
    <row r="161" spans="1:86" s="263" customFormat="1" ht="12.75" customHeight="1">
      <c r="A161" s="336" t="s">
        <v>45</v>
      </c>
      <c r="B161" s="326" t="s">
        <v>189</v>
      </c>
      <c r="C161" s="326"/>
      <c r="D161" s="327">
        <v>139357</v>
      </c>
      <c r="E161" s="265">
        <v>12</v>
      </c>
      <c r="F161" s="252"/>
      <c r="G161" s="253"/>
      <c r="H161" s="328"/>
      <c r="I161" s="329"/>
      <c r="J161" s="252"/>
      <c r="K161" s="253"/>
      <c r="L161" s="329"/>
      <c r="M161" s="329"/>
      <c r="N161" s="252"/>
      <c r="O161" s="253"/>
      <c r="P161" s="267"/>
      <c r="Q161" s="268"/>
      <c r="R161" s="252"/>
      <c r="S161" s="253"/>
      <c r="T161" s="329"/>
      <c r="U161" s="329"/>
      <c r="V161" s="252"/>
      <c r="W161" s="253"/>
      <c r="X161" s="329"/>
      <c r="Y161" s="329"/>
      <c r="Z161" s="252"/>
      <c r="AA161" s="253"/>
      <c r="AB161" s="267"/>
      <c r="AC161" s="268"/>
      <c r="AD161" s="252"/>
      <c r="AE161" s="253"/>
      <c r="AF161" s="329"/>
      <c r="AG161" s="329"/>
      <c r="AH161" s="252"/>
      <c r="AI161" s="253"/>
      <c r="AJ161" s="267"/>
      <c r="AK161" s="268"/>
      <c r="AL161" s="252"/>
      <c r="AM161" s="253"/>
      <c r="AN161" s="337"/>
      <c r="AO161" s="337"/>
      <c r="AP161" s="255">
        <f t="shared" si="32"/>
        <v>0</v>
      </c>
      <c r="AQ161" s="256">
        <f t="shared" si="33"/>
        <v>0</v>
      </c>
      <c r="AR161" s="257">
        <f t="shared" si="34"/>
        <v>0</v>
      </c>
      <c r="AS161" s="258">
        <f t="shared" si="35"/>
        <v>0</v>
      </c>
      <c r="AT161" s="259">
        <v>74</v>
      </c>
      <c r="AU161" s="253">
        <v>396526</v>
      </c>
      <c r="AV161" s="328">
        <v>72</v>
      </c>
      <c r="AW161" s="329">
        <v>385027</v>
      </c>
      <c r="AX161" s="252">
        <v>74</v>
      </c>
      <c r="AY161" s="253">
        <v>893486</v>
      </c>
      <c r="AZ161" s="329">
        <v>72</v>
      </c>
      <c r="BA161" s="329">
        <v>963123</v>
      </c>
      <c r="BB161" s="252"/>
      <c r="BC161" s="253"/>
      <c r="BD161" s="267"/>
      <c r="BE161" s="268"/>
      <c r="BF161" s="252">
        <v>74</v>
      </c>
      <c r="BG161" s="253">
        <v>94543</v>
      </c>
      <c r="BH161" s="329">
        <v>72</v>
      </c>
      <c r="BI161" s="329">
        <v>107476</v>
      </c>
      <c r="BJ161" s="252">
        <v>74</v>
      </c>
      <c r="BK161" s="253">
        <v>15810</v>
      </c>
      <c r="BL161" s="329">
        <v>72</v>
      </c>
      <c r="BM161" s="329">
        <v>18911</v>
      </c>
      <c r="BN161" s="252"/>
      <c r="BO161" s="253"/>
      <c r="BP161" s="267"/>
      <c r="BQ161" s="268"/>
      <c r="BR161" s="252">
        <v>74</v>
      </c>
      <c r="BS161" s="253">
        <v>48034</v>
      </c>
      <c r="BT161" s="329">
        <v>72</v>
      </c>
      <c r="BU161" s="329">
        <v>46575</v>
      </c>
      <c r="BV161" s="252"/>
      <c r="BW161" s="253"/>
      <c r="BX161" s="267"/>
      <c r="BY161" s="268"/>
      <c r="BZ161" s="252"/>
      <c r="CA161" s="253"/>
      <c r="CB161" s="329"/>
      <c r="CC161" s="329"/>
      <c r="CD161" s="255">
        <f t="shared" si="36"/>
        <v>74</v>
      </c>
      <c r="CE161" s="256">
        <f t="shared" si="37"/>
        <v>1448399</v>
      </c>
      <c r="CF161" s="257">
        <f t="shared" si="38"/>
        <v>72</v>
      </c>
      <c r="CG161" s="261">
        <f t="shared" si="39"/>
        <v>1521112</v>
      </c>
      <c r="CH161" s="332"/>
    </row>
    <row r="162" spans="1:86" s="263" customFormat="1" ht="12.75" customHeight="1">
      <c r="A162" s="336" t="s">
        <v>45</v>
      </c>
      <c r="B162" s="326" t="s">
        <v>190</v>
      </c>
      <c r="C162" s="326"/>
      <c r="D162" s="327">
        <v>244446</v>
      </c>
      <c r="E162" s="265">
        <v>12</v>
      </c>
      <c r="F162" s="252"/>
      <c r="G162" s="253"/>
      <c r="H162" s="328"/>
      <c r="I162" s="329"/>
      <c r="J162" s="252"/>
      <c r="K162" s="253"/>
      <c r="L162" s="329"/>
      <c r="M162" s="329"/>
      <c r="N162" s="252"/>
      <c r="O162" s="253"/>
      <c r="P162" s="267"/>
      <c r="Q162" s="268"/>
      <c r="R162" s="252"/>
      <c r="S162" s="253"/>
      <c r="T162" s="329"/>
      <c r="U162" s="329"/>
      <c r="V162" s="252"/>
      <c r="W162" s="253"/>
      <c r="X162" s="329"/>
      <c r="Y162" s="329"/>
      <c r="Z162" s="252"/>
      <c r="AA162" s="253"/>
      <c r="AB162" s="267"/>
      <c r="AC162" s="268"/>
      <c r="AD162" s="252"/>
      <c r="AE162" s="253"/>
      <c r="AF162" s="329"/>
      <c r="AG162" s="329"/>
      <c r="AH162" s="252"/>
      <c r="AI162" s="253"/>
      <c r="AJ162" s="267"/>
      <c r="AK162" s="268"/>
      <c r="AL162" s="252"/>
      <c r="AM162" s="253"/>
      <c r="AN162" s="330"/>
      <c r="AO162" s="331"/>
      <c r="AP162" s="255">
        <f t="shared" si="32"/>
        <v>0</v>
      </c>
      <c r="AQ162" s="256">
        <f t="shared" si="33"/>
        <v>0</v>
      </c>
      <c r="AR162" s="257">
        <f t="shared" si="34"/>
        <v>0</v>
      </c>
      <c r="AS162" s="258">
        <f t="shared" si="35"/>
        <v>0</v>
      </c>
      <c r="AT162" s="259">
        <v>89</v>
      </c>
      <c r="AU162" s="253">
        <v>536270</v>
      </c>
      <c r="AV162" s="328">
        <v>82</v>
      </c>
      <c r="AW162" s="329">
        <v>506182</v>
      </c>
      <c r="AX162" s="252">
        <v>89</v>
      </c>
      <c r="AY162" s="253">
        <v>1201203</v>
      </c>
      <c r="AZ162" s="329">
        <v>82</v>
      </c>
      <c r="BA162" s="329">
        <v>1197294</v>
      </c>
      <c r="BB162" s="252"/>
      <c r="BC162" s="253"/>
      <c r="BD162" s="267"/>
      <c r="BE162" s="268"/>
      <c r="BF162" s="252">
        <v>89</v>
      </c>
      <c r="BG162" s="253">
        <v>156534</v>
      </c>
      <c r="BH162" s="329">
        <v>82</v>
      </c>
      <c r="BI162" s="329">
        <v>139373</v>
      </c>
      <c r="BJ162" s="252">
        <v>89</v>
      </c>
      <c r="BK162" s="253">
        <v>24564</v>
      </c>
      <c r="BL162" s="329">
        <v>82</v>
      </c>
      <c r="BM162" s="329">
        <v>13350</v>
      </c>
      <c r="BN162" s="252"/>
      <c r="BO162" s="253"/>
      <c r="BP162" s="267"/>
      <c r="BQ162" s="268"/>
      <c r="BR162" s="252">
        <v>89</v>
      </c>
      <c r="BS162" s="253">
        <v>24564</v>
      </c>
      <c r="BT162" s="329">
        <v>82</v>
      </c>
      <c r="BU162" s="329">
        <v>10289</v>
      </c>
      <c r="BV162" s="252"/>
      <c r="BW162" s="253"/>
      <c r="BX162" s="267"/>
      <c r="BY162" s="268"/>
      <c r="BZ162" s="252"/>
      <c r="CA162" s="253"/>
      <c r="CB162" s="329"/>
      <c r="CC162" s="329"/>
      <c r="CD162" s="255">
        <f t="shared" si="36"/>
        <v>89</v>
      </c>
      <c r="CE162" s="256">
        <f t="shared" si="37"/>
        <v>1943135</v>
      </c>
      <c r="CF162" s="257">
        <f t="shared" si="38"/>
        <v>82</v>
      </c>
      <c r="CG162" s="261">
        <f t="shared" si="39"/>
        <v>1866488</v>
      </c>
      <c r="CH162" s="332"/>
    </row>
    <row r="163" spans="1:86" s="263" customFormat="1" ht="12.75" customHeight="1">
      <c r="A163" s="336" t="s">
        <v>45</v>
      </c>
      <c r="B163" s="333" t="s">
        <v>999</v>
      </c>
      <c r="C163" s="333"/>
      <c r="D163" s="327">
        <v>139384</v>
      </c>
      <c r="E163" s="265">
        <v>12</v>
      </c>
      <c r="F163" s="252">
        <v>6</v>
      </c>
      <c r="G163" s="253">
        <v>3546</v>
      </c>
      <c r="H163" s="338">
        <v>6</v>
      </c>
      <c r="I163" s="339">
        <v>3546</v>
      </c>
      <c r="J163" s="252">
        <v>6</v>
      </c>
      <c r="K163" s="253">
        <v>5809</v>
      </c>
      <c r="L163" s="340">
        <v>6</v>
      </c>
      <c r="M163" s="339">
        <v>5809</v>
      </c>
      <c r="N163" s="252">
        <v>0</v>
      </c>
      <c r="O163" s="253">
        <v>0</v>
      </c>
      <c r="P163" s="267"/>
      <c r="Q163" s="268"/>
      <c r="R163" s="252">
        <v>6</v>
      </c>
      <c r="S163" s="253">
        <v>1742</v>
      </c>
      <c r="T163" s="340">
        <v>6</v>
      </c>
      <c r="U163" s="339">
        <v>1742</v>
      </c>
      <c r="V163" s="252">
        <v>6</v>
      </c>
      <c r="W163" s="253">
        <v>121</v>
      </c>
      <c r="X163" s="340">
        <v>6</v>
      </c>
      <c r="Y163" s="339">
        <v>121</v>
      </c>
      <c r="Z163" s="252">
        <v>0</v>
      </c>
      <c r="AA163" s="253">
        <v>0</v>
      </c>
      <c r="AB163" s="267"/>
      <c r="AC163" s="268"/>
      <c r="AD163" s="252">
        <v>6</v>
      </c>
      <c r="AE163" s="253">
        <v>367</v>
      </c>
      <c r="AF163" s="340">
        <v>6</v>
      </c>
      <c r="AG163" s="339">
        <v>367</v>
      </c>
      <c r="AH163" s="252">
        <v>0</v>
      </c>
      <c r="AI163" s="253">
        <v>0</v>
      </c>
      <c r="AJ163" s="267"/>
      <c r="AK163" s="268"/>
      <c r="AL163" s="252">
        <v>0</v>
      </c>
      <c r="AM163" s="253">
        <v>0</v>
      </c>
      <c r="AN163" s="330"/>
      <c r="AO163" s="331"/>
      <c r="AP163" s="255">
        <f t="shared" si="32"/>
        <v>6</v>
      </c>
      <c r="AQ163" s="256">
        <f t="shared" si="33"/>
        <v>11585</v>
      </c>
      <c r="AR163" s="257">
        <f t="shared" si="34"/>
        <v>6</v>
      </c>
      <c r="AS163" s="258">
        <f t="shared" si="35"/>
        <v>11585</v>
      </c>
      <c r="AT163" s="259">
        <v>117</v>
      </c>
      <c r="AU163" s="253">
        <v>56474</v>
      </c>
      <c r="AV163" s="338">
        <v>117</v>
      </c>
      <c r="AW163" s="339">
        <v>56837</v>
      </c>
      <c r="AX163" s="252">
        <v>117</v>
      </c>
      <c r="AY163" s="253">
        <v>96854</v>
      </c>
      <c r="AZ163" s="340">
        <v>117</v>
      </c>
      <c r="BA163" s="339">
        <v>125468</v>
      </c>
      <c r="BB163" s="252">
        <v>0</v>
      </c>
      <c r="BC163" s="253">
        <v>0</v>
      </c>
      <c r="BD163" s="267"/>
      <c r="BE163" s="268"/>
      <c r="BF163" s="252">
        <v>117</v>
      </c>
      <c r="BG163" s="253">
        <v>21435</v>
      </c>
      <c r="BH163" s="340">
        <v>117</v>
      </c>
      <c r="BI163" s="339">
        <v>24432</v>
      </c>
      <c r="BJ163" s="252">
        <v>117</v>
      </c>
      <c r="BK163" s="253">
        <v>9346</v>
      </c>
      <c r="BL163" s="340">
        <v>117</v>
      </c>
      <c r="BM163" s="339">
        <v>10139</v>
      </c>
      <c r="BN163" s="252">
        <v>0</v>
      </c>
      <c r="BO163" s="253">
        <v>0</v>
      </c>
      <c r="BP163" s="267"/>
      <c r="BQ163" s="268"/>
      <c r="BR163" s="252">
        <v>117</v>
      </c>
      <c r="BS163" s="253">
        <v>30299</v>
      </c>
      <c r="BT163" s="340">
        <v>117</v>
      </c>
      <c r="BU163" s="339">
        <v>17711</v>
      </c>
      <c r="BV163" s="252">
        <v>0</v>
      </c>
      <c r="BW163" s="253">
        <v>0</v>
      </c>
      <c r="BX163" s="267"/>
      <c r="BY163" s="268"/>
      <c r="BZ163" s="252">
        <v>0</v>
      </c>
      <c r="CA163" s="253">
        <v>0</v>
      </c>
      <c r="CB163" s="340"/>
      <c r="CC163" s="339"/>
      <c r="CD163" s="255">
        <f t="shared" si="36"/>
        <v>117</v>
      </c>
      <c r="CE163" s="256">
        <f t="shared" si="37"/>
        <v>214408</v>
      </c>
      <c r="CF163" s="257">
        <f t="shared" si="38"/>
        <v>117</v>
      </c>
      <c r="CG163" s="261">
        <f t="shared" si="39"/>
        <v>234587</v>
      </c>
      <c r="CH163" s="332"/>
    </row>
    <row r="164" spans="1:86" s="263" customFormat="1" ht="12.75" customHeight="1">
      <c r="A164" s="325" t="s">
        <v>45</v>
      </c>
      <c r="B164" s="493" t="s">
        <v>1165</v>
      </c>
      <c r="C164" s="494" t="s">
        <v>1227</v>
      </c>
      <c r="D164" s="327">
        <v>139986</v>
      </c>
      <c r="E164" s="265">
        <v>12</v>
      </c>
      <c r="F164" s="252"/>
      <c r="G164" s="253"/>
      <c r="H164" s="338"/>
      <c r="I164" s="339"/>
      <c r="J164" s="252"/>
      <c r="K164" s="253"/>
      <c r="L164" s="340"/>
      <c r="M164" s="339"/>
      <c r="N164" s="252"/>
      <c r="O164" s="253"/>
      <c r="P164" s="267"/>
      <c r="Q164" s="268"/>
      <c r="R164" s="252"/>
      <c r="S164" s="253"/>
      <c r="T164" s="340"/>
      <c r="U164" s="339"/>
      <c r="V164" s="252"/>
      <c r="W164" s="253"/>
      <c r="X164" s="340"/>
      <c r="Y164" s="339"/>
      <c r="Z164" s="252"/>
      <c r="AA164" s="253"/>
      <c r="AB164" s="267"/>
      <c r="AC164" s="268"/>
      <c r="AD164" s="252"/>
      <c r="AE164" s="253"/>
      <c r="AF164" s="340"/>
      <c r="AG164" s="339"/>
      <c r="AH164" s="252"/>
      <c r="AI164" s="253"/>
      <c r="AJ164" s="267"/>
      <c r="AK164" s="268"/>
      <c r="AL164" s="252"/>
      <c r="AM164" s="253"/>
      <c r="AN164" s="330"/>
      <c r="AO164" s="331"/>
      <c r="AP164" s="255">
        <f t="shared" si="32"/>
        <v>0</v>
      </c>
      <c r="AQ164" s="256">
        <f t="shared" si="33"/>
        <v>0</v>
      </c>
      <c r="AR164" s="257">
        <f t="shared" si="34"/>
        <v>0</v>
      </c>
      <c r="AS164" s="258">
        <f t="shared" si="35"/>
        <v>0</v>
      </c>
      <c r="AT164" s="344">
        <v>98</v>
      </c>
      <c r="AU164" s="345">
        <v>307134.14285714284</v>
      </c>
      <c r="AV164" s="338">
        <v>110</v>
      </c>
      <c r="AW164" s="339">
        <v>507258</v>
      </c>
      <c r="AX164" s="346">
        <v>98</v>
      </c>
      <c r="AY164" s="345">
        <v>679849.42857142852</v>
      </c>
      <c r="AZ164" s="340">
        <v>110</v>
      </c>
      <c r="BA164" s="339">
        <v>1139757</v>
      </c>
      <c r="BB164" s="252"/>
      <c r="BC164" s="253"/>
      <c r="BD164" s="267"/>
      <c r="BE164" s="268"/>
      <c r="BF164" s="346">
        <v>98</v>
      </c>
      <c r="BG164" s="345">
        <v>85527</v>
      </c>
      <c r="BH164" s="340">
        <v>110</v>
      </c>
      <c r="BI164" s="339">
        <v>149446</v>
      </c>
      <c r="BJ164" s="347">
        <v>98</v>
      </c>
      <c r="BK164" s="345">
        <v>5614.5714285714284</v>
      </c>
      <c r="BL164" s="340">
        <v>110</v>
      </c>
      <c r="BM164" s="339">
        <v>9947</v>
      </c>
      <c r="BN164" s="252"/>
      <c r="BO164" s="253"/>
      <c r="BP164" s="267"/>
      <c r="BQ164" s="268"/>
      <c r="BR164" s="346">
        <v>98</v>
      </c>
      <c r="BS164" s="345">
        <v>17052.714285714286</v>
      </c>
      <c r="BT164" s="340">
        <v>110</v>
      </c>
      <c r="BU164" s="339">
        <v>35090</v>
      </c>
      <c r="BV164" s="252"/>
      <c r="BW164" s="253"/>
      <c r="BX164" s="267"/>
      <c r="BY164" s="268"/>
      <c r="BZ164" s="252"/>
      <c r="CA164" s="253"/>
      <c r="CB164" s="340"/>
      <c r="CC164" s="339"/>
      <c r="CD164" s="255">
        <f t="shared" si="36"/>
        <v>98</v>
      </c>
      <c r="CE164" s="256">
        <f t="shared" si="37"/>
        <v>1095177.857142857</v>
      </c>
      <c r="CF164" s="257">
        <f t="shared" si="38"/>
        <v>110</v>
      </c>
      <c r="CG164" s="261">
        <f t="shared" si="39"/>
        <v>1841498</v>
      </c>
      <c r="CH164" s="332"/>
    </row>
    <row r="165" spans="1:86" s="263" customFormat="1" ht="12.75" customHeight="1">
      <c r="A165" s="336" t="s">
        <v>45</v>
      </c>
      <c r="B165" s="326" t="s">
        <v>191</v>
      </c>
      <c r="C165" s="326"/>
      <c r="D165" s="327">
        <v>140012</v>
      </c>
      <c r="E165" s="265">
        <v>12</v>
      </c>
      <c r="F165" s="252"/>
      <c r="G165" s="253"/>
      <c r="H165" s="328"/>
      <c r="I165" s="329"/>
      <c r="J165" s="252"/>
      <c r="K165" s="253"/>
      <c r="L165" s="329"/>
      <c r="M165" s="329"/>
      <c r="N165" s="252"/>
      <c r="O165" s="253"/>
      <c r="P165" s="267"/>
      <c r="Q165" s="268"/>
      <c r="R165" s="252"/>
      <c r="S165" s="253"/>
      <c r="T165" s="329"/>
      <c r="U165" s="329"/>
      <c r="V165" s="252"/>
      <c r="W165" s="253"/>
      <c r="X165" s="329"/>
      <c r="Y165" s="329"/>
      <c r="Z165" s="252"/>
      <c r="AA165" s="253"/>
      <c r="AB165" s="267"/>
      <c r="AC165" s="268"/>
      <c r="AD165" s="252"/>
      <c r="AE165" s="253"/>
      <c r="AF165" s="329"/>
      <c r="AG165" s="329"/>
      <c r="AH165" s="252"/>
      <c r="AI165" s="253"/>
      <c r="AJ165" s="267"/>
      <c r="AK165" s="268"/>
      <c r="AL165" s="252"/>
      <c r="AM165" s="253"/>
      <c r="AN165" s="330"/>
      <c r="AO165" s="331"/>
      <c r="AP165" s="255">
        <f t="shared" si="32"/>
        <v>0</v>
      </c>
      <c r="AQ165" s="256">
        <f t="shared" si="33"/>
        <v>0</v>
      </c>
      <c r="AR165" s="257">
        <f t="shared" si="34"/>
        <v>0</v>
      </c>
      <c r="AS165" s="258">
        <f t="shared" si="35"/>
        <v>0</v>
      </c>
      <c r="AT165" s="259">
        <v>85</v>
      </c>
      <c r="AU165" s="253">
        <v>607604</v>
      </c>
      <c r="AV165" s="328">
        <v>91</v>
      </c>
      <c r="AW165" s="329">
        <v>639164</v>
      </c>
      <c r="AX165" s="252">
        <v>85</v>
      </c>
      <c r="AY165" s="253">
        <v>1293712</v>
      </c>
      <c r="AZ165" s="329">
        <v>91</v>
      </c>
      <c r="BA165" s="329">
        <v>1570956</v>
      </c>
      <c r="BB165" s="252"/>
      <c r="BC165" s="253"/>
      <c r="BD165" s="267"/>
      <c r="BE165" s="268"/>
      <c r="BF165" s="252">
        <v>85</v>
      </c>
      <c r="BG165" s="253">
        <v>120625</v>
      </c>
      <c r="BH165" s="329">
        <v>91</v>
      </c>
      <c r="BI165" s="329">
        <v>126891</v>
      </c>
      <c r="BJ165" s="252">
        <v>85</v>
      </c>
      <c r="BK165" s="253">
        <v>11220</v>
      </c>
      <c r="BL165" s="329">
        <v>91</v>
      </c>
      <c r="BM165" s="329">
        <v>11557</v>
      </c>
      <c r="BN165" s="252"/>
      <c r="BO165" s="253"/>
      <c r="BP165" s="267"/>
      <c r="BQ165" s="268"/>
      <c r="BR165" s="252">
        <v>85</v>
      </c>
      <c r="BS165" s="253">
        <v>46693</v>
      </c>
      <c r="BT165" s="329">
        <v>91</v>
      </c>
      <c r="BU165" s="329">
        <v>49119</v>
      </c>
      <c r="BV165" s="252"/>
      <c r="BW165" s="253"/>
      <c r="BX165" s="267"/>
      <c r="BY165" s="268"/>
      <c r="BZ165" s="252"/>
      <c r="CA165" s="253"/>
      <c r="CB165" s="329"/>
      <c r="CC165" s="329"/>
      <c r="CD165" s="255">
        <f t="shared" si="36"/>
        <v>85</v>
      </c>
      <c r="CE165" s="256">
        <f t="shared" si="37"/>
        <v>2079854</v>
      </c>
      <c r="CF165" s="257">
        <f t="shared" si="38"/>
        <v>91</v>
      </c>
      <c r="CG165" s="261">
        <f t="shared" si="39"/>
        <v>2397687</v>
      </c>
      <c r="CH165" s="332"/>
    </row>
    <row r="166" spans="1:86" s="263" customFormat="1" ht="12.75" customHeight="1">
      <c r="A166" s="325" t="s">
        <v>45</v>
      </c>
      <c r="B166" s="326" t="s">
        <v>192</v>
      </c>
      <c r="C166" s="326"/>
      <c r="D166" s="327">
        <v>140076</v>
      </c>
      <c r="E166" s="265">
        <v>12</v>
      </c>
      <c r="F166" s="252"/>
      <c r="G166" s="253"/>
      <c r="H166" s="328"/>
      <c r="I166" s="329"/>
      <c r="J166" s="252"/>
      <c r="K166" s="253"/>
      <c r="L166" s="329"/>
      <c r="M166" s="329"/>
      <c r="N166" s="252"/>
      <c r="O166" s="253"/>
      <c r="P166" s="267"/>
      <c r="Q166" s="268"/>
      <c r="R166" s="252"/>
      <c r="S166" s="253"/>
      <c r="T166" s="329"/>
      <c r="U166" s="329"/>
      <c r="V166" s="252"/>
      <c r="W166" s="253"/>
      <c r="X166" s="329"/>
      <c r="Y166" s="329"/>
      <c r="Z166" s="252"/>
      <c r="AA166" s="253"/>
      <c r="AB166" s="267"/>
      <c r="AC166" s="268"/>
      <c r="AD166" s="252"/>
      <c r="AE166" s="253"/>
      <c r="AF166" s="329"/>
      <c r="AG166" s="329"/>
      <c r="AH166" s="252"/>
      <c r="AI166" s="253"/>
      <c r="AJ166" s="267"/>
      <c r="AK166" s="268"/>
      <c r="AL166" s="252"/>
      <c r="AM166" s="253"/>
      <c r="AN166" s="330"/>
      <c r="AO166" s="331"/>
      <c r="AP166" s="255">
        <f t="shared" si="32"/>
        <v>0</v>
      </c>
      <c r="AQ166" s="256">
        <f t="shared" si="33"/>
        <v>0</v>
      </c>
      <c r="AR166" s="257">
        <f t="shared" si="34"/>
        <v>0</v>
      </c>
      <c r="AS166" s="258">
        <f t="shared" si="35"/>
        <v>0</v>
      </c>
      <c r="AT166" s="259">
        <v>44</v>
      </c>
      <c r="AU166" s="253">
        <v>222197</v>
      </c>
      <c r="AV166" s="328">
        <v>46</v>
      </c>
      <c r="AW166" s="329">
        <v>232297</v>
      </c>
      <c r="AX166" s="252"/>
      <c r="AY166" s="253"/>
      <c r="AZ166" s="329"/>
      <c r="BA166" s="329"/>
      <c r="BB166" s="252"/>
      <c r="BC166" s="253"/>
      <c r="BD166" s="267"/>
      <c r="BE166" s="268"/>
      <c r="BF166" s="252"/>
      <c r="BG166" s="253"/>
      <c r="BH166" s="329"/>
      <c r="BI166" s="329"/>
      <c r="BJ166" s="252">
        <v>44</v>
      </c>
      <c r="BK166" s="253">
        <v>3630</v>
      </c>
      <c r="BL166" s="329">
        <v>46</v>
      </c>
      <c r="BM166" s="329">
        <v>3795</v>
      </c>
      <c r="BN166" s="252"/>
      <c r="BO166" s="253"/>
      <c r="BP166" s="267"/>
      <c r="BQ166" s="268"/>
      <c r="BR166" s="252">
        <v>44</v>
      </c>
      <c r="BS166" s="253">
        <v>11768</v>
      </c>
      <c r="BT166" s="329">
        <v>46</v>
      </c>
      <c r="BU166" s="329">
        <v>12303</v>
      </c>
      <c r="BV166" s="252"/>
      <c r="BW166" s="253"/>
      <c r="BX166" s="267"/>
      <c r="BY166" s="268"/>
      <c r="BZ166" s="252">
        <v>44</v>
      </c>
      <c r="CA166" s="253">
        <v>309337</v>
      </c>
      <c r="CB166" s="329">
        <v>46</v>
      </c>
      <c r="CC166" s="329">
        <v>323398</v>
      </c>
      <c r="CD166" s="255">
        <f t="shared" si="36"/>
        <v>44</v>
      </c>
      <c r="CE166" s="256">
        <f t="shared" si="37"/>
        <v>546932</v>
      </c>
      <c r="CF166" s="257">
        <f t="shared" si="38"/>
        <v>46</v>
      </c>
      <c r="CG166" s="261">
        <f t="shared" si="39"/>
        <v>571793</v>
      </c>
      <c r="CH166" s="332"/>
    </row>
    <row r="167" spans="1:86" s="263" customFormat="1" ht="12.75" customHeight="1">
      <c r="A167" s="325" t="s">
        <v>45</v>
      </c>
      <c r="B167" s="326" t="s">
        <v>193</v>
      </c>
      <c r="C167" s="326"/>
      <c r="D167" s="327">
        <v>140243</v>
      </c>
      <c r="E167" s="265">
        <v>12</v>
      </c>
      <c r="F167" s="252">
        <v>1</v>
      </c>
      <c r="G167" s="253">
        <v>4195</v>
      </c>
      <c r="H167" s="328">
        <v>1</v>
      </c>
      <c r="I167" s="329">
        <v>4428</v>
      </c>
      <c r="J167" s="252">
        <v>1</v>
      </c>
      <c r="K167" s="253">
        <v>9547</v>
      </c>
      <c r="L167" s="329">
        <v>1</v>
      </c>
      <c r="M167" s="329">
        <v>9547</v>
      </c>
      <c r="N167" s="252"/>
      <c r="O167" s="253"/>
      <c r="P167" s="267"/>
      <c r="Q167" s="268"/>
      <c r="R167" s="252">
        <v>0</v>
      </c>
      <c r="S167" s="253">
        <v>0</v>
      </c>
      <c r="T167" s="329">
        <v>0</v>
      </c>
      <c r="U167" s="329">
        <v>0</v>
      </c>
      <c r="V167" s="252">
        <v>1</v>
      </c>
      <c r="W167" s="253">
        <v>88</v>
      </c>
      <c r="X167" s="329">
        <v>1</v>
      </c>
      <c r="Y167" s="329">
        <v>90</v>
      </c>
      <c r="Z167" s="252"/>
      <c r="AA167" s="253"/>
      <c r="AB167" s="267"/>
      <c r="AC167" s="268"/>
      <c r="AD167" s="252">
        <v>1</v>
      </c>
      <c r="AE167" s="253">
        <v>315</v>
      </c>
      <c r="AF167" s="329">
        <v>1</v>
      </c>
      <c r="AG167" s="329">
        <v>379</v>
      </c>
      <c r="AH167" s="252"/>
      <c r="AI167" s="253"/>
      <c r="AJ167" s="267"/>
      <c r="AK167" s="268"/>
      <c r="AL167" s="252"/>
      <c r="AM167" s="253"/>
      <c r="AN167" s="330"/>
      <c r="AO167" s="331"/>
      <c r="AP167" s="255">
        <f t="shared" si="32"/>
        <v>1</v>
      </c>
      <c r="AQ167" s="256">
        <f t="shared" si="33"/>
        <v>14145</v>
      </c>
      <c r="AR167" s="257">
        <f t="shared" si="34"/>
        <v>1</v>
      </c>
      <c r="AS167" s="258">
        <f t="shared" si="35"/>
        <v>14444</v>
      </c>
      <c r="AT167" s="259">
        <v>74</v>
      </c>
      <c r="AU167" s="253">
        <v>414807</v>
      </c>
      <c r="AV167" s="328">
        <v>78</v>
      </c>
      <c r="AW167" s="329">
        <v>452738</v>
      </c>
      <c r="AX167" s="252">
        <v>74</v>
      </c>
      <c r="AY167" s="253">
        <v>949918</v>
      </c>
      <c r="AZ167" s="329">
        <v>78</v>
      </c>
      <c r="BA167" s="329">
        <v>1002595</v>
      </c>
      <c r="BB167" s="252"/>
      <c r="BC167" s="253"/>
      <c r="BD167" s="267"/>
      <c r="BE167" s="268"/>
      <c r="BF167" s="252">
        <v>18</v>
      </c>
      <c r="BG167" s="253">
        <v>57762</v>
      </c>
      <c r="BH167" s="329">
        <v>20</v>
      </c>
      <c r="BI167" s="329">
        <v>65611</v>
      </c>
      <c r="BJ167" s="252">
        <v>74</v>
      </c>
      <c r="BK167" s="253">
        <v>6512</v>
      </c>
      <c r="BL167" s="329">
        <v>78</v>
      </c>
      <c r="BM167" s="329">
        <v>7020</v>
      </c>
      <c r="BN167" s="252"/>
      <c r="BO167" s="253"/>
      <c r="BP167" s="267"/>
      <c r="BQ167" s="268"/>
      <c r="BR167" s="252">
        <v>74</v>
      </c>
      <c r="BS167" s="253">
        <v>23310</v>
      </c>
      <c r="BT167" s="329">
        <v>78</v>
      </c>
      <c r="BU167" s="329">
        <v>29562</v>
      </c>
      <c r="BV167" s="252"/>
      <c r="BW167" s="253"/>
      <c r="BX167" s="267"/>
      <c r="BY167" s="268"/>
      <c r="BZ167" s="252"/>
      <c r="CA167" s="253"/>
      <c r="CB167" s="329"/>
      <c r="CC167" s="329"/>
      <c r="CD167" s="255">
        <f t="shared" si="36"/>
        <v>74</v>
      </c>
      <c r="CE167" s="256">
        <f t="shared" si="37"/>
        <v>1452309</v>
      </c>
      <c r="CF167" s="257">
        <f t="shared" si="38"/>
        <v>78</v>
      </c>
      <c r="CG167" s="261">
        <f t="shared" si="39"/>
        <v>1557526</v>
      </c>
      <c r="CH167" s="332"/>
    </row>
    <row r="168" spans="1:86" s="263" customFormat="1" ht="12.75" customHeight="1">
      <c r="A168" s="325" t="s">
        <v>45</v>
      </c>
      <c r="B168" s="326" t="s">
        <v>194</v>
      </c>
      <c r="C168" s="326"/>
      <c r="D168" s="327">
        <v>140085</v>
      </c>
      <c r="E168" s="265">
        <v>12</v>
      </c>
      <c r="F168" s="252"/>
      <c r="G168" s="253"/>
      <c r="H168" s="328"/>
      <c r="I168" s="329"/>
      <c r="J168" s="252"/>
      <c r="K168" s="253"/>
      <c r="L168" s="329"/>
      <c r="M168" s="329"/>
      <c r="N168" s="252"/>
      <c r="O168" s="253"/>
      <c r="P168" s="267"/>
      <c r="Q168" s="268"/>
      <c r="R168" s="252"/>
      <c r="S168" s="253"/>
      <c r="T168" s="329"/>
      <c r="U168" s="329"/>
      <c r="V168" s="252"/>
      <c r="W168" s="253"/>
      <c r="X168" s="329"/>
      <c r="Y168" s="329"/>
      <c r="Z168" s="252"/>
      <c r="AA168" s="253"/>
      <c r="AB168" s="267"/>
      <c r="AC168" s="268"/>
      <c r="AD168" s="252"/>
      <c r="AE168" s="253"/>
      <c r="AF168" s="329"/>
      <c r="AG168" s="329"/>
      <c r="AH168" s="252"/>
      <c r="AI168" s="253"/>
      <c r="AJ168" s="267"/>
      <c r="AK168" s="268"/>
      <c r="AL168" s="252"/>
      <c r="AM168" s="253"/>
      <c r="AN168" s="330"/>
      <c r="AO168" s="331"/>
      <c r="AP168" s="255">
        <f t="shared" si="32"/>
        <v>0</v>
      </c>
      <c r="AQ168" s="256">
        <f t="shared" si="33"/>
        <v>0</v>
      </c>
      <c r="AR168" s="257">
        <f t="shared" si="34"/>
        <v>0</v>
      </c>
      <c r="AS168" s="258">
        <f t="shared" si="35"/>
        <v>0</v>
      </c>
      <c r="AT168" s="259">
        <v>102</v>
      </c>
      <c r="AU168" s="253">
        <v>435591</v>
      </c>
      <c r="AV168" s="328">
        <v>97</v>
      </c>
      <c r="AW168" s="329">
        <v>445436</v>
      </c>
      <c r="AX168" s="252">
        <v>104</v>
      </c>
      <c r="AY168" s="253">
        <v>572248</v>
      </c>
      <c r="AZ168" s="329">
        <v>99</v>
      </c>
      <c r="BA168" s="329">
        <v>1085001</v>
      </c>
      <c r="BB168" s="252"/>
      <c r="BC168" s="253"/>
      <c r="BD168" s="267"/>
      <c r="BE168" s="268"/>
      <c r="BF168" s="252">
        <v>112</v>
      </c>
      <c r="BG168" s="253">
        <v>130608</v>
      </c>
      <c r="BH168" s="329">
        <v>100</v>
      </c>
      <c r="BI168" s="329">
        <v>135546</v>
      </c>
      <c r="BJ168" s="252">
        <v>112</v>
      </c>
      <c r="BK168" s="253">
        <v>7536</v>
      </c>
      <c r="BL168" s="329">
        <v>100</v>
      </c>
      <c r="BM168" s="329">
        <v>9504</v>
      </c>
      <c r="BN168" s="252"/>
      <c r="BO168" s="253"/>
      <c r="BP168" s="267"/>
      <c r="BQ168" s="268"/>
      <c r="BR168" s="252">
        <v>112</v>
      </c>
      <c r="BS168" s="253">
        <v>7676</v>
      </c>
      <c r="BT168" s="329">
        <v>100</v>
      </c>
      <c r="BU168" s="329">
        <v>14102</v>
      </c>
      <c r="BV168" s="252"/>
      <c r="BW168" s="253"/>
      <c r="BX168" s="267"/>
      <c r="BY168" s="268"/>
      <c r="BZ168" s="252"/>
      <c r="CA168" s="253"/>
      <c r="CB168" s="329"/>
      <c r="CC168" s="329"/>
      <c r="CD168" s="255">
        <f t="shared" si="36"/>
        <v>112</v>
      </c>
      <c r="CE168" s="256">
        <f t="shared" si="37"/>
        <v>1153659</v>
      </c>
      <c r="CF168" s="257">
        <f t="shared" si="38"/>
        <v>100</v>
      </c>
      <c r="CG168" s="261">
        <f t="shared" si="39"/>
        <v>1689589</v>
      </c>
      <c r="CH168" s="332"/>
    </row>
    <row r="169" spans="1:86" s="263" customFormat="1" ht="12.75" customHeight="1">
      <c r="A169" s="325" t="s">
        <v>45</v>
      </c>
      <c r="B169" s="326" t="s">
        <v>195</v>
      </c>
      <c r="C169" s="326"/>
      <c r="D169" s="327">
        <v>140599</v>
      </c>
      <c r="E169" s="265">
        <v>12</v>
      </c>
      <c r="F169" s="252"/>
      <c r="G169" s="253"/>
      <c r="H169" s="328"/>
      <c r="I169" s="329"/>
      <c r="J169" s="252"/>
      <c r="K169" s="253"/>
      <c r="L169" s="329"/>
      <c r="M169" s="329"/>
      <c r="N169" s="252"/>
      <c r="O169" s="253"/>
      <c r="P169" s="267"/>
      <c r="Q169" s="268"/>
      <c r="R169" s="252"/>
      <c r="S169" s="253"/>
      <c r="T169" s="329"/>
      <c r="U169" s="329"/>
      <c r="V169" s="252"/>
      <c r="W169" s="253"/>
      <c r="X169" s="329"/>
      <c r="Y169" s="329"/>
      <c r="Z169" s="252"/>
      <c r="AA169" s="253"/>
      <c r="AB169" s="267"/>
      <c r="AC169" s="268"/>
      <c r="AD169" s="252"/>
      <c r="AE169" s="253"/>
      <c r="AF169" s="329"/>
      <c r="AG169" s="329"/>
      <c r="AH169" s="252"/>
      <c r="AI169" s="253"/>
      <c r="AJ169" s="267"/>
      <c r="AK169" s="268"/>
      <c r="AL169" s="252"/>
      <c r="AM169" s="253"/>
      <c r="AN169" s="330"/>
      <c r="AO169" s="331"/>
      <c r="AP169" s="255">
        <f t="shared" si="32"/>
        <v>0</v>
      </c>
      <c r="AQ169" s="256">
        <f t="shared" si="33"/>
        <v>0</v>
      </c>
      <c r="AR169" s="257">
        <f t="shared" si="34"/>
        <v>0</v>
      </c>
      <c r="AS169" s="258">
        <f t="shared" si="35"/>
        <v>0</v>
      </c>
      <c r="AT169" s="259">
        <v>56</v>
      </c>
      <c r="AU169" s="253">
        <v>283267</v>
      </c>
      <c r="AV169" s="328">
        <v>60</v>
      </c>
      <c r="AW169" s="329">
        <v>320121</v>
      </c>
      <c r="AX169" s="252">
        <v>56</v>
      </c>
      <c r="AY169" s="253">
        <v>372782</v>
      </c>
      <c r="AZ169" s="329">
        <v>60</v>
      </c>
      <c r="BA169" s="329">
        <v>688175</v>
      </c>
      <c r="BB169" s="252"/>
      <c r="BC169" s="253"/>
      <c r="BD169" s="267"/>
      <c r="BE169" s="268"/>
      <c r="BF169" s="252">
        <v>56</v>
      </c>
      <c r="BG169" s="253">
        <v>78289</v>
      </c>
      <c r="BH169" s="329">
        <v>60</v>
      </c>
      <c r="BI169" s="329">
        <v>96367</v>
      </c>
      <c r="BJ169" s="252">
        <v>56</v>
      </c>
      <c r="BK169" s="253">
        <v>11108</v>
      </c>
      <c r="BL169" s="329">
        <v>60</v>
      </c>
      <c r="BM169" s="329">
        <v>22623</v>
      </c>
      <c r="BN169" s="252"/>
      <c r="BO169" s="253"/>
      <c r="BP169" s="267"/>
      <c r="BQ169" s="268"/>
      <c r="BR169" s="252">
        <v>56</v>
      </c>
      <c r="BS169" s="253">
        <v>36011</v>
      </c>
      <c r="BT169" s="329">
        <v>60</v>
      </c>
      <c r="BU169" s="329">
        <v>54516</v>
      </c>
      <c r="BV169" s="252"/>
      <c r="BW169" s="253"/>
      <c r="BX169" s="267"/>
      <c r="BY169" s="268"/>
      <c r="BZ169" s="252"/>
      <c r="CA169" s="253"/>
      <c r="CB169" s="329"/>
      <c r="CC169" s="329"/>
      <c r="CD169" s="255">
        <f t="shared" si="36"/>
        <v>56</v>
      </c>
      <c r="CE169" s="256">
        <f t="shared" si="37"/>
        <v>781457</v>
      </c>
      <c r="CF169" s="257">
        <f t="shared" si="38"/>
        <v>60</v>
      </c>
      <c r="CG169" s="261">
        <f t="shared" si="39"/>
        <v>1181802</v>
      </c>
      <c r="CH169" s="332"/>
    </row>
    <row r="170" spans="1:86" s="263" customFormat="1" ht="12.75" customHeight="1">
      <c r="A170" s="325" t="s">
        <v>45</v>
      </c>
      <c r="B170" s="326" t="s">
        <v>196</v>
      </c>
      <c r="C170" s="326"/>
      <c r="D170" s="327">
        <v>140678</v>
      </c>
      <c r="E170" s="265">
        <v>12</v>
      </c>
      <c r="F170" s="252"/>
      <c r="G170" s="253"/>
      <c r="H170" s="328"/>
      <c r="I170" s="329"/>
      <c r="J170" s="252"/>
      <c r="K170" s="253"/>
      <c r="L170" s="329"/>
      <c r="M170" s="329"/>
      <c r="N170" s="252"/>
      <c r="O170" s="253"/>
      <c r="P170" s="267"/>
      <c r="Q170" s="268"/>
      <c r="R170" s="252"/>
      <c r="S170" s="253"/>
      <c r="T170" s="329"/>
      <c r="U170" s="329"/>
      <c r="V170" s="252"/>
      <c r="W170" s="253"/>
      <c r="X170" s="329"/>
      <c r="Y170" s="329"/>
      <c r="Z170" s="252"/>
      <c r="AA170" s="253"/>
      <c r="AB170" s="267"/>
      <c r="AC170" s="268"/>
      <c r="AD170" s="252"/>
      <c r="AE170" s="253"/>
      <c r="AF170" s="329"/>
      <c r="AG170" s="329"/>
      <c r="AH170" s="252"/>
      <c r="AI170" s="253"/>
      <c r="AJ170" s="267"/>
      <c r="AK170" s="268"/>
      <c r="AL170" s="252"/>
      <c r="AM170" s="253"/>
      <c r="AN170" s="330"/>
      <c r="AO170" s="331"/>
      <c r="AP170" s="255">
        <f t="shared" si="32"/>
        <v>0</v>
      </c>
      <c r="AQ170" s="256">
        <f t="shared" si="33"/>
        <v>0</v>
      </c>
      <c r="AR170" s="257">
        <f t="shared" si="34"/>
        <v>0</v>
      </c>
      <c r="AS170" s="258">
        <f t="shared" si="35"/>
        <v>0</v>
      </c>
      <c r="AT170" s="259">
        <v>72</v>
      </c>
      <c r="AU170" s="253">
        <v>342666</v>
      </c>
      <c r="AV170" s="328">
        <v>71</v>
      </c>
      <c r="AW170" s="329">
        <v>351382</v>
      </c>
      <c r="AX170" s="252">
        <v>72</v>
      </c>
      <c r="AY170" s="253">
        <v>573453</v>
      </c>
      <c r="AZ170" s="329">
        <v>71</v>
      </c>
      <c r="BA170" s="329">
        <v>871973</v>
      </c>
      <c r="BB170" s="252"/>
      <c r="BC170" s="253"/>
      <c r="BD170" s="267"/>
      <c r="BE170" s="268"/>
      <c r="BF170" s="252">
        <v>17</v>
      </c>
      <c r="BG170" s="253">
        <v>66325</v>
      </c>
      <c r="BH170" s="329">
        <v>16</v>
      </c>
      <c r="BI170" s="329">
        <v>61122</v>
      </c>
      <c r="BJ170" s="252">
        <v>72</v>
      </c>
      <c r="BK170" s="253">
        <v>7238</v>
      </c>
      <c r="BL170" s="329">
        <v>71</v>
      </c>
      <c r="BM170" s="329">
        <v>12603</v>
      </c>
      <c r="BN170" s="252"/>
      <c r="BO170" s="253"/>
      <c r="BP170" s="267"/>
      <c r="BQ170" s="268"/>
      <c r="BR170" s="252">
        <v>72</v>
      </c>
      <c r="BS170" s="253">
        <v>21992</v>
      </c>
      <c r="BT170" s="329">
        <v>71</v>
      </c>
      <c r="BU170" s="329">
        <v>30370</v>
      </c>
      <c r="BV170" s="252"/>
      <c r="BW170" s="253"/>
      <c r="BX170" s="267"/>
      <c r="BY170" s="268"/>
      <c r="BZ170" s="252"/>
      <c r="CA170" s="253"/>
      <c r="CB170" s="329"/>
      <c r="CC170" s="329"/>
      <c r="CD170" s="255">
        <f t="shared" si="36"/>
        <v>72</v>
      </c>
      <c r="CE170" s="256">
        <f t="shared" si="37"/>
        <v>1011674</v>
      </c>
      <c r="CF170" s="257">
        <f t="shared" si="38"/>
        <v>71</v>
      </c>
      <c r="CG170" s="261">
        <f t="shared" si="39"/>
        <v>1327450</v>
      </c>
      <c r="CH170" s="332"/>
    </row>
    <row r="171" spans="1:86" s="263" customFormat="1" ht="12.75" customHeight="1">
      <c r="A171" s="325" t="s">
        <v>45</v>
      </c>
      <c r="B171" s="326" t="s">
        <v>197</v>
      </c>
      <c r="C171" s="326"/>
      <c r="D171" s="327">
        <v>366465</v>
      </c>
      <c r="E171" s="265">
        <v>12</v>
      </c>
      <c r="F171" s="252"/>
      <c r="G171" s="253"/>
      <c r="H171" s="328"/>
      <c r="I171" s="329"/>
      <c r="J171" s="252"/>
      <c r="K171" s="253"/>
      <c r="L171" s="329"/>
      <c r="M171" s="329"/>
      <c r="N171" s="252"/>
      <c r="O171" s="253"/>
      <c r="P171" s="267"/>
      <c r="Q171" s="268"/>
      <c r="R171" s="252"/>
      <c r="S171" s="253"/>
      <c r="T171" s="329"/>
      <c r="U171" s="329"/>
      <c r="V171" s="252"/>
      <c r="W171" s="253"/>
      <c r="X171" s="329"/>
      <c r="Y171" s="329"/>
      <c r="Z171" s="252"/>
      <c r="AA171" s="253"/>
      <c r="AB171" s="267"/>
      <c r="AC171" s="268"/>
      <c r="AD171" s="252"/>
      <c r="AE171" s="253"/>
      <c r="AF171" s="329"/>
      <c r="AG171" s="329"/>
      <c r="AH171" s="252"/>
      <c r="AI171" s="253"/>
      <c r="AJ171" s="267"/>
      <c r="AK171" s="268"/>
      <c r="AL171" s="252"/>
      <c r="AM171" s="253"/>
      <c r="AN171" s="330"/>
      <c r="AO171" s="331"/>
      <c r="AP171" s="255">
        <f t="shared" si="32"/>
        <v>0</v>
      </c>
      <c r="AQ171" s="256">
        <f t="shared" si="33"/>
        <v>0</v>
      </c>
      <c r="AR171" s="257">
        <f t="shared" si="34"/>
        <v>0</v>
      </c>
      <c r="AS171" s="258">
        <f t="shared" si="35"/>
        <v>0</v>
      </c>
      <c r="AT171" s="259">
        <v>67</v>
      </c>
      <c r="AU171" s="253">
        <v>295957</v>
      </c>
      <c r="AV171" s="328">
        <v>71</v>
      </c>
      <c r="AW171" s="329">
        <v>299644</v>
      </c>
      <c r="AX171" s="252">
        <v>58</v>
      </c>
      <c r="AY171" s="253">
        <v>414789</v>
      </c>
      <c r="AZ171" s="329">
        <v>65</v>
      </c>
      <c r="BA171" s="329">
        <v>324428</v>
      </c>
      <c r="BB171" s="252"/>
      <c r="BC171" s="253"/>
      <c r="BD171" s="267"/>
      <c r="BE171" s="268"/>
      <c r="BF171" s="252">
        <v>67</v>
      </c>
      <c r="BG171" s="253">
        <v>66639</v>
      </c>
      <c r="BH171" s="329">
        <v>71</v>
      </c>
      <c r="BI171" s="329">
        <v>59037</v>
      </c>
      <c r="BJ171" s="252">
        <v>67</v>
      </c>
      <c r="BK171" s="253">
        <v>5956</v>
      </c>
      <c r="BL171" s="329">
        <v>71</v>
      </c>
      <c r="BM171" s="329">
        <v>12678</v>
      </c>
      <c r="BN171" s="252"/>
      <c r="BO171" s="253"/>
      <c r="BP171" s="267"/>
      <c r="BQ171" s="268"/>
      <c r="BR171" s="252">
        <v>67</v>
      </c>
      <c r="BS171" s="253">
        <v>19307</v>
      </c>
      <c r="BT171" s="329">
        <v>71</v>
      </c>
      <c r="BU171" s="329">
        <v>24751</v>
      </c>
      <c r="BV171" s="252"/>
      <c r="BW171" s="253"/>
      <c r="BX171" s="267"/>
      <c r="BY171" s="268"/>
      <c r="BZ171" s="252"/>
      <c r="CA171" s="253"/>
      <c r="CB171" s="329"/>
      <c r="CC171" s="329"/>
      <c r="CD171" s="255">
        <f t="shared" si="36"/>
        <v>67</v>
      </c>
      <c r="CE171" s="256">
        <f t="shared" si="37"/>
        <v>802648</v>
      </c>
      <c r="CF171" s="257">
        <f t="shared" si="38"/>
        <v>71</v>
      </c>
      <c r="CG171" s="261">
        <f t="shared" si="39"/>
        <v>720538</v>
      </c>
      <c r="CH171" s="332"/>
    </row>
    <row r="172" spans="1:86" s="263" customFormat="1" ht="12.75" customHeight="1">
      <c r="A172" s="325" t="s">
        <v>45</v>
      </c>
      <c r="B172" s="326" t="s">
        <v>198</v>
      </c>
      <c r="C172" s="326"/>
      <c r="D172" s="327">
        <v>248776</v>
      </c>
      <c r="E172" s="265">
        <v>12</v>
      </c>
      <c r="F172" s="252">
        <v>2</v>
      </c>
      <c r="G172" s="253">
        <v>7394</v>
      </c>
      <c r="H172" s="328">
        <v>2</v>
      </c>
      <c r="I172" s="329">
        <v>7597</v>
      </c>
      <c r="J172" s="252">
        <v>2</v>
      </c>
      <c r="K172" s="253">
        <v>16281</v>
      </c>
      <c r="L172" s="329">
        <v>2</v>
      </c>
      <c r="M172" s="329">
        <v>18793</v>
      </c>
      <c r="N172" s="252"/>
      <c r="O172" s="253"/>
      <c r="P172" s="267"/>
      <c r="Q172" s="268"/>
      <c r="R172" s="252">
        <v>2</v>
      </c>
      <c r="S172" s="253">
        <v>3245</v>
      </c>
      <c r="T172" s="329">
        <v>2</v>
      </c>
      <c r="U172" s="329">
        <v>3245</v>
      </c>
      <c r="V172" s="252">
        <v>2</v>
      </c>
      <c r="W172" s="253">
        <v>193</v>
      </c>
      <c r="X172" s="329">
        <v>2</v>
      </c>
      <c r="Y172" s="329">
        <v>317</v>
      </c>
      <c r="Z172" s="252"/>
      <c r="AA172" s="253"/>
      <c r="AB172" s="267"/>
      <c r="AC172" s="268"/>
      <c r="AD172" s="252">
        <v>2</v>
      </c>
      <c r="AE172" s="253">
        <v>588</v>
      </c>
      <c r="AF172" s="329">
        <v>2</v>
      </c>
      <c r="AG172" s="329">
        <v>765</v>
      </c>
      <c r="AH172" s="252"/>
      <c r="AI172" s="253"/>
      <c r="AJ172" s="267"/>
      <c r="AK172" s="268"/>
      <c r="AL172" s="252"/>
      <c r="AM172" s="253"/>
      <c r="AN172" s="330"/>
      <c r="AO172" s="331"/>
      <c r="AP172" s="255">
        <f t="shared" si="32"/>
        <v>2</v>
      </c>
      <c r="AQ172" s="256">
        <f t="shared" si="33"/>
        <v>27701</v>
      </c>
      <c r="AR172" s="257">
        <f t="shared" si="34"/>
        <v>2</v>
      </c>
      <c r="AS172" s="258">
        <f t="shared" si="35"/>
        <v>30717</v>
      </c>
      <c r="AT172" s="259">
        <v>47</v>
      </c>
      <c r="AU172" s="253">
        <v>220910</v>
      </c>
      <c r="AV172" s="328">
        <v>50</v>
      </c>
      <c r="AW172" s="329">
        <v>244789</v>
      </c>
      <c r="AX172" s="252">
        <v>47</v>
      </c>
      <c r="AY172" s="253">
        <v>499478</v>
      </c>
      <c r="AZ172" s="329">
        <v>50</v>
      </c>
      <c r="BA172" s="329">
        <v>610619</v>
      </c>
      <c r="BB172" s="252"/>
      <c r="BC172" s="253"/>
      <c r="BD172" s="267"/>
      <c r="BE172" s="268"/>
      <c r="BF172" s="252">
        <v>47</v>
      </c>
      <c r="BG172" s="253">
        <v>48559</v>
      </c>
      <c r="BH172" s="329">
        <v>50</v>
      </c>
      <c r="BI172" s="329">
        <v>49283</v>
      </c>
      <c r="BJ172" s="252">
        <v>47</v>
      </c>
      <c r="BK172" s="253">
        <v>4544</v>
      </c>
      <c r="BL172" s="329">
        <v>50</v>
      </c>
      <c r="BM172" s="329">
        <v>7933</v>
      </c>
      <c r="BN172" s="252"/>
      <c r="BO172" s="253"/>
      <c r="BP172" s="267"/>
      <c r="BQ172" s="268"/>
      <c r="BR172" s="252">
        <v>47</v>
      </c>
      <c r="BS172" s="253">
        <v>13808</v>
      </c>
      <c r="BT172" s="329">
        <v>50</v>
      </c>
      <c r="BU172" s="329">
        <v>19117</v>
      </c>
      <c r="BV172" s="252"/>
      <c r="BW172" s="253"/>
      <c r="BX172" s="267"/>
      <c r="BY172" s="268"/>
      <c r="BZ172" s="252"/>
      <c r="CA172" s="253"/>
      <c r="CB172" s="329"/>
      <c r="CC172" s="329"/>
      <c r="CD172" s="255">
        <f t="shared" si="36"/>
        <v>47</v>
      </c>
      <c r="CE172" s="256">
        <f t="shared" si="37"/>
        <v>787299</v>
      </c>
      <c r="CF172" s="257">
        <f t="shared" si="38"/>
        <v>50</v>
      </c>
      <c r="CG172" s="261">
        <f t="shared" si="39"/>
        <v>931741</v>
      </c>
      <c r="CH172" s="332"/>
    </row>
    <row r="173" spans="1:86" s="263" customFormat="1" ht="12.75" customHeight="1">
      <c r="A173" s="325" t="s">
        <v>45</v>
      </c>
      <c r="B173" s="326" t="s">
        <v>199</v>
      </c>
      <c r="C173" s="326"/>
      <c r="D173" s="327">
        <v>140942</v>
      </c>
      <c r="E173" s="265">
        <v>12</v>
      </c>
      <c r="F173" s="252">
        <v>4</v>
      </c>
      <c r="G173" s="253">
        <v>8474</v>
      </c>
      <c r="H173" s="328">
        <v>2</v>
      </c>
      <c r="I173" s="329">
        <v>9985</v>
      </c>
      <c r="J173" s="252">
        <v>4</v>
      </c>
      <c r="K173" s="253">
        <v>10193</v>
      </c>
      <c r="L173" s="329">
        <v>2</v>
      </c>
      <c r="M173" s="329">
        <v>26722</v>
      </c>
      <c r="N173" s="252"/>
      <c r="O173" s="253"/>
      <c r="P173" s="267"/>
      <c r="Q173" s="268"/>
      <c r="R173" s="252">
        <v>1</v>
      </c>
      <c r="S173" s="253">
        <v>711</v>
      </c>
      <c r="T173" s="329">
        <v>0</v>
      </c>
      <c r="U173" s="329">
        <v>0</v>
      </c>
      <c r="V173" s="252">
        <v>4</v>
      </c>
      <c r="W173" s="253">
        <v>306</v>
      </c>
      <c r="X173" s="329">
        <v>2</v>
      </c>
      <c r="Y173" s="329">
        <v>168</v>
      </c>
      <c r="Z173" s="252"/>
      <c r="AA173" s="253"/>
      <c r="AB173" s="267"/>
      <c r="AC173" s="268"/>
      <c r="AD173" s="252">
        <v>4</v>
      </c>
      <c r="AE173" s="253">
        <v>490</v>
      </c>
      <c r="AF173" s="329">
        <v>2</v>
      </c>
      <c r="AG173" s="329">
        <v>510</v>
      </c>
      <c r="AH173" s="252"/>
      <c r="AI173" s="253"/>
      <c r="AJ173" s="267"/>
      <c r="AK173" s="268"/>
      <c r="AL173" s="252"/>
      <c r="AM173" s="253"/>
      <c r="AN173" s="330"/>
      <c r="AO173" s="331"/>
      <c r="AP173" s="255">
        <f t="shared" si="32"/>
        <v>4</v>
      </c>
      <c r="AQ173" s="256">
        <f t="shared" si="33"/>
        <v>20174</v>
      </c>
      <c r="AR173" s="257">
        <f t="shared" si="34"/>
        <v>2</v>
      </c>
      <c r="AS173" s="258">
        <f t="shared" si="35"/>
        <v>37385</v>
      </c>
      <c r="AT173" s="259">
        <v>81</v>
      </c>
      <c r="AU173" s="253">
        <v>360930</v>
      </c>
      <c r="AV173" s="328">
        <v>88</v>
      </c>
      <c r="AW173" s="329">
        <v>423625</v>
      </c>
      <c r="AX173" s="252">
        <v>81</v>
      </c>
      <c r="AY173" s="253">
        <v>396098</v>
      </c>
      <c r="AZ173" s="329">
        <v>88</v>
      </c>
      <c r="BA173" s="329">
        <v>1054160</v>
      </c>
      <c r="BB173" s="252"/>
      <c r="BC173" s="253"/>
      <c r="BD173" s="267"/>
      <c r="BE173" s="268"/>
      <c r="BF173" s="252">
        <v>12</v>
      </c>
      <c r="BG173" s="253">
        <v>31621</v>
      </c>
      <c r="BH173" s="329">
        <v>13</v>
      </c>
      <c r="BI173" s="329">
        <v>35018</v>
      </c>
      <c r="BJ173" s="252">
        <v>81</v>
      </c>
      <c r="BK173" s="253">
        <v>6198</v>
      </c>
      <c r="BL173" s="329">
        <v>88</v>
      </c>
      <c r="BM173" s="329">
        <v>7381</v>
      </c>
      <c r="BN173" s="252"/>
      <c r="BO173" s="253"/>
      <c r="BP173" s="267"/>
      <c r="BQ173" s="268"/>
      <c r="BR173" s="252">
        <v>81</v>
      </c>
      <c r="BS173" s="253">
        <v>9915</v>
      </c>
      <c r="BT173" s="329">
        <v>88</v>
      </c>
      <c r="BU173" s="329">
        <v>22429</v>
      </c>
      <c r="BV173" s="252"/>
      <c r="BW173" s="253"/>
      <c r="BX173" s="267"/>
      <c r="BY173" s="268"/>
      <c r="BZ173" s="252"/>
      <c r="CA173" s="253"/>
      <c r="CB173" s="329"/>
      <c r="CC173" s="329"/>
      <c r="CD173" s="255">
        <f t="shared" si="36"/>
        <v>81</v>
      </c>
      <c r="CE173" s="256">
        <f t="shared" si="37"/>
        <v>804762</v>
      </c>
      <c r="CF173" s="257">
        <f t="shared" si="38"/>
        <v>88</v>
      </c>
      <c r="CG173" s="261">
        <f t="shared" si="39"/>
        <v>1542613</v>
      </c>
      <c r="CH173" s="332"/>
    </row>
    <row r="174" spans="1:86" s="263" customFormat="1" ht="12.75" customHeight="1">
      <c r="A174" s="325" t="s">
        <v>45</v>
      </c>
      <c r="B174" s="326" t="s">
        <v>200</v>
      </c>
      <c r="C174" s="326"/>
      <c r="D174" s="327">
        <v>141006</v>
      </c>
      <c r="E174" s="265">
        <v>12</v>
      </c>
      <c r="F174" s="252"/>
      <c r="G174" s="253"/>
      <c r="H174" s="328"/>
      <c r="I174" s="329"/>
      <c r="J174" s="252"/>
      <c r="K174" s="253"/>
      <c r="L174" s="329"/>
      <c r="M174" s="329"/>
      <c r="N174" s="252"/>
      <c r="O174" s="253"/>
      <c r="P174" s="267"/>
      <c r="Q174" s="268"/>
      <c r="R174" s="252"/>
      <c r="S174" s="253"/>
      <c r="T174" s="329"/>
      <c r="U174" s="329"/>
      <c r="V174" s="252"/>
      <c r="W174" s="253"/>
      <c r="X174" s="329"/>
      <c r="Y174" s="329"/>
      <c r="Z174" s="252"/>
      <c r="AA174" s="253"/>
      <c r="AB174" s="267"/>
      <c r="AC174" s="268"/>
      <c r="AD174" s="252"/>
      <c r="AE174" s="253"/>
      <c r="AF174" s="329"/>
      <c r="AG174" s="329"/>
      <c r="AH174" s="252"/>
      <c r="AI174" s="253"/>
      <c r="AJ174" s="267"/>
      <c r="AK174" s="268"/>
      <c r="AL174" s="252"/>
      <c r="AM174" s="253"/>
      <c r="AN174" s="330"/>
      <c r="AO174" s="331"/>
      <c r="AP174" s="255">
        <f t="shared" si="32"/>
        <v>0</v>
      </c>
      <c r="AQ174" s="256">
        <f t="shared" si="33"/>
        <v>0</v>
      </c>
      <c r="AR174" s="257">
        <f t="shared" si="34"/>
        <v>0</v>
      </c>
      <c r="AS174" s="258">
        <f t="shared" si="35"/>
        <v>0</v>
      </c>
      <c r="AT174" s="259">
        <v>63</v>
      </c>
      <c r="AU174" s="253">
        <v>317184</v>
      </c>
      <c r="AV174" s="328">
        <v>63</v>
      </c>
      <c r="AW174" s="329">
        <v>326745</v>
      </c>
      <c r="AX174" s="252">
        <v>63</v>
      </c>
      <c r="AY174" s="253">
        <v>728496</v>
      </c>
      <c r="AZ174" s="329">
        <v>63</v>
      </c>
      <c r="BA174" s="329">
        <v>680336</v>
      </c>
      <c r="BB174" s="252"/>
      <c r="BC174" s="253"/>
      <c r="BD174" s="267"/>
      <c r="BE174" s="268"/>
      <c r="BF174" s="252">
        <v>63</v>
      </c>
      <c r="BG174" s="253">
        <v>114312</v>
      </c>
      <c r="BH174" s="329">
        <v>63</v>
      </c>
      <c r="BI174" s="329">
        <v>118660</v>
      </c>
      <c r="BJ174" s="252">
        <v>63</v>
      </c>
      <c r="BK174" s="253">
        <v>5103</v>
      </c>
      <c r="BL174" s="329">
        <v>63</v>
      </c>
      <c r="BM174" s="329">
        <v>4670</v>
      </c>
      <c r="BN174" s="252"/>
      <c r="BO174" s="253"/>
      <c r="BP174" s="267"/>
      <c r="BQ174" s="268"/>
      <c r="BR174" s="252">
        <v>63</v>
      </c>
      <c r="BS174" s="253">
        <v>15561</v>
      </c>
      <c r="BT174" s="329">
        <v>63</v>
      </c>
      <c r="BU174" s="329">
        <v>15117</v>
      </c>
      <c r="BV174" s="252"/>
      <c r="BW174" s="253"/>
      <c r="BX174" s="267"/>
      <c r="BY174" s="268"/>
      <c r="BZ174" s="252"/>
      <c r="CA174" s="253"/>
      <c r="CB174" s="329"/>
      <c r="CC174" s="329"/>
      <c r="CD174" s="255">
        <f t="shared" si="36"/>
        <v>63</v>
      </c>
      <c r="CE174" s="256">
        <f t="shared" si="37"/>
        <v>1180656</v>
      </c>
      <c r="CF174" s="257">
        <f t="shared" si="38"/>
        <v>63</v>
      </c>
      <c r="CG174" s="261">
        <f t="shared" si="39"/>
        <v>1145528</v>
      </c>
      <c r="CH174" s="332"/>
    </row>
    <row r="175" spans="1:86" s="263" customFormat="1" ht="12.75" customHeight="1">
      <c r="A175" s="325" t="s">
        <v>45</v>
      </c>
      <c r="B175" s="333" t="s">
        <v>201</v>
      </c>
      <c r="C175" s="333"/>
      <c r="D175" s="327">
        <v>368911</v>
      </c>
      <c r="E175" s="265">
        <v>12</v>
      </c>
      <c r="F175" s="252"/>
      <c r="G175" s="253"/>
      <c r="H175" s="328"/>
      <c r="I175" s="329"/>
      <c r="J175" s="252"/>
      <c r="K175" s="253"/>
      <c r="L175" s="329"/>
      <c r="M175" s="329"/>
      <c r="N175" s="252"/>
      <c r="O175" s="253"/>
      <c r="P175" s="267"/>
      <c r="Q175" s="268"/>
      <c r="R175" s="252"/>
      <c r="S175" s="253"/>
      <c r="T175" s="329"/>
      <c r="U175" s="329"/>
      <c r="V175" s="252"/>
      <c r="W175" s="253"/>
      <c r="X175" s="329"/>
      <c r="Y175" s="329"/>
      <c r="Z175" s="252"/>
      <c r="AA175" s="253"/>
      <c r="AB175" s="267"/>
      <c r="AC175" s="268"/>
      <c r="AD175" s="252"/>
      <c r="AE175" s="253"/>
      <c r="AF175" s="329"/>
      <c r="AG175" s="329"/>
      <c r="AH175" s="252"/>
      <c r="AI175" s="253"/>
      <c r="AJ175" s="267"/>
      <c r="AK175" s="268"/>
      <c r="AL175" s="252"/>
      <c r="AM175" s="253"/>
      <c r="AN175" s="330"/>
      <c r="AO175" s="331"/>
      <c r="AP175" s="255">
        <f t="shared" si="32"/>
        <v>0</v>
      </c>
      <c r="AQ175" s="256">
        <f t="shared" si="33"/>
        <v>0</v>
      </c>
      <c r="AR175" s="257">
        <f t="shared" si="34"/>
        <v>0</v>
      </c>
      <c r="AS175" s="258">
        <f t="shared" si="35"/>
        <v>0</v>
      </c>
      <c r="AT175" s="259">
        <v>70</v>
      </c>
      <c r="AU175" s="253">
        <v>355884</v>
      </c>
      <c r="AV175" s="328">
        <v>70</v>
      </c>
      <c r="AW175" s="329">
        <v>368991</v>
      </c>
      <c r="AX175" s="252">
        <v>70</v>
      </c>
      <c r="AY175" s="253">
        <v>587736</v>
      </c>
      <c r="AZ175" s="329">
        <v>70</v>
      </c>
      <c r="BA175" s="329">
        <v>843273</v>
      </c>
      <c r="BB175" s="252">
        <v>0</v>
      </c>
      <c r="BC175" s="253">
        <v>0</v>
      </c>
      <c r="BD175" s="267"/>
      <c r="BE175" s="268"/>
      <c r="BF175" s="252">
        <v>16</v>
      </c>
      <c r="BG175" s="253">
        <v>75396</v>
      </c>
      <c r="BH175" s="329">
        <v>18</v>
      </c>
      <c r="BI175" s="329">
        <v>78708</v>
      </c>
      <c r="BJ175" s="252">
        <v>70</v>
      </c>
      <c r="BK175" s="253">
        <v>7660</v>
      </c>
      <c r="BL175" s="329">
        <v>70</v>
      </c>
      <c r="BM175" s="329">
        <v>24271</v>
      </c>
      <c r="BN175" s="252">
        <v>0</v>
      </c>
      <c r="BO175" s="253">
        <v>0</v>
      </c>
      <c r="BP175" s="267"/>
      <c r="BQ175" s="268"/>
      <c r="BR175" s="252">
        <v>70</v>
      </c>
      <c r="BS175" s="253">
        <v>24835</v>
      </c>
      <c r="BT175" s="329">
        <v>70</v>
      </c>
      <c r="BU175" s="329">
        <v>52267</v>
      </c>
      <c r="BV175" s="252">
        <v>0</v>
      </c>
      <c r="BW175" s="253">
        <v>0</v>
      </c>
      <c r="BX175" s="267"/>
      <c r="BY175" s="268"/>
      <c r="BZ175" s="252">
        <v>0</v>
      </c>
      <c r="CA175" s="253">
        <v>0</v>
      </c>
      <c r="CB175" s="329"/>
      <c r="CC175" s="329"/>
      <c r="CD175" s="255">
        <f t="shared" si="36"/>
        <v>70</v>
      </c>
      <c r="CE175" s="256">
        <f t="shared" si="37"/>
        <v>1051511</v>
      </c>
      <c r="CF175" s="257">
        <f t="shared" si="38"/>
        <v>70</v>
      </c>
      <c r="CG175" s="261">
        <f t="shared" si="39"/>
        <v>1367510</v>
      </c>
      <c r="CH175" s="332"/>
    </row>
    <row r="176" spans="1:86" s="263" customFormat="1" ht="12.75" customHeight="1">
      <c r="A176" s="325" t="s">
        <v>45</v>
      </c>
      <c r="B176" s="333" t="s">
        <v>202</v>
      </c>
      <c r="C176" s="333"/>
      <c r="D176" s="327">
        <v>141158</v>
      </c>
      <c r="E176" s="265">
        <v>12</v>
      </c>
      <c r="F176" s="252"/>
      <c r="G176" s="253"/>
      <c r="H176" s="328">
        <v>1</v>
      </c>
      <c r="I176" s="329">
        <v>4450</v>
      </c>
      <c r="J176" s="252"/>
      <c r="K176" s="253"/>
      <c r="L176" s="329">
        <v>1</v>
      </c>
      <c r="M176" s="329">
        <v>10936</v>
      </c>
      <c r="N176" s="252"/>
      <c r="O176" s="253"/>
      <c r="P176" s="267"/>
      <c r="Q176" s="268"/>
      <c r="R176" s="252"/>
      <c r="S176" s="253"/>
      <c r="T176" s="329"/>
      <c r="U176" s="329"/>
      <c r="V176" s="252"/>
      <c r="W176" s="253"/>
      <c r="X176" s="329">
        <v>0</v>
      </c>
      <c r="Y176" s="329">
        <v>0</v>
      </c>
      <c r="Z176" s="252"/>
      <c r="AA176" s="253"/>
      <c r="AB176" s="267"/>
      <c r="AC176" s="268"/>
      <c r="AD176" s="252"/>
      <c r="AE176" s="253"/>
      <c r="AF176" s="329">
        <v>1</v>
      </c>
      <c r="AG176" s="329">
        <v>98</v>
      </c>
      <c r="AH176" s="252"/>
      <c r="AI176" s="253"/>
      <c r="AJ176" s="267"/>
      <c r="AK176" s="268"/>
      <c r="AL176" s="252"/>
      <c r="AM176" s="253"/>
      <c r="AN176" s="334">
        <v>1</v>
      </c>
      <c r="AO176" s="335">
        <v>299</v>
      </c>
      <c r="AP176" s="255">
        <f t="shared" si="32"/>
        <v>0</v>
      </c>
      <c r="AQ176" s="256">
        <f t="shared" si="33"/>
        <v>0</v>
      </c>
      <c r="AR176" s="257">
        <f t="shared" si="34"/>
        <v>1</v>
      </c>
      <c r="AS176" s="258">
        <f t="shared" si="35"/>
        <v>15783</v>
      </c>
      <c r="AT176" s="259">
        <v>53</v>
      </c>
      <c r="AU176" s="253">
        <v>291171</v>
      </c>
      <c r="AV176" s="328">
        <v>47</v>
      </c>
      <c r="AW176" s="329">
        <v>253473</v>
      </c>
      <c r="AX176" s="252">
        <v>53</v>
      </c>
      <c r="AY176" s="253">
        <v>452896</v>
      </c>
      <c r="AZ176" s="329">
        <v>47</v>
      </c>
      <c r="BA176" s="329">
        <v>661445</v>
      </c>
      <c r="BB176" s="252"/>
      <c r="BC176" s="253"/>
      <c r="BD176" s="267"/>
      <c r="BE176" s="268"/>
      <c r="BF176" s="252"/>
      <c r="BG176" s="253"/>
      <c r="BH176" s="329"/>
      <c r="BI176" s="329"/>
      <c r="BJ176" s="252">
        <v>53</v>
      </c>
      <c r="BK176" s="253">
        <v>5834</v>
      </c>
      <c r="BL176" s="329">
        <v>47</v>
      </c>
      <c r="BM176" s="329">
        <v>4646</v>
      </c>
      <c r="BN176" s="252"/>
      <c r="BO176" s="253"/>
      <c r="BP176" s="267"/>
      <c r="BQ176" s="268"/>
      <c r="BR176" s="252">
        <v>53</v>
      </c>
      <c r="BS176" s="253">
        <v>17724</v>
      </c>
      <c r="BT176" s="329">
        <v>47</v>
      </c>
      <c r="BU176" s="329">
        <v>14114</v>
      </c>
      <c r="BV176" s="252"/>
      <c r="BW176" s="253"/>
      <c r="BX176" s="267"/>
      <c r="BY176" s="268"/>
      <c r="BZ176" s="252"/>
      <c r="CA176" s="253"/>
      <c r="CB176" s="329"/>
      <c r="CC176" s="329"/>
      <c r="CD176" s="255">
        <f t="shared" si="36"/>
        <v>53</v>
      </c>
      <c r="CE176" s="256">
        <f t="shared" si="37"/>
        <v>767625</v>
      </c>
      <c r="CF176" s="257">
        <f t="shared" si="38"/>
        <v>47</v>
      </c>
      <c r="CG176" s="261">
        <f t="shared" si="39"/>
        <v>933678</v>
      </c>
      <c r="CH176" s="332"/>
    </row>
    <row r="177" spans="1:86" s="263" customFormat="1" ht="12.75" customHeight="1">
      <c r="A177" s="325" t="s">
        <v>45</v>
      </c>
      <c r="B177" s="493" t="s">
        <v>1166</v>
      </c>
      <c r="C177" s="494" t="s">
        <v>1228</v>
      </c>
      <c r="D177" s="327">
        <v>141255</v>
      </c>
      <c r="E177" s="265">
        <v>12</v>
      </c>
      <c r="F177" s="346">
        <v>2</v>
      </c>
      <c r="G177" s="345">
        <v>5032</v>
      </c>
      <c r="H177" s="328"/>
      <c r="I177" s="329"/>
      <c r="J177" s="346">
        <v>2</v>
      </c>
      <c r="K177" s="345">
        <v>6429</v>
      </c>
      <c r="L177" s="329"/>
      <c r="M177" s="329"/>
      <c r="N177" s="252"/>
      <c r="O177" s="253"/>
      <c r="P177" s="267"/>
      <c r="Q177" s="268"/>
      <c r="R177" s="252"/>
      <c r="S177" s="253"/>
      <c r="T177" s="329"/>
      <c r="U177" s="329"/>
      <c r="V177" s="346">
        <v>2</v>
      </c>
      <c r="W177" s="345">
        <v>82</v>
      </c>
      <c r="X177" s="329"/>
      <c r="Y177" s="329"/>
      <c r="Z177" s="252"/>
      <c r="AA177" s="253"/>
      <c r="AB177" s="267"/>
      <c r="AC177" s="268"/>
      <c r="AD177" s="346">
        <v>2</v>
      </c>
      <c r="AE177" s="345">
        <v>134</v>
      </c>
      <c r="AF177" s="329"/>
      <c r="AG177" s="329"/>
      <c r="AH177" s="252"/>
      <c r="AI177" s="253"/>
      <c r="AJ177" s="267"/>
      <c r="AK177" s="268"/>
      <c r="AL177" s="252"/>
      <c r="AM177" s="253"/>
      <c r="AN177" s="330"/>
      <c r="AO177" s="331"/>
      <c r="AP177" s="255">
        <f t="shared" si="32"/>
        <v>2</v>
      </c>
      <c r="AQ177" s="256">
        <f t="shared" si="33"/>
        <v>11677</v>
      </c>
      <c r="AR177" s="257">
        <f t="shared" si="34"/>
        <v>0</v>
      </c>
      <c r="AS177" s="258">
        <f t="shared" si="35"/>
        <v>0</v>
      </c>
      <c r="AT177" s="344">
        <v>115</v>
      </c>
      <c r="AU177" s="345">
        <v>288983.59999999998</v>
      </c>
      <c r="AV177" s="328">
        <v>121</v>
      </c>
      <c r="AW177" s="329">
        <v>595153</v>
      </c>
      <c r="AX177" s="346">
        <v>115</v>
      </c>
      <c r="AY177" s="345">
        <v>456149.8</v>
      </c>
      <c r="AZ177" s="329">
        <v>121</v>
      </c>
      <c r="BA177" s="329">
        <v>1283226</v>
      </c>
      <c r="BB177" s="252"/>
      <c r="BC177" s="253"/>
      <c r="BD177" s="267"/>
      <c r="BE177" s="268"/>
      <c r="BF177" s="346">
        <v>86</v>
      </c>
      <c r="BG177" s="345">
        <v>50063.872093023259</v>
      </c>
      <c r="BH177" s="329">
        <v>121</v>
      </c>
      <c r="BI177" s="329">
        <v>83947</v>
      </c>
      <c r="BJ177" s="346">
        <v>115</v>
      </c>
      <c r="BK177" s="345">
        <v>8687.2000000000007</v>
      </c>
      <c r="BL177" s="329">
        <v>121</v>
      </c>
      <c r="BM177" s="329">
        <v>47599</v>
      </c>
      <c r="BN177" s="252"/>
      <c r="BO177" s="253"/>
      <c r="BP177" s="267"/>
      <c r="BQ177" s="268"/>
      <c r="BR177" s="346">
        <v>115</v>
      </c>
      <c r="BS177" s="345">
        <v>24959.8</v>
      </c>
      <c r="BT177" s="329">
        <v>121</v>
      </c>
      <c r="BU177" s="329">
        <v>54892</v>
      </c>
      <c r="BV177" s="252"/>
      <c r="BW177" s="253"/>
      <c r="BX177" s="267"/>
      <c r="BY177" s="268"/>
      <c r="BZ177" s="252"/>
      <c r="CA177" s="253"/>
      <c r="CB177" s="329"/>
      <c r="CC177" s="329"/>
      <c r="CD177" s="255">
        <f t="shared" si="36"/>
        <v>115</v>
      </c>
      <c r="CE177" s="256">
        <f t="shared" si="37"/>
        <v>828844.27209302329</v>
      </c>
      <c r="CF177" s="257">
        <f t="shared" si="38"/>
        <v>121</v>
      </c>
      <c r="CG177" s="261">
        <f t="shared" si="39"/>
        <v>2064817</v>
      </c>
      <c r="CH177" s="332"/>
    </row>
    <row r="178" spans="1:86" s="263" customFormat="1" ht="12.75" customHeight="1">
      <c r="A178" s="325" t="s">
        <v>45</v>
      </c>
      <c r="B178" s="333" t="s">
        <v>203</v>
      </c>
      <c r="C178" s="333"/>
      <c r="D178" s="327">
        <v>139278</v>
      </c>
      <c r="E178" s="265">
        <v>12</v>
      </c>
      <c r="F178" s="252"/>
      <c r="G178" s="253"/>
      <c r="H178" s="328">
        <v>1</v>
      </c>
      <c r="I178" s="329">
        <v>5088</v>
      </c>
      <c r="J178" s="252"/>
      <c r="K178" s="253"/>
      <c r="L178" s="329">
        <v>1</v>
      </c>
      <c r="M178" s="329">
        <v>12504</v>
      </c>
      <c r="N178" s="252"/>
      <c r="O178" s="253"/>
      <c r="P178" s="267"/>
      <c r="Q178" s="268"/>
      <c r="R178" s="252"/>
      <c r="S178" s="253"/>
      <c r="T178" s="329">
        <v>1</v>
      </c>
      <c r="U178" s="329">
        <v>3144</v>
      </c>
      <c r="V178" s="252"/>
      <c r="W178" s="253"/>
      <c r="X178" s="329">
        <v>1</v>
      </c>
      <c r="Y178" s="329">
        <v>49</v>
      </c>
      <c r="Z178" s="252"/>
      <c r="AA178" s="253"/>
      <c r="AB178" s="267"/>
      <c r="AC178" s="268"/>
      <c r="AD178" s="252"/>
      <c r="AE178" s="253"/>
      <c r="AF178" s="329">
        <v>1</v>
      </c>
      <c r="AG178" s="329">
        <v>273</v>
      </c>
      <c r="AH178" s="252"/>
      <c r="AI178" s="253"/>
      <c r="AJ178" s="267"/>
      <c r="AK178" s="268"/>
      <c r="AL178" s="252"/>
      <c r="AM178" s="253"/>
      <c r="AN178" s="330"/>
      <c r="AO178" s="331"/>
      <c r="AP178" s="255">
        <f t="shared" si="32"/>
        <v>0</v>
      </c>
      <c r="AQ178" s="256">
        <f t="shared" si="33"/>
        <v>0</v>
      </c>
      <c r="AR178" s="257">
        <f t="shared" si="34"/>
        <v>1</v>
      </c>
      <c r="AS178" s="258">
        <f t="shared" si="35"/>
        <v>21058</v>
      </c>
      <c r="AT178" s="259">
        <v>142</v>
      </c>
      <c r="AU178" s="253">
        <v>850489</v>
      </c>
      <c r="AV178" s="328">
        <v>145</v>
      </c>
      <c r="AW178" s="329">
        <v>726108</v>
      </c>
      <c r="AX178" s="252">
        <v>142</v>
      </c>
      <c r="AY178" s="253">
        <v>1842728</v>
      </c>
      <c r="AZ178" s="329">
        <v>145</v>
      </c>
      <c r="BA178" s="329">
        <v>1916472</v>
      </c>
      <c r="BB178" s="252">
        <v>0</v>
      </c>
      <c r="BC178" s="253">
        <v>0</v>
      </c>
      <c r="BD178" s="267"/>
      <c r="BE178" s="268"/>
      <c r="BF178" s="252">
        <v>59</v>
      </c>
      <c r="BG178" s="253">
        <v>283496</v>
      </c>
      <c r="BH178" s="329">
        <v>65</v>
      </c>
      <c r="BI178" s="329">
        <v>255959</v>
      </c>
      <c r="BJ178" s="252">
        <v>142</v>
      </c>
      <c r="BK178" s="253">
        <v>5922</v>
      </c>
      <c r="BL178" s="329">
        <v>145</v>
      </c>
      <c r="BM178" s="329">
        <v>7105</v>
      </c>
      <c r="BN178" s="252">
        <v>0</v>
      </c>
      <c r="BO178" s="253">
        <v>0</v>
      </c>
      <c r="BP178" s="267"/>
      <c r="BQ178" s="268"/>
      <c r="BR178" s="252">
        <v>142</v>
      </c>
      <c r="BS178" s="253">
        <v>36908</v>
      </c>
      <c r="BT178" s="329">
        <v>145</v>
      </c>
      <c r="BU178" s="329">
        <v>39730</v>
      </c>
      <c r="BV178" s="252">
        <v>0</v>
      </c>
      <c r="BW178" s="253">
        <v>0</v>
      </c>
      <c r="BX178" s="267"/>
      <c r="BY178" s="268"/>
      <c r="BZ178" s="252">
        <v>0</v>
      </c>
      <c r="CA178" s="253">
        <v>0</v>
      </c>
      <c r="CB178" s="329"/>
      <c r="CC178" s="329"/>
      <c r="CD178" s="255">
        <f t="shared" si="36"/>
        <v>142</v>
      </c>
      <c r="CE178" s="256">
        <f t="shared" si="37"/>
        <v>3019543</v>
      </c>
      <c r="CF178" s="257">
        <f t="shared" si="38"/>
        <v>145</v>
      </c>
      <c r="CG178" s="261">
        <f t="shared" si="39"/>
        <v>2945374</v>
      </c>
      <c r="CH178" s="332"/>
    </row>
    <row r="179" spans="1:86" s="263" customFormat="1" ht="12.75" customHeight="1">
      <c r="A179" s="341" t="s">
        <v>45</v>
      </c>
      <c r="B179" s="493" t="s">
        <v>183</v>
      </c>
      <c r="C179" s="494" t="s">
        <v>1226</v>
      </c>
      <c r="D179" s="342">
        <v>366447</v>
      </c>
      <c r="E179" s="471">
        <v>12</v>
      </c>
      <c r="F179" s="252">
        <v>1</v>
      </c>
      <c r="G179" s="253">
        <v>2351</v>
      </c>
      <c r="H179" s="328"/>
      <c r="I179" s="329"/>
      <c r="J179" s="252">
        <v>1</v>
      </c>
      <c r="K179" s="253">
        <v>5615</v>
      </c>
      <c r="L179" s="329"/>
      <c r="M179" s="329"/>
      <c r="N179" s="252"/>
      <c r="O179" s="253"/>
      <c r="P179" s="267"/>
      <c r="Q179" s="268"/>
      <c r="R179" s="252">
        <v>1</v>
      </c>
      <c r="S179" s="253">
        <v>367</v>
      </c>
      <c r="T179" s="329"/>
      <c r="U179" s="329"/>
      <c r="V179" s="252">
        <v>1</v>
      </c>
      <c r="W179" s="253">
        <v>75</v>
      </c>
      <c r="X179" s="329"/>
      <c r="Y179" s="329"/>
      <c r="Z179" s="252"/>
      <c r="AA179" s="253"/>
      <c r="AB179" s="267"/>
      <c r="AC179" s="268"/>
      <c r="AD179" s="252">
        <v>1</v>
      </c>
      <c r="AE179" s="253">
        <v>230</v>
      </c>
      <c r="AF179" s="329"/>
      <c r="AG179" s="329"/>
      <c r="AH179" s="252"/>
      <c r="AI179" s="253"/>
      <c r="AJ179" s="267"/>
      <c r="AK179" s="268"/>
      <c r="AL179" s="252"/>
      <c r="AM179" s="253"/>
      <c r="AN179" s="337"/>
      <c r="AO179" s="337"/>
      <c r="AP179" s="255">
        <f t="shared" si="32"/>
        <v>1</v>
      </c>
      <c r="AQ179" s="256">
        <f t="shared" si="33"/>
        <v>8638</v>
      </c>
      <c r="AR179" s="257">
        <f t="shared" si="34"/>
        <v>0</v>
      </c>
      <c r="AS179" s="258">
        <f t="shared" si="35"/>
        <v>0</v>
      </c>
      <c r="AT179" s="259">
        <v>54</v>
      </c>
      <c r="AU179" s="253">
        <v>246623</v>
      </c>
      <c r="AV179" s="328">
        <v>51</v>
      </c>
      <c r="AW179" s="329">
        <v>253596</v>
      </c>
      <c r="AX179" s="252">
        <v>54</v>
      </c>
      <c r="AY179" s="253">
        <v>589052</v>
      </c>
      <c r="AZ179" s="329">
        <v>51</v>
      </c>
      <c r="BA179" s="329">
        <v>546786</v>
      </c>
      <c r="BB179" s="252"/>
      <c r="BC179" s="253"/>
      <c r="BD179" s="267"/>
      <c r="BE179" s="268"/>
      <c r="BF179" s="252">
        <v>54</v>
      </c>
      <c r="BG179" s="253">
        <v>38535</v>
      </c>
      <c r="BH179" s="329">
        <v>51</v>
      </c>
      <c r="BI179" s="329">
        <v>35770</v>
      </c>
      <c r="BJ179" s="252">
        <v>54</v>
      </c>
      <c r="BK179" s="253">
        <v>4072</v>
      </c>
      <c r="BL179" s="329">
        <v>51</v>
      </c>
      <c r="BM179" s="329">
        <v>3184</v>
      </c>
      <c r="BN179" s="252"/>
      <c r="BO179" s="253"/>
      <c r="BP179" s="267"/>
      <c r="BQ179" s="268"/>
      <c r="BR179" s="252">
        <v>54</v>
      </c>
      <c r="BS179" s="253">
        <v>12368</v>
      </c>
      <c r="BT179" s="329">
        <v>51</v>
      </c>
      <c r="BU179" s="329">
        <v>7655</v>
      </c>
      <c r="BV179" s="252"/>
      <c r="BW179" s="253"/>
      <c r="BX179" s="267"/>
      <c r="BY179" s="268"/>
      <c r="BZ179" s="252"/>
      <c r="CA179" s="253"/>
      <c r="CB179" s="329"/>
      <c r="CC179" s="329"/>
      <c r="CD179" s="255">
        <f t="shared" si="36"/>
        <v>54</v>
      </c>
      <c r="CE179" s="256">
        <f t="shared" si="37"/>
        <v>890650</v>
      </c>
      <c r="CF179" s="257">
        <f t="shared" si="38"/>
        <v>51</v>
      </c>
      <c r="CG179" s="261">
        <f t="shared" si="39"/>
        <v>846991</v>
      </c>
      <c r="CH179" s="332"/>
    </row>
    <row r="180" spans="1:86" s="263" customFormat="1" ht="12.75" customHeight="1">
      <c r="A180" s="325" t="s">
        <v>45</v>
      </c>
      <c r="B180" s="270" t="s">
        <v>204</v>
      </c>
      <c r="C180" s="270"/>
      <c r="D180" s="327">
        <v>420431</v>
      </c>
      <c r="E180" s="265">
        <v>13</v>
      </c>
      <c r="F180" s="252">
        <v>1</v>
      </c>
      <c r="G180" s="253">
        <v>4090</v>
      </c>
      <c r="H180" s="328"/>
      <c r="I180" s="329"/>
      <c r="J180" s="252">
        <v>1</v>
      </c>
      <c r="K180" s="253">
        <v>8500</v>
      </c>
      <c r="L180" s="329"/>
      <c r="M180" s="329"/>
      <c r="N180" s="252"/>
      <c r="O180" s="253"/>
      <c r="P180" s="267"/>
      <c r="Q180" s="268"/>
      <c r="R180" s="252">
        <v>1</v>
      </c>
      <c r="S180" s="253">
        <v>555</v>
      </c>
      <c r="T180" s="329"/>
      <c r="U180" s="329"/>
      <c r="V180" s="252">
        <v>1</v>
      </c>
      <c r="W180" s="253">
        <v>52</v>
      </c>
      <c r="X180" s="329"/>
      <c r="Y180" s="329"/>
      <c r="Z180" s="252"/>
      <c r="AA180" s="253"/>
      <c r="AB180" s="267"/>
      <c r="AC180" s="268"/>
      <c r="AD180" s="252">
        <v>1</v>
      </c>
      <c r="AE180" s="253">
        <v>170</v>
      </c>
      <c r="AF180" s="329"/>
      <c r="AG180" s="329"/>
      <c r="AH180" s="252"/>
      <c r="AI180" s="253"/>
      <c r="AJ180" s="267"/>
      <c r="AK180" s="268"/>
      <c r="AL180" s="252"/>
      <c r="AM180" s="253"/>
      <c r="AN180" s="330"/>
      <c r="AO180" s="331"/>
      <c r="AP180" s="255">
        <f t="shared" si="32"/>
        <v>1</v>
      </c>
      <c r="AQ180" s="256">
        <f t="shared" si="33"/>
        <v>13367</v>
      </c>
      <c r="AR180" s="257">
        <f t="shared" si="34"/>
        <v>0</v>
      </c>
      <c r="AS180" s="258">
        <f t="shared" si="35"/>
        <v>0</v>
      </c>
      <c r="AT180" s="259">
        <v>29</v>
      </c>
      <c r="AU180" s="253">
        <v>135720</v>
      </c>
      <c r="AV180" s="328">
        <v>29</v>
      </c>
      <c r="AW180" s="329">
        <v>135297</v>
      </c>
      <c r="AX180" s="252">
        <v>29</v>
      </c>
      <c r="AY180" s="253">
        <v>294920</v>
      </c>
      <c r="AZ180" s="329">
        <v>29</v>
      </c>
      <c r="BA180" s="329">
        <v>336743</v>
      </c>
      <c r="BB180" s="252"/>
      <c r="BC180" s="253"/>
      <c r="BD180" s="267"/>
      <c r="BE180" s="268"/>
      <c r="BF180" s="252">
        <v>29</v>
      </c>
      <c r="BG180" s="253">
        <v>19290</v>
      </c>
      <c r="BH180" s="329">
        <v>29</v>
      </c>
      <c r="BI180" s="329">
        <v>19084</v>
      </c>
      <c r="BJ180" s="252">
        <v>29</v>
      </c>
      <c r="BK180" s="253">
        <v>1508</v>
      </c>
      <c r="BL180" s="329">
        <v>29</v>
      </c>
      <c r="BM180" s="329">
        <v>3138</v>
      </c>
      <c r="BN180" s="252"/>
      <c r="BO180" s="253"/>
      <c r="BP180" s="267"/>
      <c r="BQ180" s="268"/>
      <c r="BR180" s="252">
        <v>29</v>
      </c>
      <c r="BS180" s="253">
        <v>4930</v>
      </c>
      <c r="BT180" s="329">
        <v>29</v>
      </c>
      <c r="BU180" s="329">
        <v>1227</v>
      </c>
      <c r="BV180" s="252"/>
      <c r="BW180" s="253"/>
      <c r="BX180" s="267"/>
      <c r="BY180" s="268"/>
      <c r="BZ180" s="252"/>
      <c r="CA180" s="253"/>
      <c r="CB180" s="329"/>
      <c r="CC180" s="329"/>
      <c r="CD180" s="255">
        <f t="shared" si="36"/>
        <v>29</v>
      </c>
      <c r="CE180" s="256">
        <f t="shared" si="37"/>
        <v>456368</v>
      </c>
      <c r="CF180" s="257">
        <f t="shared" si="38"/>
        <v>29</v>
      </c>
      <c r="CG180" s="261">
        <f t="shared" si="39"/>
        <v>495489</v>
      </c>
      <c r="CH180" s="332"/>
    </row>
    <row r="181" spans="1:86" s="263" customFormat="1" ht="12.75" customHeight="1">
      <c r="A181" s="348" t="s">
        <v>205</v>
      </c>
      <c r="B181" s="349" t="s">
        <v>778</v>
      </c>
      <c r="C181" s="349"/>
      <c r="D181" s="350">
        <v>157085</v>
      </c>
      <c r="E181" s="351">
        <v>1</v>
      </c>
      <c r="F181" s="252">
        <v>903</v>
      </c>
      <c r="G181" s="253">
        <v>7221940</v>
      </c>
      <c r="H181" s="267">
        <v>931</v>
      </c>
      <c r="I181" s="268">
        <v>7448606</v>
      </c>
      <c r="J181" s="252">
        <v>862</v>
      </c>
      <c r="K181" s="253">
        <v>5349492</v>
      </c>
      <c r="L181" s="267">
        <v>873</v>
      </c>
      <c r="M181" s="268">
        <v>5876508</v>
      </c>
      <c r="N181" s="252"/>
      <c r="O181" s="253"/>
      <c r="P181" s="267"/>
      <c r="Q181" s="268"/>
      <c r="R181" s="252">
        <v>907</v>
      </c>
      <c r="S181" s="253">
        <v>6263828</v>
      </c>
      <c r="T181" s="267">
        <v>938</v>
      </c>
      <c r="U181" s="268">
        <v>6451151</v>
      </c>
      <c r="V181" s="252">
        <v>907</v>
      </c>
      <c r="W181" s="253">
        <v>195912</v>
      </c>
      <c r="X181" s="267">
        <v>938</v>
      </c>
      <c r="Y181" s="268">
        <v>202608</v>
      </c>
      <c r="Z181" s="252">
        <v>905</v>
      </c>
      <c r="AA181" s="253">
        <v>70700</v>
      </c>
      <c r="AB181" s="267">
        <v>936</v>
      </c>
      <c r="AC181" s="268">
        <v>74612</v>
      </c>
      <c r="AD181" s="252">
        <v>907</v>
      </c>
      <c r="AE181" s="253">
        <v>260309</v>
      </c>
      <c r="AF181" s="267">
        <v>938</v>
      </c>
      <c r="AG181" s="268">
        <v>273896</v>
      </c>
      <c r="AH181" s="252"/>
      <c r="AI181" s="253"/>
      <c r="AJ181" s="267"/>
      <c r="AK181" s="268"/>
      <c r="AL181" s="252"/>
      <c r="AM181" s="253"/>
      <c r="AN181" s="267"/>
      <c r="AO181" s="268"/>
      <c r="AP181" s="255">
        <f t="shared" si="32"/>
        <v>907</v>
      </c>
      <c r="AQ181" s="256">
        <f t="shared" si="33"/>
        <v>19362181</v>
      </c>
      <c r="AR181" s="257">
        <f t="shared" si="34"/>
        <v>938</v>
      </c>
      <c r="AS181" s="258">
        <f t="shared" si="35"/>
        <v>20327381</v>
      </c>
      <c r="AT181" s="259">
        <v>360</v>
      </c>
      <c r="AU181" s="253">
        <v>3682414</v>
      </c>
      <c r="AV181" s="267">
        <v>367</v>
      </c>
      <c r="AW181" s="268">
        <v>3748503</v>
      </c>
      <c r="AX181" s="252">
        <v>349</v>
      </c>
      <c r="AY181" s="253">
        <v>2272032</v>
      </c>
      <c r="AZ181" s="267">
        <v>348</v>
      </c>
      <c r="BA181" s="268">
        <v>2448324</v>
      </c>
      <c r="BB181" s="252"/>
      <c r="BC181" s="253"/>
      <c r="BD181" s="267"/>
      <c r="BE181" s="268"/>
      <c r="BF181" s="252">
        <v>369</v>
      </c>
      <c r="BG181" s="253">
        <v>3161906</v>
      </c>
      <c r="BH181" s="267">
        <v>375</v>
      </c>
      <c r="BI181" s="268">
        <v>3178766</v>
      </c>
      <c r="BJ181" s="252">
        <v>369</v>
      </c>
      <c r="BK181" s="253">
        <v>79704</v>
      </c>
      <c r="BL181" s="267">
        <v>375</v>
      </c>
      <c r="BM181" s="268">
        <v>81000</v>
      </c>
      <c r="BN181" s="252">
        <v>362</v>
      </c>
      <c r="BO181" s="253">
        <v>35482</v>
      </c>
      <c r="BP181" s="267">
        <v>373</v>
      </c>
      <c r="BQ181" s="268">
        <v>37462</v>
      </c>
      <c r="BR181" s="252">
        <v>369</v>
      </c>
      <c r="BS181" s="253">
        <v>105903</v>
      </c>
      <c r="BT181" s="267">
        <v>375</v>
      </c>
      <c r="BU181" s="268">
        <v>109500</v>
      </c>
      <c r="BV181" s="252"/>
      <c r="BW181" s="253"/>
      <c r="BX181" s="267"/>
      <c r="BY181" s="268"/>
      <c r="BZ181" s="252"/>
      <c r="CA181" s="253"/>
      <c r="CB181" s="267"/>
      <c r="CC181" s="268"/>
      <c r="CD181" s="255">
        <f t="shared" si="36"/>
        <v>369</v>
      </c>
      <c r="CE181" s="256">
        <f t="shared" si="37"/>
        <v>9337441</v>
      </c>
      <c r="CF181" s="257">
        <f t="shared" si="38"/>
        <v>375</v>
      </c>
      <c r="CG181" s="261">
        <f t="shared" si="39"/>
        <v>9603555</v>
      </c>
    </row>
    <row r="182" spans="1:86" s="263" customFormat="1" ht="12.75" customHeight="1">
      <c r="A182" s="348" t="s">
        <v>205</v>
      </c>
      <c r="B182" s="352" t="s">
        <v>779</v>
      </c>
      <c r="C182" s="352"/>
      <c r="D182" s="353">
        <v>157289</v>
      </c>
      <c r="E182" s="275">
        <v>1</v>
      </c>
      <c r="F182" s="252">
        <v>556</v>
      </c>
      <c r="G182" s="253">
        <v>4163392</v>
      </c>
      <c r="H182" s="267">
        <v>576</v>
      </c>
      <c r="I182" s="268">
        <v>4449045</v>
      </c>
      <c r="J182" s="252">
        <v>556</v>
      </c>
      <c r="K182" s="253">
        <v>3739656</v>
      </c>
      <c r="L182" s="267">
        <v>576</v>
      </c>
      <c r="M182" s="268">
        <v>4068288</v>
      </c>
      <c r="N182" s="252">
        <v>556</v>
      </c>
      <c r="O182" s="253">
        <v>65853</v>
      </c>
      <c r="P182" s="267">
        <v>576</v>
      </c>
      <c r="Q182" s="268">
        <v>82944</v>
      </c>
      <c r="R182" s="252">
        <v>556</v>
      </c>
      <c r="S182" s="253">
        <v>3066119</v>
      </c>
      <c r="T182" s="267">
        <v>576</v>
      </c>
      <c r="U182" s="268">
        <v>3227619</v>
      </c>
      <c r="V182" s="252"/>
      <c r="W182" s="253"/>
      <c r="X182" s="267">
        <v>576</v>
      </c>
      <c r="Y182" s="268">
        <v>44928</v>
      </c>
      <c r="Z182" s="252">
        <v>556</v>
      </c>
      <c r="AA182" s="253">
        <v>180858</v>
      </c>
      <c r="AB182" s="267">
        <v>576</v>
      </c>
      <c r="AC182" s="268">
        <v>248832</v>
      </c>
      <c r="AD182" s="252">
        <v>556</v>
      </c>
      <c r="AE182" s="253">
        <v>132823</v>
      </c>
      <c r="AF182" s="267">
        <v>576</v>
      </c>
      <c r="AG182" s="268">
        <v>355924</v>
      </c>
      <c r="AH182" s="252">
        <v>45</v>
      </c>
      <c r="AI182" s="253">
        <v>361892</v>
      </c>
      <c r="AJ182" s="267">
        <v>46</v>
      </c>
      <c r="AK182" s="268">
        <v>371308</v>
      </c>
      <c r="AL182" s="252"/>
      <c r="AM182" s="253"/>
      <c r="AN182" s="267">
        <v>576</v>
      </c>
      <c r="AO182" s="268">
        <v>210816</v>
      </c>
      <c r="AP182" s="255">
        <f t="shared" si="32"/>
        <v>556</v>
      </c>
      <c r="AQ182" s="256">
        <f t="shared" si="33"/>
        <v>11710593</v>
      </c>
      <c r="AR182" s="257">
        <f t="shared" si="34"/>
        <v>576</v>
      </c>
      <c r="AS182" s="258">
        <f t="shared" si="35"/>
        <v>13059704</v>
      </c>
      <c r="AT182" s="259">
        <v>311</v>
      </c>
      <c r="AU182" s="253">
        <v>2919913</v>
      </c>
      <c r="AV182" s="267">
        <v>318</v>
      </c>
      <c r="AW182" s="268">
        <v>3159959</v>
      </c>
      <c r="AX182" s="252">
        <v>311</v>
      </c>
      <c r="AY182" s="253">
        <v>2091786</v>
      </c>
      <c r="AZ182" s="267">
        <v>318</v>
      </c>
      <c r="BA182" s="268">
        <v>2246034</v>
      </c>
      <c r="BB182" s="252">
        <v>311</v>
      </c>
      <c r="BC182" s="253">
        <v>36835</v>
      </c>
      <c r="BD182" s="267">
        <v>318</v>
      </c>
      <c r="BE182" s="268">
        <v>45792</v>
      </c>
      <c r="BF182" s="252">
        <v>311</v>
      </c>
      <c r="BG182" s="253">
        <v>2041600</v>
      </c>
      <c r="BH182" s="267">
        <v>318</v>
      </c>
      <c r="BI182" s="268">
        <v>2170227</v>
      </c>
      <c r="BJ182" s="252"/>
      <c r="BK182" s="253"/>
      <c r="BL182" s="267">
        <v>318</v>
      </c>
      <c r="BM182" s="268">
        <v>24804</v>
      </c>
      <c r="BN182" s="252">
        <v>311</v>
      </c>
      <c r="BO182" s="253">
        <v>126841</v>
      </c>
      <c r="BP182" s="267">
        <v>318</v>
      </c>
      <c r="BQ182" s="268">
        <v>137376</v>
      </c>
      <c r="BR182" s="252">
        <v>311</v>
      </c>
      <c r="BS182" s="253">
        <v>74295</v>
      </c>
      <c r="BT182" s="267">
        <v>318</v>
      </c>
      <c r="BU182" s="268">
        <v>252797</v>
      </c>
      <c r="BV182" s="252">
        <v>22</v>
      </c>
      <c r="BW182" s="253">
        <v>169019</v>
      </c>
      <c r="BX182" s="267">
        <v>24</v>
      </c>
      <c r="BY182" s="268">
        <v>177103</v>
      </c>
      <c r="BZ182" s="252"/>
      <c r="CA182" s="253"/>
      <c r="CB182" s="267">
        <v>318</v>
      </c>
      <c r="CC182" s="268">
        <v>116388</v>
      </c>
      <c r="CD182" s="255">
        <f t="shared" si="36"/>
        <v>311</v>
      </c>
      <c r="CE182" s="256">
        <f t="shared" si="37"/>
        <v>7460289</v>
      </c>
      <c r="CF182" s="257">
        <f t="shared" si="38"/>
        <v>318</v>
      </c>
      <c r="CG182" s="261">
        <f t="shared" si="39"/>
        <v>8330480</v>
      </c>
    </row>
    <row r="183" spans="1:86" s="263" customFormat="1" ht="12.75" customHeight="1">
      <c r="A183" s="348" t="s">
        <v>205</v>
      </c>
      <c r="B183" s="354" t="s">
        <v>780</v>
      </c>
      <c r="C183" s="354"/>
      <c r="D183" s="355">
        <v>156620</v>
      </c>
      <c r="E183" s="275">
        <v>3</v>
      </c>
      <c r="F183" s="252">
        <v>605</v>
      </c>
      <c r="G183" s="253">
        <v>5000458</v>
      </c>
      <c r="H183" s="267">
        <v>592</v>
      </c>
      <c r="I183" s="268">
        <v>4828065</v>
      </c>
      <c r="J183" s="252">
        <v>577</v>
      </c>
      <c r="K183" s="253">
        <v>2311682</v>
      </c>
      <c r="L183" s="267">
        <v>566</v>
      </c>
      <c r="M183" s="268">
        <v>2279803</v>
      </c>
      <c r="N183" s="252">
        <v>327</v>
      </c>
      <c r="O183" s="253">
        <v>16677</v>
      </c>
      <c r="P183" s="267">
        <v>249</v>
      </c>
      <c r="Q183" s="268">
        <v>12699</v>
      </c>
      <c r="R183" s="252">
        <v>606</v>
      </c>
      <c r="S183" s="253">
        <v>2782941</v>
      </c>
      <c r="T183" s="267">
        <v>596</v>
      </c>
      <c r="U183" s="268">
        <v>2713661</v>
      </c>
      <c r="V183" s="252"/>
      <c r="W183" s="253"/>
      <c r="X183" s="267"/>
      <c r="Y183" s="268"/>
      <c r="Z183" s="252">
        <v>606</v>
      </c>
      <c r="AA183" s="253">
        <v>27315</v>
      </c>
      <c r="AB183" s="267">
        <v>596</v>
      </c>
      <c r="AC183" s="268">
        <v>26820</v>
      </c>
      <c r="AD183" s="252">
        <v>606</v>
      </c>
      <c r="AE183" s="253">
        <v>69550</v>
      </c>
      <c r="AF183" s="267">
        <v>596</v>
      </c>
      <c r="AG183" s="268">
        <v>79430</v>
      </c>
      <c r="AH183" s="252">
        <v>47</v>
      </c>
      <c r="AI183" s="253">
        <v>202030</v>
      </c>
      <c r="AJ183" s="267">
        <v>34</v>
      </c>
      <c r="AK183" s="268">
        <v>188732</v>
      </c>
      <c r="AL183" s="252"/>
      <c r="AM183" s="253"/>
      <c r="AN183" s="267"/>
      <c r="AO183" s="268"/>
      <c r="AP183" s="255">
        <f t="shared" si="32"/>
        <v>606</v>
      </c>
      <c r="AQ183" s="256">
        <f t="shared" si="33"/>
        <v>10410653</v>
      </c>
      <c r="AR183" s="257">
        <f t="shared" si="34"/>
        <v>596</v>
      </c>
      <c r="AS183" s="258">
        <f t="shared" si="35"/>
        <v>10129210</v>
      </c>
      <c r="AT183" s="259">
        <v>39</v>
      </c>
      <c r="AU183" s="253">
        <v>477599</v>
      </c>
      <c r="AV183" s="267">
        <v>44</v>
      </c>
      <c r="AW183" s="268">
        <v>542171</v>
      </c>
      <c r="AX183" s="252">
        <v>38</v>
      </c>
      <c r="AY183" s="253">
        <v>152047</v>
      </c>
      <c r="AZ183" s="267">
        <v>42</v>
      </c>
      <c r="BA183" s="268">
        <v>170793</v>
      </c>
      <c r="BB183" s="252">
        <v>12</v>
      </c>
      <c r="BC183" s="253">
        <v>612</v>
      </c>
      <c r="BD183" s="267">
        <v>5</v>
      </c>
      <c r="BE183" s="268">
        <v>255</v>
      </c>
      <c r="BF183" s="252">
        <v>39</v>
      </c>
      <c r="BG183" s="253">
        <v>263990</v>
      </c>
      <c r="BH183" s="267">
        <v>44</v>
      </c>
      <c r="BI183" s="268">
        <v>299682</v>
      </c>
      <c r="BJ183" s="252"/>
      <c r="BK183" s="253"/>
      <c r="BL183" s="267"/>
      <c r="BM183" s="268"/>
      <c r="BN183" s="252">
        <v>39</v>
      </c>
      <c r="BO183" s="253">
        <v>1755</v>
      </c>
      <c r="BP183" s="267">
        <v>44</v>
      </c>
      <c r="BQ183" s="268">
        <v>1980</v>
      </c>
      <c r="BR183" s="252">
        <v>39</v>
      </c>
      <c r="BS183" s="253">
        <v>4815</v>
      </c>
      <c r="BT183" s="267">
        <v>44</v>
      </c>
      <c r="BU183" s="268">
        <v>6110</v>
      </c>
      <c r="BV183" s="252">
        <v>5</v>
      </c>
      <c r="BW183" s="253">
        <v>21948</v>
      </c>
      <c r="BX183" s="267">
        <v>5</v>
      </c>
      <c r="BY183" s="268">
        <v>29057</v>
      </c>
      <c r="BZ183" s="252"/>
      <c r="CA183" s="253"/>
      <c r="CB183" s="267"/>
      <c r="CC183" s="268"/>
      <c r="CD183" s="255">
        <f t="shared" si="36"/>
        <v>39</v>
      </c>
      <c r="CE183" s="256">
        <f t="shared" si="37"/>
        <v>922766</v>
      </c>
      <c r="CF183" s="257">
        <f t="shared" si="38"/>
        <v>44</v>
      </c>
      <c r="CG183" s="261">
        <f t="shared" si="39"/>
        <v>1050048</v>
      </c>
    </row>
    <row r="184" spans="1:86" s="263" customFormat="1" ht="12.75" customHeight="1">
      <c r="A184" s="348" t="s">
        <v>205</v>
      </c>
      <c r="B184" s="349" t="s">
        <v>781</v>
      </c>
      <c r="C184" s="349"/>
      <c r="D184" s="350">
        <v>157401</v>
      </c>
      <c r="E184" s="351">
        <v>3</v>
      </c>
      <c r="F184" s="252">
        <v>349</v>
      </c>
      <c r="G184" s="253">
        <v>2184876</v>
      </c>
      <c r="H184" s="267">
        <v>345</v>
      </c>
      <c r="I184" s="268">
        <v>2192456</v>
      </c>
      <c r="J184" s="252">
        <v>320</v>
      </c>
      <c r="K184" s="253">
        <v>1938954</v>
      </c>
      <c r="L184" s="267">
        <v>323</v>
      </c>
      <c r="M184" s="268">
        <v>2107092</v>
      </c>
      <c r="N184" s="252"/>
      <c r="O184" s="253"/>
      <c r="P184" s="267"/>
      <c r="Q184" s="268"/>
      <c r="R184" s="252">
        <v>349</v>
      </c>
      <c r="S184" s="253">
        <v>1578309</v>
      </c>
      <c r="T184" s="267">
        <v>345</v>
      </c>
      <c r="U184" s="268">
        <v>1558763</v>
      </c>
      <c r="V184" s="252"/>
      <c r="W184" s="253"/>
      <c r="X184" s="267"/>
      <c r="Y184" s="268"/>
      <c r="Z184" s="252">
        <v>349</v>
      </c>
      <c r="AA184" s="253">
        <v>11727</v>
      </c>
      <c r="AB184" s="267">
        <v>345</v>
      </c>
      <c r="AC184" s="268">
        <v>10764</v>
      </c>
      <c r="AD184" s="252">
        <v>349</v>
      </c>
      <c r="AE184" s="253">
        <v>163328</v>
      </c>
      <c r="AF184" s="267">
        <v>345</v>
      </c>
      <c r="AG184" s="268">
        <v>124833</v>
      </c>
      <c r="AH184" s="252">
        <v>100</v>
      </c>
      <c r="AI184" s="253">
        <v>200124</v>
      </c>
      <c r="AJ184" s="267">
        <v>112</v>
      </c>
      <c r="AK184" s="268">
        <v>193036</v>
      </c>
      <c r="AL184" s="252"/>
      <c r="AM184" s="253"/>
      <c r="AN184" s="267"/>
      <c r="AO184" s="268"/>
      <c r="AP184" s="255">
        <f t="shared" si="32"/>
        <v>349</v>
      </c>
      <c r="AQ184" s="256">
        <f t="shared" si="33"/>
        <v>6077318</v>
      </c>
      <c r="AR184" s="257">
        <f t="shared" si="34"/>
        <v>345</v>
      </c>
      <c r="AS184" s="258">
        <f t="shared" si="35"/>
        <v>6186944</v>
      </c>
      <c r="AT184" s="259">
        <v>57</v>
      </c>
      <c r="AU184" s="253">
        <v>480030</v>
      </c>
      <c r="AV184" s="267">
        <v>56</v>
      </c>
      <c r="AW184" s="268">
        <v>480045</v>
      </c>
      <c r="AX184" s="252">
        <v>55</v>
      </c>
      <c r="AY184" s="253">
        <v>352230</v>
      </c>
      <c r="AZ184" s="267">
        <v>55</v>
      </c>
      <c r="BA184" s="268">
        <v>402915</v>
      </c>
      <c r="BB184" s="252"/>
      <c r="BC184" s="253"/>
      <c r="BD184" s="267"/>
      <c r="BE184" s="268"/>
      <c r="BF184" s="252">
        <v>57</v>
      </c>
      <c r="BG184" s="253">
        <v>346764</v>
      </c>
      <c r="BH184" s="267">
        <v>56</v>
      </c>
      <c r="BI184" s="268">
        <v>341298</v>
      </c>
      <c r="BJ184" s="252"/>
      <c r="BK184" s="253"/>
      <c r="BL184" s="267"/>
      <c r="BM184" s="268"/>
      <c r="BN184" s="252">
        <v>57</v>
      </c>
      <c r="BO184" s="253">
        <v>1915</v>
      </c>
      <c r="BP184" s="267">
        <v>56</v>
      </c>
      <c r="BQ184" s="268">
        <v>1747</v>
      </c>
      <c r="BR184" s="252">
        <v>57</v>
      </c>
      <c r="BS184" s="253">
        <v>26676</v>
      </c>
      <c r="BT184" s="267">
        <v>56</v>
      </c>
      <c r="BU184" s="268">
        <v>20262</v>
      </c>
      <c r="BV184" s="252">
        <v>18</v>
      </c>
      <c r="BW184" s="253">
        <v>25731</v>
      </c>
      <c r="BX184" s="267">
        <v>14</v>
      </c>
      <c r="BY184" s="268">
        <v>25966</v>
      </c>
      <c r="BZ184" s="252"/>
      <c r="CA184" s="253"/>
      <c r="CB184" s="267"/>
      <c r="CC184" s="268"/>
      <c r="CD184" s="255">
        <f t="shared" si="36"/>
        <v>57</v>
      </c>
      <c r="CE184" s="256">
        <f t="shared" si="37"/>
        <v>1233346</v>
      </c>
      <c r="CF184" s="257">
        <f t="shared" si="38"/>
        <v>56</v>
      </c>
      <c r="CG184" s="261">
        <f t="shared" si="39"/>
        <v>1272233</v>
      </c>
    </row>
    <row r="185" spans="1:86" s="263" customFormat="1" ht="12.75" customHeight="1">
      <c r="A185" s="348" t="s">
        <v>205</v>
      </c>
      <c r="B185" s="349" t="s">
        <v>782</v>
      </c>
      <c r="C185" s="349"/>
      <c r="D185" s="350">
        <v>157951</v>
      </c>
      <c r="E185" s="351">
        <v>3</v>
      </c>
      <c r="F185" s="252">
        <v>680</v>
      </c>
      <c r="G185" s="253">
        <v>5906727</v>
      </c>
      <c r="H185" s="267">
        <f>306+388</f>
        <v>694</v>
      </c>
      <c r="I185" s="268">
        <f>2397572+3625422</f>
        <v>6022994</v>
      </c>
      <c r="J185" s="252">
        <v>683</v>
      </c>
      <c r="K185" s="253">
        <v>3528296</v>
      </c>
      <c r="L185" s="267">
        <v>697</v>
      </c>
      <c r="M185" s="268">
        <v>3823561</v>
      </c>
      <c r="N185" s="252">
        <v>683</v>
      </c>
      <c r="O185" s="253">
        <v>80049</v>
      </c>
      <c r="P185" s="267">
        <v>697</v>
      </c>
      <c r="Q185" s="268">
        <v>83911</v>
      </c>
      <c r="R185" s="252">
        <v>683</v>
      </c>
      <c r="S185" s="253">
        <v>3059906</v>
      </c>
      <c r="T185" s="267">
        <v>697</v>
      </c>
      <c r="U185" s="268">
        <v>3200506</v>
      </c>
      <c r="V185" s="252">
        <v>683</v>
      </c>
      <c r="W185" s="253">
        <v>100061</v>
      </c>
      <c r="X185" s="267">
        <v>697</v>
      </c>
      <c r="Y185" s="268">
        <v>104889</v>
      </c>
      <c r="Z185" s="252">
        <v>683</v>
      </c>
      <c r="AA185" s="253">
        <v>21583</v>
      </c>
      <c r="AB185" s="267">
        <v>697</v>
      </c>
      <c r="AC185" s="268">
        <v>22025</v>
      </c>
      <c r="AD185" s="252">
        <v>683</v>
      </c>
      <c r="AE185" s="253">
        <v>128078</v>
      </c>
      <c r="AF185" s="267">
        <v>697</v>
      </c>
      <c r="AG185" s="268">
        <v>134257</v>
      </c>
      <c r="AH185" s="252"/>
      <c r="AI185" s="253"/>
      <c r="AJ185" s="267"/>
      <c r="AK185" s="268"/>
      <c r="AL185" s="252"/>
      <c r="AM185" s="253"/>
      <c r="AN185" s="267"/>
      <c r="AO185" s="268"/>
      <c r="AP185" s="255">
        <f t="shared" si="32"/>
        <v>683</v>
      </c>
      <c r="AQ185" s="256">
        <f t="shared" si="33"/>
        <v>12824700</v>
      </c>
      <c r="AR185" s="257">
        <f t="shared" si="34"/>
        <v>697</v>
      </c>
      <c r="AS185" s="258">
        <f t="shared" si="35"/>
        <v>13392143</v>
      </c>
      <c r="AT185" s="259">
        <v>45</v>
      </c>
      <c r="AU185" s="253">
        <v>632093</v>
      </c>
      <c r="AV185" s="267">
        <f>18+27</f>
        <v>45</v>
      </c>
      <c r="AW185" s="268">
        <f>245722+386211</f>
        <v>631933</v>
      </c>
      <c r="AX185" s="252">
        <v>45</v>
      </c>
      <c r="AY185" s="253">
        <v>232465</v>
      </c>
      <c r="AZ185" s="267">
        <v>45</v>
      </c>
      <c r="BA185" s="268">
        <v>246858</v>
      </c>
      <c r="BB185" s="252">
        <v>45</v>
      </c>
      <c r="BC185" s="253">
        <v>8519</v>
      </c>
      <c r="BD185" s="267">
        <v>45</v>
      </c>
      <c r="BE185" s="268">
        <v>8756</v>
      </c>
      <c r="BF185" s="252">
        <v>45</v>
      </c>
      <c r="BG185" s="253">
        <v>315828</v>
      </c>
      <c r="BH185" s="267">
        <v>45</v>
      </c>
      <c r="BI185" s="268">
        <v>322012</v>
      </c>
      <c r="BJ185" s="252">
        <v>45</v>
      </c>
      <c r="BK185" s="253">
        <v>10648</v>
      </c>
      <c r="BL185" s="267">
        <v>45</v>
      </c>
      <c r="BM185" s="268">
        <v>10945</v>
      </c>
      <c r="BN185" s="252">
        <v>45</v>
      </c>
      <c r="BO185" s="253">
        <v>1422</v>
      </c>
      <c r="BP185" s="267">
        <v>45</v>
      </c>
      <c r="BQ185" s="268">
        <v>1422</v>
      </c>
      <c r="BR185" s="252">
        <v>45</v>
      </c>
      <c r="BS185" s="253">
        <v>13630</v>
      </c>
      <c r="BT185" s="267">
        <v>45</v>
      </c>
      <c r="BU185" s="268">
        <v>14009</v>
      </c>
      <c r="BV185" s="252"/>
      <c r="BW185" s="253"/>
      <c r="BX185" s="267"/>
      <c r="BY185" s="268"/>
      <c r="BZ185" s="252"/>
      <c r="CA185" s="253"/>
      <c r="CB185" s="267"/>
      <c r="CC185" s="268"/>
      <c r="CD185" s="255">
        <f t="shared" si="36"/>
        <v>45</v>
      </c>
      <c r="CE185" s="256">
        <f t="shared" si="37"/>
        <v>1214605</v>
      </c>
      <c r="CF185" s="257">
        <f t="shared" si="38"/>
        <v>45</v>
      </c>
      <c r="CG185" s="261">
        <f t="shared" si="39"/>
        <v>1235935</v>
      </c>
    </row>
    <row r="186" spans="1:86" s="263" customFormat="1" ht="12.75" customHeight="1">
      <c r="A186" s="348" t="s">
        <v>205</v>
      </c>
      <c r="B186" s="495" t="s">
        <v>783</v>
      </c>
      <c r="C186" s="496" t="s">
        <v>1229</v>
      </c>
      <c r="D186" s="357">
        <v>157386</v>
      </c>
      <c r="E186" s="476">
        <v>3</v>
      </c>
      <c r="F186" s="252">
        <v>343</v>
      </c>
      <c r="G186" s="253">
        <v>2606769</v>
      </c>
      <c r="H186" s="267">
        <v>344</v>
      </c>
      <c r="I186" s="268">
        <v>2631141</v>
      </c>
      <c r="J186" s="252">
        <v>343</v>
      </c>
      <c r="K186" s="253">
        <v>2049768</v>
      </c>
      <c r="L186" s="267">
        <v>344</v>
      </c>
      <c r="M186" s="268">
        <v>2113536</v>
      </c>
      <c r="N186" s="252"/>
      <c r="O186" s="253"/>
      <c r="P186" s="267"/>
      <c r="Q186" s="268"/>
      <c r="R186" s="252">
        <v>343</v>
      </c>
      <c r="S186" s="253">
        <v>1440880</v>
      </c>
      <c r="T186" s="267">
        <v>344</v>
      </c>
      <c r="U186" s="268">
        <v>1436704</v>
      </c>
      <c r="V186" s="252">
        <v>343</v>
      </c>
      <c r="W186" s="253">
        <v>34967</v>
      </c>
      <c r="X186" s="267">
        <v>344</v>
      </c>
      <c r="Y186" s="268">
        <v>47433</v>
      </c>
      <c r="Z186" s="252">
        <v>343</v>
      </c>
      <c r="AA186" s="253">
        <v>13418</v>
      </c>
      <c r="AB186" s="267">
        <v>344</v>
      </c>
      <c r="AC186" s="268">
        <v>13457</v>
      </c>
      <c r="AD186" s="252">
        <v>343</v>
      </c>
      <c r="AE186" s="253">
        <v>111257</v>
      </c>
      <c r="AF186" s="267">
        <v>344</v>
      </c>
      <c r="AG186" s="268">
        <v>113840</v>
      </c>
      <c r="AH186" s="252">
        <v>343</v>
      </c>
      <c r="AI186" s="253">
        <v>51559</v>
      </c>
      <c r="AJ186" s="267">
        <v>19</v>
      </c>
      <c r="AK186" s="268">
        <v>46240</v>
      </c>
      <c r="AL186" s="252">
        <v>343</v>
      </c>
      <c r="AM186" s="253">
        <v>67198</v>
      </c>
      <c r="AN186" s="267">
        <v>344</v>
      </c>
      <c r="AO186" s="268">
        <v>71902</v>
      </c>
      <c r="AP186" s="255">
        <f t="shared" si="32"/>
        <v>343</v>
      </c>
      <c r="AQ186" s="256">
        <f t="shared" si="33"/>
        <v>6375816</v>
      </c>
      <c r="AR186" s="257">
        <f t="shared" si="34"/>
        <v>344</v>
      </c>
      <c r="AS186" s="258">
        <f t="shared" si="35"/>
        <v>6474253</v>
      </c>
      <c r="AT186" s="259">
        <v>27</v>
      </c>
      <c r="AU186" s="253">
        <v>315134</v>
      </c>
      <c r="AV186" s="267">
        <v>30</v>
      </c>
      <c r="AW186" s="268">
        <v>284545</v>
      </c>
      <c r="AX186" s="252">
        <v>27</v>
      </c>
      <c r="AY186" s="253">
        <v>161352</v>
      </c>
      <c r="AZ186" s="267">
        <v>30</v>
      </c>
      <c r="BA186" s="268">
        <v>184320</v>
      </c>
      <c r="BB186" s="252"/>
      <c r="BC186" s="253"/>
      <c r="BD186" s="267"/>
      <c r="BE186" s="268"/>
      <c r="BF186" s="252">
        <v>27</v>
      </c>
      <c r="BG186" s="253">
        <v>174189</v>
      </c>
      <c r="BH186" s="267">
        <v>30</v>
      </c>
      <c r="BI186" s="268">
        <v>155372</v>
      </c>
      <c r="BJ186" s="252">
        <v>27</v>
      </c>
      <c r="BK186" s="253">
        <v>2752</v>
      </c>
      <c r="BL186" s="267">
        <v>30</v>
      </c>
      <c r="BM186" s="268">
        <v>4137</v>
      </c>
      <c r="BN186" s="252">
        <v>27</v>
      </c>
      <c r="BO186" s="253">
        <v>1056</v>
      </c>
      <c r="BP186" s="267">
        <v>30</v>
      </c>
      <c r="BQ186" s="268">
        <v>1174</v>
      </c>
      <c r="BR186" s="252">
        <v>27</v>
      </c>
      <c r="BS186" s="253">
        <v>8758</v>
      </c>
      <c r="BT186" s="267">
        <v>30</v>
      </c>
      <c r="BU186" s="268">
        <v>9928</v>
      </c>
      <c r="BV186" s="252">
        <v>27</v>
      </c>
      <c r="BW186" s="253">
        <v>4059</v>
      </c>
      <c r="BX186" s="267">
        <v>5</v>
      </c>
      <c r="BY186" s="268">
        <v>12158</v>
      </c>
      <c r="BZ186" s="252">
        <v>27</v>
      </c>
      <c r="CA186" s="253">
        <v>5290</v>
      </c>
      <c r="CB186" s="267">
        <v>30</v>
      </c>
      <c r="CC186" s="268">
        <v>6271</v>
      </c>
      <c r="CD186" s="255">
        <f t="shared" si="36"/>
        <v>27</v>
      </c>
      <c r="CE186" s="256">
        <f t="shared" si="37"/>
        <v>672590</v>
      </c>
      <c r="CF186" s="257">
        <f t="shared" si="38"/>
        <v>30</v>
      </c>
      <c r="CG186" s="261">
        <f t="shared" si="39"/>
        <v>657905</v>
      </c>
    </row>
    <row r="187" spans="1:86" s="263" customFormat="1" ht="12.75" customHeight="1">
      <c r="A187" s="348" t="s">
        <v>205</v>
      </c>
      <c r="B187" s="349" t="s">
        <v>784</v>
      </c>
      <c r="C187" s="349"/>
      <c r="D187" s="350">
        <v>157447</v>
      </c>
      <c r="E187" s="351">
        <v>4</v>
      </c>
      <c r="F187" s="252">
        <v>498</v>
      </c>
      <c r="G187" s="253">
        <v>3225894</v>
      </c>
      <c r="H187" s="267">
        <v>493</v>
      </c>
      <c r="I187" s="268">
        <v>3230323</v>
      </c>
      <c r="J187" s="252">
        <v>498</v>
      </c>
      <c r="K187" s="253">
        <v>2609022</v>
      </c>
      <c r="L187" s="267">
        <v>493</v>
      </c>
      <c r="M187" s="268">
        <v>2595152</v>
      </c>
      <c r="N187" s="252">
        <v>498</v>
      </c>
      <c r="O187" s="253">
        <v>122261</v>
      </c>
      <c r="P187" s="267">
        <v>493</v>
      </c>
      <c r="Q187" s="268">
        <v>122427</v>
      </c>
      <c r="R187" s="252">
        <v>498</v>
      </c>
      <c r="S187" s="253">
        <v>1970765</v>
      </c>
      <c r="T187" s="267">
        <v>493</v>
      </c>
      <c r="U187" s="268">
        <v>2432651</v>
      </c>
      <c r="V187" s="252">
        <v>498</v>
      </c>
      <c r="W187" s="253">
        <v>22422</v>
      </c>
      <c r="X187" s="267">
        <v>493</v>
      </c>
      <c r="Y187" s="268">
        <v>50048</v>
      </c>
      <c r="Z187" s="252">
        <v>498</v>
      </c>
      <c r="AA187" s="253">
        <v>6452</v>
      </c>
      <c r="AB187" s="267">
        <v>493</v>
      </c>
      <c r="AC187" s="268">
        <v>77518</v>
      </c>
      <c r="AD187" s="252">
        <v>498</v>
      </c>
      <c r="AE187" s="253">
        <v>81393</v>
      </c>
      <c r="AF187" s="267">
        <v>493</v>
      </c>
      <c r="AG187" s="268">
        <v>86121</v>
      </c>
      <c r="AH187" s="252">
        <v>37</v>
      </c>
      <c r="AI187" s="253">
        <v>116092</v>
      </c>
      <c r="AJ187" s="267">
        <v>47</v>
      </c>
      <c r="AK187" s="268">
        <v>160479</v>
      </c>
      <c r="AL187" s="252"/>
      <c r="AM187" s="253"/>
      <c r="AN187" s="267"/>
      <c r="AO187" s="268"/>
      <c r="AP187" s="255">
        <f t="shared" si="32"/>
        <v>498</v>
      </c>
      <c r="AQ187" s="256">
        <f t="shared" si="33"/>
        <v>8154301</v>
      </c>
      <c r="AR187" s="257">
        <f t="shared" si="34"/>
        <v>493</v>
      </c>
      <c r="AS187" s="258">
        <f t="shared" si="35"/>
        <v>8754719</v>
      </c>
      <c r="AT187" s="259">
        <v>34</v>
      </c>
      <c r="AU187" s="253">
        <v>222175</v>
      </c>
      <c r="AV187" s="267">
        <v>32</v>
      </c>
      <c r="AW187" s="268">
        <v>202281</v>
      </c>
      <c r="AX187" s="252">
        <v>34</v>
      </c>
      <c r="AY187" s="253">
        <v>178126</v>
      </c>
      <c r="AZ187" s="267">
        <v>32</v>
      </c>
      <c r="BA187" s="268">
        <v>168448</v>
      </c>
      <c r="BB187" s="252">
        <v>34</v>
      </c>
      <c r="BC187" s="253">
        <v>8420</v>
      </c>
      <c r="BD187" s="267">
        <v>32</v>
      </c>
      <c r="BE187" s="268">
        <v>7668</v>
      </c>
      <c r="BF187" s="252">
        <v>34</v>
      </c>
      <c r="BG187" s="253">
        <v>137748</v>
      </c>
      <c r="BH187" s="267">
        <v>32</v>
      </c>
      <c r="BI187" s="268">
        <v>154747</v>
      </c>
      <c r="BJ187" s="252">
        <v>34</v>
      </c>
      <c r="BK187" s="253">
        <v>1531</v>
      </c>
      <c r="BL187" s="267">
        <v>32</v>
      </c>
      <c r="BM187" s="268">
        <v>3249</v>
      </c>
      <c r="BN187" s="252">
        <v>34</v>
      </c>
      <c r="BO187" s="253">
        <v>444</v>
      </c>
      <c r="BP187" s="267">
        <v>32</v>
      </c>
      <c r="BQ187" s="268">
        <v>4856</v>
      </c>
      <c r="BR187" s="252">
        <v>34</v>
      </c>
      <c r="BS187" s="253">
        <v>5557</v>
      </c>
      <c r="BT187" s="267">
        <v>32</v>
      </c>
      <c r="BU187" s="268">
        <v>5590</v>
      </c>
      <c r="BV187" s="252">
        <v>4</v>
      </c>
      <c r="BW187" s="253">
        <v>12899</v>
      </c>
      <c r="BX187" s="267">
        <v>2</v>
      </c>
      <c r="BY187" s="268">
        <v>5094</v>
      </c>
      <c r="BZ187" s="252"/>
      <c r="CA187" s="253"/>
      <c r="CB187" s="267"/>
      <c r="CC187" s="268"/>
      <c r="CD187" s="255">
        <f t="shared" si="36"/>
        <v>34</v>
      </c>
      <c r="CE187" s="256">
        <f t="shared" si="37"/>
        <v>566900</v>
      </c>
      <c r="CF187" s="257">
        <f t="shared" si="38"/>
        <v>32</v>
      </c>
      <c r="CG187" s="261">
        <f t="shared" si="39"/>
        <v>551933</v>
      </c>
    </row>
    <row r="188" spans="1:86" s="263" customFormat="1" ht="12.75" customHeight="1">
      <c r="A188" s="348" t="s">
        <v>205</v>
      </c>
      <c r="B188" s="495" t="s">
        <v>785</v>
      </c>
      <c r="C188" s="496" t="s">
        <v>1230</v>
      </c>
      <c r="D188" s="357">
        <v>157058</v>
      </c>
      <c r="E188" s="476">
        <v>4</v>
      </c>
      <c r="F188" s="252">
        <v>117</v>
      </c>
      <c r="G188" s="253">
        <v>816290</v>
      </c>
      <c r="H188" s="267">
        <f>32+85</f>
        <v>117</v>
      </c>
      <c r="I188" s="268">
        <f>212412+679154</f>
        <v>891566</v>
      </c>
      <c r="J188" s="252">
        <v>117</v>
      </c>
      <c r="K188" s="253">
        <v>462141</v>
      </c>
      <c r="L188" s="267">
        <v>118</v>
      </c>
      <c r="M188" s="268">
        <v>495325</v>
      </c>
      <c r="N188" s="252"/>
      <c r="O188" s="253"/>
      <c r="P188" s="267"/>
      <c r="Q188" s="268"/>
      <c r="R188" s="252">
        <v>117</v>
      </c>
      <c r="S188" s="253">
        <v>493443</v>
      </c>
      <c r="T188" s="267">
        <v>118</v>
      </c>
      <c r="U188" s="268">
        <v>490983</v>
      </c>
      <c r="V188" s="252"/>
      <c r="W188" s="253"/>
      <c r="X188" s="267"/>
      <c r="Y188" s="268"/>
      <c r="Z188" s="252">
        <v>117</v>
      </c>
      <c r="AA188" s="253">
        <v>11232</v>
      </c>
      <c r="AB188" s="267">
        <v>118</v>
      </c>
      <c r="AC188" s="268">
        <v>11328</v>
      </c>
      <c r="AD188" s="252"/>
      <c r="AE188" s="253"/>
      <c r="AF188" s="267"/>
      <c r="AG188" s="268"/>
      <c r="AH188" s="252"/>
      <c r="AI188" s="253"/>
      <c r="AJ188" s="267"/>
      <c r="AK188" s="268"/>
      <c r="AL188" s="252"/>
      <c r="AM188" s="253"/>
      <c r="AN188" s="267"/>
      <c r="AO188" s="268"/>
      <c r="AP188" s="255">
        <f t="shared" si="32"/>
        <v>117</v>
      </c>
      <c r="AQ188" s="256">
        <f t="shared" si="33"/>
        <v>1783106</v>
      </c>
      <c r="AR188" s="257">
        <f t="shared" si="34"/>
        <v>118</v>
      </c>
      <c r="AS188" s="258">
        <f t="shared" si="35"/>
        <v>1889202</v>
      </c>
      <c r="AT188" s="259">
        <v>11</v>
      </c>
      <c r="AU188" s="253">
        <v>114120</v>
      </c>
      <c r="AV188" s="267">
        <v>11</v>
      </c>
      <c r="AW188" s="268">
        <f>8343+111093</f>
        <v>119436</v>
      </c>
      <c r="AX188" s="252">
        <v>11</v>
      </c>
      <c r="AY188" s="253">
        <v>43449</v>
      </c>
      <c r="AZ188" s="267">
        <v>11</v>
      </c>
      <c r="BA188" s="268">
        <v>39105</v>
      </c>
      <c r="BB188" s="252"/>
      <c r="BC188" s="253"/>
      <c r="BD188" s="267"/>
      <c r="BE188" s="268"/>
      <c r="BF188" s="252">
        <v>11</v>
      </c>
      <c r="BG188" s="253">
        <v>65049</v>
      </c>
      <c r="BH188" s="267">
        <v>11</v>
      </c>
      <c r="BI188" s="268">
        <v>64883</v>
      </c>
      <c r="BJ188" s="252"/>
      <c r="BK188" s="253"/>
      <c r="BL188" s="267"/>
      <c r="BM188" s="268"/>
      <c r="BN188" s="252">
        <v>11</v>
      </c>
      <c r="BO188" s="253">
        <v>1056</v>
      </c>
      <c r="BP188" s="267">
        <v>11</v>
      </c>
      <c r="BQ188" s="268">
        <v>1056</v>
      </c>
      <c r="BR188" s="252"/>
      <c r="BS188" s="253"/>
      <c r="BT188" s="267"/>
      <c r="BU188" s="268"/>
      <c r="BV188" s="252"/>
      <c r="BW188" s="253"/>
      <c r="BX188" s="267"/>
      <c r="BY188" s="268"/>
      <c r="BZ188" s="252"/>
      <c r="CA188" s="253"/>
      <c r="CB188" s="267"/>
      <c r="CC188" s="268"/>
      <c r="CD188" s="255">
        <f t="shared" si="36"/>
        <v>11</v>
      </c>
      <c r="CE188" s="256">
        <f t="shared" si="37"/>
        <v>223674</v>
      </c>
      <c r="CF188" s="257">
        <f t="shared" si="38"/>
        <v>11</v>
      </c>
      <c r="CG188" s="261">
        <f t="shared" si="39"/>
        <v>224480</v>
      </c>
    </row>
    <row r="189" spans="1:86" s="263" customFormat="1" ht="12.75" customHeight="1">
      <c r="A189" s="348" t="s">
        <v>205</v>
      </c>
      <c r="B189" s="354" t="s">
        <v>786</v>
      </c>
      <c r="C189" s="354"/>
      <c r="D189" s="355">
        <v>157173</v>
      </c>
      <c r="E189" s="275">
        <v>8</v>
      </c>
      <c r="F189" s="252">
        <v>221</v>
      </c>
      <c r="G189" s="253">
        <v>1199616</v>
      </c>
      <c r="H189" s="267">
        <f>149+66</f>
        <v>215</v>
      </c>
      <c r="I189" s="268">
        <f>735476+444704</f>
        <v>1180180</v>
      </c>
      <c r="J189" s="252">
        <v>221</v>
      </c>
      <c r="K189" s="253">
        <v>1519943</v>
      </c>
      <c r="L189" s="267">
        <v>216</v>
      </c>
      <c r="M189" s="268">
        <v>1637816</v>
      </c>
      <c r="N189" s="252"/>
      <c r="O189" s="253"/>
      <c r="P189" s="267"/>
      <c r="Q189" s="268"/>
      <c r="R189" s="252">
        <v>221</v>
      </c>
      <c r="S189" s="253">
        <v>662089</v>
      </c>
      <c r="T189" s="267">
        <v>216</v>
      </c>
      <c r="U189" s="268">
        <v>648973</v>
      </c>
      <c r="V189" s="252"/>
      <c r="W189" s="253"/>
      <c r="X189" s="267"/>
      <c r="Y189" s="268"/>
      <c r="Z189" s="252">
        <v>221</v>
      </c>
      <c r="AA189" s="253">
        <v>3823</v>
      </c>
      <c r="AB189" s="267">
        <v>216</v>
      </c>
      <c r="AC189" s="268">
        <v>3727</v>
      </c>
      <c r="AD189" s="252"/>
      <c r="AE189" s="253"/>
      <c r="AF189" s="267"/>
      <c r="AG189" s="268"/>
      <c r="AH189" s="252">
        <v>38</v>
      </c>
      <c r="AI189" s="253">
        <v>25289</v>
      </c>
      <c r="AJ189" s="267">
        <v>32</v>
      </c>
      <c r="AK189" s="268">
        <v>35230</v>
      </c>
      <c r="AL189" s="252"/>
      <c r="AM189" s="253"/>
      <c r="AN189" s="267"/>
      <c r="AO189" s="268"/>
      <c r="AP189" s="255">
        <f t="shared" si="32"/>
        <v>221</v>
      </c>
      <c r="AQ189" s="256">
        <f t="shared" si="33"/>
        <v>3410760</v>
      </c>
      <c r="AR189" s="257">
        <f t="shared" si="34"/>
        <v>216</v>
      </c>
      <c r="AS189" s="258">
        <f t="shared" si="35"/>
        <v>3505926</v>
      </c>
      <c r="AT189" s="259">
        <v>18</v>
      </c>
      <c r="AU189" s="253">
        <v>118775</v>
      </c>
      <c r="AV189" s="267">
        <v>16</v>
      </c>
      <c r="AW189" s="268">
        <f>43566+57519</f>
        <v>101085</v>
      </c>
      <c r="AX189" s="252">
        <v>18</v>
      </c>
      <c r="AY189" s="253">
        <v>117448</v>
      </c>
      <c r="AZ189" s="267">
        <v>16</v>
      </c>
      <c r="BA189" s="268">
        <v>116390</v>
      </c>
      <c r="BB189" s="252"/>
      <c r="BC189" s="253"/>
      <c r="BD189" s="267"/>
      <c r="BE189" s="268"/>
      <c r="BF189" s="252">
        <v>18</v>
      </c>
      <c r="BG189" s="253">
        <v>36543</v>
      </c>
      <c r="BH189" s="267">
        <v>16</v>
      </c>
      <c r="BI189" s="268">
        <v>38796</v>
      </c>
      <c r="BJ189" s="252"/>
      <c r="BK189" s="253"/>
      <c r="BL189" s="267"/>
      <c r="BM189" s="268"/>
      <c r="BN189" s="252">
        <v>18</v>
      </c>
      <c r="BO189" s="253">
        <v>326</v>
      </c>
      <c r="BP189" s="267">
        <v>16</v>
      </c>
      <c r="BQ189" s="268">
        <v>307</v>
      </c>
      <c r="BR189" s="252"/>
      <c r="BS189" s="253"/>
      <c r="BT189" s="267"/>
      <c r="BU189" s="268"/>
      <c r="BV189" s="252">
        <v>3</v>
      </c>
      <c r="BW189" s="253">
        <v>2178</v>
      </c>
      <c r="BX189" s="267"/>
      <c r="BY189" s="268"/>
      <c r="BZ189" s="252"/>
      <c r="CA189" s="253"/>
      <c r="CB189" s="267"/>
      <c r="CC189" s="268"/>
      <c r="CD189" s="255">
        <f t="shared" si="36"/>
        <v>18</v>
      </c>
      <c r="CE189" s="256">
        <f t="shared" si="37"/>
        <v>275270</v>
      </c>
      <c r="CF189" s="257">
        <f t="shared" si="38"/>
        <v>16</v>
      </c>
      <c r="CG189" s="261">
        <f t="shared" si="39"/>
        <v>256578</v>
      </c>
    </row>
    <row r="190" spans="1:86" s="263" customFormat="1" ht="12.75" customHeight="1">
      <c r="A190" s="348" t="s">
        <v>205</v>
      </c>
      <c r="B190" s="354" t="s">
        <v>787</v>
      </c>
      <c r="C190" s="354"/>
      <c r="D190" s="355">
        <v>156921</v>
      </c>
      <c r="E190" s="275">
        <v>8</v>
      </c>
      <c r="F190" s="252">
        <v>231</v>
      </c>
      <c r="G190" s="253">
        <v>1241659</v>
      </c>
      <c r="H190" s="267">
        <f>179+38</f>
        <v>217</v>
      </c>
      <c r="I190" s="268">
        <f>910084+268784</f>
        <v>1178868</v>
      </c>
      <c r="J190" s="252">
        <v>237</v>
      </c>
      <c r="K190" s="253">
        <v>1542349</v>
      </c>
      <c r="L190" s="267">
        <v>226</v>
      </c>
      <c r="M190" s="268">
        <v>1642098</v>
      </c>
      <c r="N190" s="252"/>
      <c r="O190" s="253"/>
      <c r="P190" s="267"/>
      <c r="Q190" s="268"/>
      <c r="R190" s="252">
        <v>237</v>
      </c>
      <c r="S190" s="253">
        <v>812462</v>
      </c>
      <c r="T190" s="267">
        <v>226</v>
      </c>
      <c r="U190" s="268">
        <v>775924</v>
      </c>
      <c r="V190" s="252"/>
      <c r="W190" s="253"/>
      <c r="X190" s="267"/>
      <c r="Y190" s="268"/>
      <c r="Z190" s="252">
        <v>237</v>
      </c>
      <c r="AA190" s="253">
        <v>3924</v>
      </c>
      <c r="AB190" s="267">
        <v>226</v>
      </c>
      <c r="AC190" s="268">
        <v>3808</v>
      </c>
      <c r="AD190" s="252"/>
      <c r="AE190" s="253"/>
      <c r="AF190" s="267"/>
      <c r="AG190" s="268"/>
      <c r="AH190" s="252">
        <v>15</v>
      </c>
      <c r="AI190" s="253">
        <v>10527</v>
      </c>
      <c r="AJ190" s="267">
        <v>21</v>
      </c>
      <c r="AK190" s="268">
        <v>18850</v>
      </c>
      <c r="AL190" s="252"/>
      <c r="AM190" s="253"/>
      <c r="AN190" s="267"/>
      <c r="AO190" s="268"/>
      <c r="AP190" s="255">
        <f t="shared" si="32"/>
        <v>237</v>
      </c>
      <c r="AQ190" s="256">
        <f t="shared" si="33"/>
        <v>3610921</v>
      </c>
      <c r="AR190" s="257">
        <f t="shared" si="34"/>
        <v>226</v>
      </c>
      <c r="AS190" s="258">
        <f t="shared" si="35"/>
        <v>3619548</v>
      </c>
      <c r="AT190" s="259">
        <v>57</v>
      </c>
      <c r="AU190" s="253">
        <v>379562</v>
      </c>
      <c r="AV190" s="267">
        <f>33+17</f>
        <v>50</v>
      </c>
      <c r="AW190" s="268">
        <f>212013+130014</f>
        <v>342027</v>
      </c>
      <c r="AX190" s="252">
        <v>60</v>
      </c>
      <c r="AY190" s="253">
        <v>421374</v>
      </c>
      <c r="AZ190" s="267">
        <v>54</v>
      </c>
      <c r="BA190" s="268">
        <v>402549</v>
      </c>
      <c r="BB190" s="252"/>
      <c r="BC190" s="253"/>
      <c r="BD190" s="267"/>
      <c r="BE190" s="268"/>
      <c r="BF190" s="252">
        <v>60</v>
      </c>
      <c r="BG190" s="253">
        <v>208503</v>
      </c>
      <c r="BH190" s="267">
        <v>54</v>
      </c>
      <c r="BI190" s="268">
        <v>208464</v>
      </c>
      <c r="BJ190" s="252"/>
      <c r="BK190" s="253"/>
      <c r="BL190" s="267"/>
      <c r="BM190" s="268"/>
      <c r="BN190" s="252">
        <v>60</v>
      </c>
      <c r="BO190" s="253">
        <v>1097</v>
      </c>
      <c r="BP190" s="267">
        <v>54</v>
      </c>
      <c r="BQ190" s="268">
        <v>963</v>
      </c>
      <c r="BR190" s="252"/>
      <c r="BS190" s="253"/>
      <c r="BT190" s="267"/>
      <c r="BU190" s="268"/>
      <c r="BV190" s="252">
        <v>12</v>
      </c>
      <c r="BW190" s="253">
        <v>9317</v>
      </c>
      <c r="BX190" s="267">
        <v>5</v>
      </c>
      <c r="BY190" s="268">
        <v>2912</v>
      </c>
      <c r="BZ190" s="252"/>
      <c r="CA190" s="253"/>
      <c r="CB190" s="267"/>
      <c r="CC190" s="268"/>
      <c r="CD190" s="255">
        <f t="shared" si="36"/>
        <v>60</v>
      </c>
      <c r="CE190" s="256">
        <f t="shared" si="37"/>
        <v>1019853</v>
      </c>
      <c r="CF190" s="257">
        <f t="shared" si="38"/>
        <v>54</v>
      </c>
      <c r="CG190" s="261">
        <f t="shared" si="39"/>
        <v>956915</v>
      </c>
    </row>
    <row r="191" spans="1:86" s="263" customFormat="1" ht="12.75" customHeight="1">
      <c r="A191" s="348" t="s">
        <v>205</v>
      </c>
      <c r="B191" s="354" t="s">
        <v>788</v>
      </c>
      <c r="C191" s="354"/>
      <c r="D191" s="355">
        <v>156231</v>
      </c>
      <c r="E191" s="275">
        <v>9</v>
      </c>
      <c r="F191" s="252">
        <v>79</v>
      </c>
      <c r="G191" s="253">
        <v>424033</v>
      </c>
      <c r="H191" s="267">
        <f>59+22</f>
        <v>81</v>
      </c>
      <c r="I191" s="268">
        <f>289826+143103</f>
        <v>432929</v>
      </c>
      <c r="J191" s="252">
        <v>82</v>
      </c>
      <c r="K191" s="253">
        <v>465045</v>
      </c>
      <c r="L191" s="267">
        <v>82</v>
      </c>
      <c r="M191" s="268">
        <v>539122</v>
      </c>
      <c r="N191" s="252"/>
      <c r="O191" s="253"/>
      <c r="P191" s="267"/>
      <c r="Q191" s="268"/>
      <c r="R191" s="252">
        <v>82</v>
      </c>
      <c r="S191" s="253">
        <v>247405</v>
      </c>
      <c r="T191" s="267">
        <v>82</v>
      </c>
      <c r="U191" s="268">
        <v>254525</v>
      </c>
      <c r="V191" s="252"/>
      <c r="W191" s="253"/>
      <c r="X191" s="267"/>
      <c r="Y191" s="268"/>
      <c r="Z191" s="252">
        <v>82</v>
      </c>
      <c r="AA191" s="253">
        <v>1355</v>
      </c>
      <c r="AB191" s="267">
        <v>82</v>
      </c>
      <c r="AC191" s="268">
        <v>1374</v>
      </c>
      <c r="AD191" s="252"/>
      <c r="AE191" s="253"/>
      <c r="AF191" s="267"/>
      <c r="AG191" s="268"/>
      <c r="AH191" s="252">
        <v>7</v>
      </c>
      <c r="AI191" s="253">
        <v>5445</v>
      </c>
      <c r="AJ191" s="267">
        <v>11</v>
      </c>
      <c r="AK191" s="268">
        <v>8385</v>
      </c>
      <c r="AL191" s="252"/>
      <c r="AM191" s="253"/>
      <c r="AN191" s="267"/>
      <c r="AO191" s="268"/>
      <c r="AP191" s="255">
        <f t="shared" si="32"/>
        <v>82</v>
      </c>
      <c r="AQ191" s="256">
        <f t="shared" si="33"/>
        <v>1143283</v>
      </c>
      <c r="AR191" s="257">
        <f t="shared" si="34"/>
        <v>82</v>
      </c>
      <c r="AS191" s="258">
        <f t="shared" si="35"/>
        <v>1236335</v>
      </c>
      <c r="AT191" s="259">
        <v>13</v>
      </c>
      <c r="AU191" s="253">
        <v>95009</v>
      </c>
      <c r="AV191" s="267">
        <v>13</v>
      </c>
      <c r="AW191" s="268">
        <f>42214+55462</f>
        <v>97676</v>
      </c>
      <c r="AX191" s="252">
        <v>13</v>
      </c>
      <c r="AY191" s="253">
        <v>74618</v>
      </c>
      <c r="AZ191" s="267">
        <v>13</v>
      </c>
      <c r="BA191" s="268">
        <v>79314</v>
      </c>
      <c r="BB191" s="252"/>
      <c r="BC191" s="253"/>
      <c r="BD191" s="267"/>
      <c r="BE191" s="268"/>
      <c r="BF191" s="252">
        <v>13</v>
      </c>
      <c r="BG191" s="253">
        <v>35754</v>
      </c>
      <c r="BH191" s="267">
        <v>13</v>
      </c>
      <c r="BI191" s="268">
        <v>36649</v>
      </c>
      <c r="BJ191" s="252"/>
      <c r="BK191" s="253"/>
      <c r="BL191" s="267"/>
      <c r="BM191" s="268"/>
      <c r="BN191" s="252">
        <v>13</v>
      </c>
      <c r="BO191" s="253">
        <v>213</v>
      </c>
      <c r="BP191" s="267">
        <v>13</v>
      </c>
      <c r="BQ191" s="268">
        <v>213</v>
      </c>
      <c r="BR191" s="252"/>
      <c r="BS191" s="253"/>
      <c r="BT191" s="267"/>
      <c r="BU191" s="268"/>
      <c r="BV191" s="252">
        <v>3</v>
      </c>
      <c r="BW191" s="253">
        <v>1573</v>
      </c>
      <c r="BX191" s="267">
        <v>3</v>
      </c>
      <c r="BY191" s="268">
        <v>1920</v>
      </c>
      <c r="BZ191" s="252"/>
      <c r="CA191" s="253"/>
      <c r="CB191" s="267"/>
      <c r="CC191" s="268"/>
      <c r="CD191" s="255">
        <f t="shared" si="36"/>
        <v>13</v>
      </c>
      <c r="CE191" s="256">
        <f t="shared" si="37"/>
        <v>207167</v>
      </c>
      <c r="CF191" s="257">
        <f t="shared" si="38"/>
        <v>13</v>
      </c>
      <c r="CG191" s="261">
        <f t="shared" si="39"/>
        <v>215772</v>
      </c>
    </row>
    <row r="192" spans="1:86" s="263" customFormat="1" ht="12.75" customHeight="1">
      <c r="A192" s="348" t="s">
        <v>205</v>
      </c>
      <c r="B192" s="354" t="s">
        <v>789</v>
      </c>
      <c r="C192" s="354"/>
      <c r="D192" s="359">
        <v>157553</v>
      </c>
      <c r="E192" s="275">
        <v>9</v>
      </c>
      <c r="F192" s="252">
        <v>81</v>
      </c>
      <c r="G192" s="253">
        <v>408172</v>
      </c>
      <c r="H192" s="267">
        <f>61+26</f>
        <v>87</v>
      </c>
      <c r="I192" s="268">
        <f>282706+152960</f>
        <v>435666</v>
      </c>
      <c r="J192" s="252">
        <v>86</v>
      </c>
      <c r="K192" s="253">
        <v>597074</v>
      </c>
      <c r="L192" s="267">
        <v>96</v>
      </c>
      <c r="M192" s="268">
        <v>724777</v>
      </c>
      <c r="N192" s="252"/>
      <c r="O192" s="253"/>
      <c r="P192" s="267"/>
      <c r="Q192" s="268"/>
      <c r="R192" s="252">
        <v>86</v>
      </c>
      <c r="S192" s="253">
        <v>245873</v>
      </c>
      <c r="T192" s="267">
        <v>96</v>
      </c>
      <c r="U192" s="268">
        <v>278787</v>
      </c>
      <c r="V192" s="252"/>
      <c r="W192" s="253"/>
      <c r="X192" s="267"/>
      <c r="Y192" s="268"/>
      <c r="Z192" s="252">
        <v>86</v>
      </c>
      <c r="AA192" s="253">
        <v>1287</v>
      </c>
      <c r="AB192" s="267">
        <v>96</v>
      </c>
      <c r="AC192" s="268">
        <v>1480</v>
      </c>
      <c r="AD192" s="252"/>
      <c r="AE192" s="253"/>
      <c r="AF192" s="267"/>
      <c r="AG192" s="268"/>
      <c r="AH192" s="252">
        <v>12</v>
      </c>
      <c r="AI192" s="253">
        <v>7986</v>
      </c>
      <c r="AJ192" s="267">
        <v>8</v>
      </c>
      <c r="AK192" s="268">
        <v>6980</v>
      </c>
      <c r="AL192" s="252"/>
      <c r="AM192" s="253"/>
      <c r="AN192" s="267"/>
      <c r="AO192" s="268"/>
      <c r="AP192" s="255">
        <f t="shared" si="32"/>
        <v>86</v>
      </c>
      <c r="AQ192" s="256">
        <f t="shared" si="33"/>
        <v>1260392</v>
      </c>
      <c r="AR192" s="257">
        <f t="shared" si="34"/>
        <v>96</v>
      </c>
      <c r="AS192" s="258">
        <f t="shared" si="35"/>
        <v>1447690</v>
      </c>
      <c r="AT192" s="259">
        <v>20</v>
      </c>
      <c r="AU192" s="253">
        <v>156554</v>
      </c>
      <c r="AV192" s="267">
        <v>20</v>
      </c>
      <c r="AW192" s="268">
        <f>52693+106143</f>
        <v>158836</v>
      </c>
      <c r="AX192" s="252">
        <v>20</v>
      </c>
      <c r="AY192" s="253">
        <v>129803</v>
      </c>
      <c r="AZ192" s="267">
        <v>20</v>
      </c>
      <c r="BA192" s="268">
        <v>148892</v>
      </c>
      <c r="BB192" s="252"/>
      <c r="BC192" s="253"/>
      <c r="BD192" s="267"/>
      <c r="BE192" s="268"/>
      <c r="BF192" s="252">
        <v>20</v>
      </c>
      <c r="BG192" s="253">
        <v>55975</v>
      </c>
      <c r="BH192" s="267">
        <v>20</v>
      </c>
      <c r="BI192" s="268">
        <v>60145</v>
      </c>
      <c r="BJ192" s="252"/>
      <c r="BK192" s="253"/>
      <c r="BL192" s="267"/>
      <c r="BM192" s="268"/>
      <c r="BN192" s="252">
        <v>20</v>
      </c>
      <c r="BO192" s="253">
        <v>329</v>
      </c>
      <c r="BP192" s="267">
        <v>20</v>
      </c>
      <c r="BQ192" s="268">
        <v>329</v>
      </c>
      <c r="BR192" s="252"/>
      <c r="BS192" s="253"/>
      <c r="BT192" s="267"/>
      <c r="BU192" s="268"/>
      <c r="BV192" s="252">
        <v>1</v>
      </c>
      <c r="BW192" s="253">
        <v>1089</v>
      </c>
      <c r="BX192" s="267">
        <v>1</v>
      </c>
      <c r="BY192" s="268">
        <v>1530</v>
      </c>
      <c r="BZ192" s="252"/>
      <c r="CA192" s="253"/>
      <c r="CB192" s="267"/>
      <c r="CC192" s="268"/>
      <c r="CD192" s="255">
        <f t="shared" si="36"/>
        <v>20</v>
      </c>
      <c r="CE192" s="256">
        <f t="shared" si="37"/>
        <v>343750</v>
      </c>
      <c r="CF192" s="257">
        <f t="shared" si="38"/>
        <v>20</v>
      </c>
      <c r="CG192" s="261">
        <f t="shared" si="39"/>
        <v>369732</v>
      </c>
    </row>
    <row r="193" spans="1:85" s="263" customFormat="1" ht="12.75" customHeight="1">
      <c r="A193" s="348" t="s">
        <v>205</v>
      </c>
      <c r="B193" s="354" t="s">
        <v>790</v>
      </c>
      <c r="C193" s="354"/>
      <c r="D193" s="359">
        <v>156648</v>
      </c>
      <c r="E193" s="275">
        <v>9</v>
      </c>
      <c r="F193" s="252">
        <v>112</v>
      </c>
      <c r="G193" s="253">
        <v>592486</v>
      </c>
      <c r="H193" s="267">
        <f>83+30</f>
        <v>113</v>
      </c>
      <c r="I193" s="268">
        <f>391200+206317</f>
        <v>597517</v>
      </c>
      <c r="J193" s="252">
        <v>114</v>
      </c>
      <c r="K193" s="253">
        <v>748907</v>
      </c>
      <c r="L193" s="267">
        <v>119</v>
      </c>
      <c r="M193" s="268">
        <v>850199</v>
      </c>
      <c r="N193" s="252"/>
      <c r="O193" s="253"/>
      <c r="P193" s="267"/>
      <c r="Q193" s="268"/>
      <c r="R193" s="252">
        <v>114</v>
      </c>
      <c r="S193" s="253">
        <v>330666</v>
      </c>
      <c r="T193" s="267">
        <v>119</v>
      </c>
      <c r="U193" s="268">
        <v>340104</v>
      </c>
      <c r="V193" s="252"/>
      <c r="W193" s="253"/>
      <c r="X193" s="267"/>
      <c r="Y193" s="268"/>
      <c r="Z193" s="252">
        <v>114</v>
      </c>
      <c r="AA193" s="253">
        <v>1971</v>
      </c>
      <c r="AB193" s="267">
        <v>119</v>
      </c>
      <c r="AC193" s="268">
        <v>2066</v>
      </c>
      <c r="AD193" s="252"/>
      <c r="AE193" s="253"/>
      <c r="AF193" s="267"/>
      <c r="AG193" s="268"/>
      <c r="AH193" s="252">
        <v>23</v>
      </c>
      <c r="AI193" s="253">
        <v>13310</v>
      </c>
      <c r="AJ193" s="267">
        <v>22</v>
      </c>
      <c r="AK193" s="268">
        <v>23312</v>
      </c>
      <c r="AL193" s="252"/>
      <c r="AM193" s="253"/>
      <c r="AN193" s="267"/>
      <c r="AO193" s="268"/>
      <c r="AP193" s="255">
        <f t="shared" si="32"/>
        <v>114</v>
      </c>
      <c r="AQ193" s="256">
        <f t="shared" si="33"/>
        <v>1687340</v>
      </c>
      <c r="AR193" s="257">
        <f t="shared" si="34"/>
        <v>119</v>
      </c>
      <c r="AS193" s="258">
        <f t="shared" si="35"/>
        <v>1813198</v>
      </c>
      <c r="AT193" s="259">
        <v>6</v>
      </c>
      <c r="AU193" s="253">
        <v>42193</v>
      </c>
      <c r="AV193" s="267">
        <v>7</v>
      </c>
      <c r="AW193" s="268">
        <f>32117+15023</f>
        <v>47140</v>
      </c>
      <c r="AX193" s="252">
        <v>6</v>
      </c>
      <c r="AY193" s="253">
        <v>39408</v>
      </c>
      <c r="AZ193" s="267">
        <v>7</v>
      </c>
      <c r="BA193" s="268">
        <v>52604</v>
      </c>
      <c r="BB193" s="252"/>
      <c r="BC193" s="253"/>
      <c r="BD193" s="267"/>
      <c r="BE193" s="268"/>
      <c r="BF193" s="252">
        <v>6</v>
      </c>
      <c r="BG193" s="253">
        <v>22632</v>
      </c>
      <c r="BH193" s="267">
        <v>7</v>
      </c>
      <c r="BI193" s="268">
        <v>26201</v>
      </c>
      <c r="BJ193" s="252"/>
      <c r="BK193" s="253"/>
      <c r="BL193" s="267"/>
      <c r="BM193" s="268"/>
      <c r="BN193" s="252">
        <v>6</v>
      </c>
      <c r="BO193" s="253">
        <v>97</v>
      </c>
      <c r="BP193" s="267">
        <v>7</v>
      </c>
      <c r="BQ193" s="268">
        <v>116</v>
      </c>
      <c r="BR193" s="252"/>
      <c r="BS193" s="253"/>
      <c r="BT193" s="267"/>
      <c r="BU193" s="268"/>
      <c r="BV193" s="252"/>
      <c r="BW193" s="253"/>
      <c r="BX193" s="267">
        <v>1</v>
      </c>
      <c r="BY193" s="268">
        <v>780</v>
      </c>
      <c r="BZ193" s="252"/>
      <c r="CA193" s="253"/>
      <c r="CB193" s="267"/>
      <c r="CC193" s="268"/>
      <c r="CD193" s="255">
        <f t="shared" si="36"/>
        <v>6</v>
      </c>
      <c r="CE193" s="256">
        <f t="shared" si="37"/>
        <v>104330</v>
      </c>
      <c r="CF193" s="257">
        <f t="shared" si="38"/>
        <v>7</v>
      </c>
      <c r="CG193" s="261">
        <f t="shared" si="39"/>
        <v>126841</v>
      </c>
    </row>
    <row r="194" spans="1:85" s="263" customFormat="1" ht="12.75" customHeight="1">
      <c r="A194" s="348" t="s">
        <v>205</v>
      </c>
      <c r="B194" s="360" t="s">
        <v>792</v>
      </c>
      <c r="C194" s="360"/>
      <c r="D194" s="359">
        <v>157304</v>
      </c>
      <c r="E194" s="279">
        <v>9</v>
      </c>
      <c r="F194" s="252">
        <v>85</v>
      </c>
      <c r="G194" s="253">
        <v>470486</v>
      </c>
      <c r="H194" s="267">
        <f>51+33</f>
        <v>84</v>
      </c>
      <c r="I194" s="268">
        <f>261432+208707</f>
        <v>470139</v>
      </c>
      <c r="J194" s="252">
        <v>90</v>
      </c>
      <c r="K194" s="253">
        <v>560275</v>
      </c>
      <c r="L194" s="267">
        <v>90</v>
      </c>
      <c r="M194" s="268">
        <v>591852</v>
      </c>
      <c r="N194" s="252"/>
      <c r="O194" s="253"/>
      <c r="P194" s="267"/>
      <c r="Q194" s="268"/>
      <c r="R194" s="252">
        <v>90</v>
      </c>
      <c r="S194" s="253">
        <v>290286</v>
      </c>
      <c r="T194" s="267">
        <v>90</v>
      </c>
      <c r="U194" s="268">
        <v>292644</v>
      </c>
      <c r="V194" s="252"/>
      <c r="W194" s="253"/>
      <c r="X194" s="267"/>
      <c r="Y194" s="268"/>
      <c r="Z194" s="252">
        <v>90</v>
      </c>
      <c r="AA194" s="253">
        <v>1437</v>
      </c>
      <c r="AB194" s="267">
        <v>90</v>
      </c>
      <c r="AC194" s="268">
        <v>1455</v>
      </c>
      <c r="AD194" s="252"/>
      <c r="AE194" s="253"/>
      <c r="AF194" s="267"/>
      <c r="AG194" s="268"/>
      <c r="AH194" s="252">
        <v>17</v>
      </c>
      <c r="AI194" s="253">
        <v>11677</v>
      </c>
      <c r="AJ194" s="267">
        <v>12</v>
      </c>
      <c r="AK194" s="268">
        <v>12765</v>
      </c>
      <c r="AL194" s="252"/>
      <c r="AM194" s="253"/>
      <c r="AN194" s="267"/>
      <c r="AO194" s="268"/>
      <c r="AP194" s="255">
        <f t="shared" si="32"/>
        <v>90</v>
      </c>
      <c r="AQ194" s="256">
        <f t="shared" si="33"/>
        <v>1334161</v>
      </c>
      <c r="AR194" s="257">
        <f t="shared" si="34"/>
        <v>90</v>
      </c>
      <c r="AS194" s="258">
        <f t="shared" si="35"/>
        <v>1368855</v>
      </c>
      <c r="AT194" s="259">
        <v>14</v>
      </c>
      <c r="AU194" s="253">
        <v>104289</v>
      </c>
      <c r="AV194" s="267">
        <v>14</v>
      </c>
      <c r="AW194" s="268">
        <f>32956+67982</f>
        <v>100938</v>
      </c>
      <c r="AX194" s="252">
        <v>21</v>
      </c>
      <c r="AY194" s="253">
        <v>160353</v>
      </c>
      <c r="AZ194" s="267">
        <v>22</v>
      </c>
      <c r="BA194" s="268">
        <v>187001</v>
      </c>
      <c r="BB194" s="252"/>
      <c r="BC194" s="253"/>
      <c r="BD194" s="267"/>
      <c r="BE194" s="268"/>
      <c r="BF194" s="252">
        <v>21</v>
      </c>
      <c r="BG194" s="253">
        <v>65438</v>
      </c>
      <c r="BH194" s="267">
        <v>22</v>
      </c>
      <c r="BI194" s="268">
        <v>68648</v>
      </c>
      <c r="BJ194" s="252"/>
      <c r="BK194" s="253"/>
      <c r="BL194" s="267"/>
      <c r="BM194" s="268"/>
      <c r="BN194" s="252">
        <v>21</v>
      </c>
      <c r="BO194" s="253">
        <v>403</v>
      </c>
      <c r="BP194" s="267">
        <v>22</v>
      </c>
      <c r="BQ194" s="268">
        <v>422</v>
      </c>
      <c r="BR194" s="252"/>
      <c r="BS194" s="253"/>
      <c r="BT194" s="267"/>
      <c r="BU194" s="268"/>
      <c r="BV194" s="252">
        <v>1</v>
      </c>
      <c r="BW194" s="253">
        <v>726</v>
      </c>
      <c r="BX194" s="267"/>
      <c r="BY194" s="268"/>
      <c r="BZ194" s="252"/>
      <c r="CA194" s="253"/>
      <c r="CB194" s="267"/>
      <c r="CC194" s="268"/>
      <c r="CD194" s="255">
        <f t="shared" si="36"/>
        <v>21</v>
      </c>
      <c r="CE194" s="256">
        <f t="shared" si="37"/>
        <v>331209</v>
      </c>
      <c r="CF194" s="257">
        <f t="shared" si="38"/>
        <v>22</v>
      </c>
      <c r="CG194" s="261">
        <f t="shared" si="39"/>
        <v>357009</v>
      </c>
    </row>
    <row r="195" spans="1:85" s="263" customFormat="1" ht="12.75" customHeight="1">
      <c r="A195" s="348" t="s">
        <v>205</v>
      </c>
      <c r="B195" s="361" t="s">
        <v>799</v>
      </c>
      <c r="C195" s="361"/>
      <c r="D195" s="277">
        <v>157331</v>
      </c>
      <c r="E195" s="279">
        <v>9</v>
      </c>
      <c r="F195" s="252">
        <v>73</v>
      </c>
      <c r="G195" s="253">
        <v>410647</v>
      </c>
      <c r="H195" s="267">
        <f>34+34</f>
        <v>68</v>
      </c>
      <c r="I195" s="268">
        <f>176687+220808</f>
        <v>397495</v>
      </c>
      <c r="J195" s="252">
        <v>77</v>
      </c>
      <c r="K195" s="253">
        <v>525854</v>
      </c>
      <c r="L195" s="267">
        <v>80</v>
      </c>
      <c r="M195" s="268">
        <v>586434</v>
      </c>
      <c r="N195" s="252"/>
      <c r="O195" s="253"/>
      <c r="P195" s="267"/>
      <c r="Q195" s="268"/>
      <c r="R195" s="252">
        <v>77</v>
      </c>
      <c r="S195" s="253">
        <v>224479</v>
      </c>
      <c r="T195" s="267">
        <v>80</v>
      </c>
      <c r="U195" s="268">
        <v>241121</v>
      </c>
      <c r="V195" s="252"/>
      <c r="W195" s="253"/>
      <c r="X195" s="267"/>
      <c r="Y195" s="268"/>
      <c r="Z195" s="252">
        <v>77</v>
      </c>
      <c r="AA195" s="253">
        <v>1351</v>
      </c>
      <c r="AB195" s="267">
        <v>80</v>
      </c>
      <c r="AC195" s="268">
        <v>1370</v>
      </c>
      <c r="AD195" s="252"/>
      <c r="AE195" s="253"/>
      <c r="AF195" s="267"/>
      <c r="AG195" s="268"/>
      <c r="AH195" s="252">
        <v>29</v>
      </c>
      <c r="AI195" s="253">
        <v>20933</v>
      </c>
      <c r="AJ195" s="267">
        <v>14</v>
      </c>
      <c r="AK195" s="268">
        <v>15982</v>
      </c>
      <c r="AL195" s="252"/>
      <c r="AM195" s="253"/>
      <c r="AN195" s="267"/>
      <c r="AO195" s="268"/>
      <c r="AP195" s="255">
        <f t="shared" si="32"/>
        <v>77</v>
      </c>
      <c r="AQ195" s="256">
        <f t="shared" si="33"/>
        <v>1183264</v>
      </c>
      <c r="AR195" s="257">
        <f t="shared" si="34"/>
        <v>80</v>
      </c>
      <c r="AS195" s="258">
        <f t="shared" si="35"/>
        <v>1242402</v>
      </c>
      <c r="AT195" s="259">
        <v>10</v>
      </c>
      <c r="AU195" s="253">
        <v>71590</v>
      </c>
      <c r="AV195" s="267">
        <v>10</v>
      </c>
      <c r="AW195" s="268">
        <f>13760+67329</f>
        <v>81089</v>
      </c>
      <c r="AX195" s="252">
        <v>10</v>
      </c>
      <c r="AY195" s="253">
        <v>54636</v>
      </c>
      <c r="AZ195" s="267">
        <v>10</v>
      </c>
      <c r="BA195" s="268">
        <v>51593</v>
      </c>
      <c r="BB195" s="252"/>
      <c r="BC195" s="253"/>
      <c r="BD195" s="267"/>
      <c r="BE195" s="268"/>
      <c r="BF195" s="252">
        <v>10</v>
      </c>
      <c r="BG195" s="253">
        <v>26572</v>
      </c>
      <c r="BH195" s="267">
        <v>10</v>
      </c>
      <c r="BI195" s="268">
        <v>23124</v>
      </c>
      <c r="BJ195" s="252"/>
      <c r="BK195" s="253"/>
      <c r="BL195" s="267"/>
      <c r="BM195" s="268"/>
      <c r="BN195" s="252">
        <v>10</v>
      </c>
      <c r="BO195" s="253">
        <v>174</v>
      </c>
      <c r="BP195" s="267">
        <v>10</v>
      </c>
      <c r="BQ195" s="268">
        <v>174</v>
      </c>
      <c r="BR195" s="252"/>
      <c r="BS195" s="253"/>
      <c r="BT195" s="267"/>
      <c r="BU195" s="268"/>
      <c r="BV195" s="252">
        <v>1</v>
      </c>
      <c r="BW195" s="253">
        <v>726</v>
      </c>
      <c r="BX195" s="267">
        <v>2</v>
      </c>
      <c r="BY195" s="268">
        <v>1125</v>
      </c>
      <c r="BZ195" s="252"/>
      <c r="CA195" s="253"/>
      <c r="CB195" s="267"/>
      <c r="CC195" s="268"/>
      <c r="CD195" s="255">
        <f t="shared" si="36"/>
        <v>10</v>
      </c>
      <c r="CE195" s="256">
        <f t="shared" si="37"/>
        <v>153698</v>
      </c>
      <c r="CF195" s="257">
        <f t="shared" si="38"/>
        <v>10</v>
      </c>
      <c r="CG195" s="261">
        <f t="shared" si="39"/>
        <v>157105</v>
      </c>
    </row>
    <row r="196" spans="1:85" s="263" customFormat="1" ht="12.75" customHeight="1">
      <c r="A196" s="348" t="s">
        <v>205</v>
      </c>
      <c r="B196" s="360" t="s">
        <v>793</v>
      </c>
      <c r="C196" s="360"/>
      <c r="D196" s="362">
        <v>247940</v>
      </c>
      <c r="E196" s="279">
        <v>9</v>
      </c>
      <c r="F196" s="252">
        <v>86</v>
      </c>
      <c r="G196" s="253">
        <v>458853</v>
      </c>
      <c r="H196" s="267">
        <f>56+27</f>
        <v>83</v>
      </c>
      <c r="I196" s="268">
        <f>270197+178573</f>
        <v>448770</v>
      </c>
      <c r="J196" s="252">
        <v>88</v>
      </c>
      <c r="K196" s="253">
        <v>615977</v>
      </c>
      <c r="L196" s="267">
        <v>85</v>
      </c>
      <c r="M196" s="268">
        <v>627140</v>
      </c>
      <c r="N196" s="252"/>
      <c r="O196" s="253"/>
      <c r="P196" s="267"/>
      <c r="Q196" s="268"/>
      <c r="R196" s="252">
        <v>88</v>
      </c>
      <c r="S196" s="253">
        <v>266430</v>
      </c>
      <c r="T196" s="267">
        <v>85</v>
      </c>
      <c r="U196" s="268">
        <v>257019</v>
      </c>
      <c r="V196" s="252"/>
      <c r="W196" s="253"/>
      <c r="X196" s="267"/>
      <c r="Y196" s="268"/>
      <c r="Z196" s="252">
        <v>88</v>
      </c>
      <c r="AA196" s="253">
        <v>1633</v>
      </c>
      <c r="AB196" s="267">
        <v>85</v>
      </c>
      <c r="AC196" s="268">
        <v>1595</v>
      </c>
      <c r="AD196" s="252"/>
      <c r="AE196" s="253"/>
      <c r="AF196" s="267"/>
      <c r="AG196" s="268"/>
      <c r="AH196" s="252">
        <v>22</v>
      </c>
      <c r="AI196" s="253">
        <v>17545</v>
      </c>
      <c r="AJ196" s="267">
        <v>19</v>
      </c>
      <c r="AK196" s="268">
        <v>20720</v>
      </c>
      <c r="AL196" s="252"/>
      <c r="AM196" s="253"/>
      <c r="AN196" s="267"/>
      <c r="AO196" s="268"/>
      <c r="AP196" s="255">
        <f t="shared" ref="AP196:AP233" si="40">MAX(AL196,AH196,AD196,Z196,V196,R196,N196,J196,F196)</f>
        <v>88</v>
      </c>
      <c r="AQ196" s="256">
        <f t="shared" ref="AQ196:AQ233" si="41">SUM(AM196,AI196,AE196,AA196,W196,S196,O196,K196,G196)</f>
        <v>1360438</v>
      </c>
      <c r="AR196" s="257">
        <f t="shared" ref="AR196:AR233" si="42">MAX(AN196,AJ196,AF196,AB196,X196,T196,P196,L196,H196)</f>
        <v>85</v>
      </c>
      <c r="AS196" s="258">
        <f t="shared" ref="AS196:AS233" si="43">SUM(AO196,AK196,AG196,AC196,Y196,U196,Q196,M196,I196)</f>
        <v>1355244</v>
      </c>
      <c r="AT196" s="259">
        <v>12</v>
      </c>
      <c r="AU196" s="253">
        <v>74132</v>
      </c>
      <c r="AV196" s="267">
        <v>12</v>
      </c>
      <c r="AW196" s="268">
        <f>19950+55604</f>
        <v>75554</v>
      </c>
      <c r="AX196" s="252">
        <v>12</v>
      </c>
      <c r="AY196" s="253">
        <v>74972</v>
      </c>
      <c r="AZ196" s="267">
        <v>12</v>
      </c>
      <c r="BA196" s="268">
        <v>80322</v>
      </c>
      <c r="BB196" s="252"/>
      <c r="BC196" s="253"/>
      <c r="BD196" s="267"/>
      <c r="BE196" s="268"/>
      <c r="BF196" s="252">
        <v>12</v>
      </c>
      <c r="BG196" s="253">
        <v>22560</v>
      </c>
      <c r="BH196" s="267">
        <v>12</v>
      </c>
      <c r="BI196" s="268">
        <v>22875</v>
      </c>
      <c r="BJ196" s="252"/>
      <c r="BK196" s="253"/>
      <c r="BL196" s="267"/>
      <c r="BM196" s="268"/>
      <c r="BN196" s="252">
        <v>12</v>
      </c>
      <c r="BO196" s="253">
        <v>230</v>
      </c>
      <c r="BP196" s="267">
        <v>12</v>
      </c>
      <c r="BQ196" s="268">
        <v>230</v>
      </c>
      <c r="BR196" s="252"/>
      <c r="BS196" s="253"/>
      <c r="BT196" s="267"/>
      <c r="BU196" s="268"/>
      <c r="BV196" s="252"/>
      <c r="BW196" s="253"/>
      <c r="BX196" s="267"/>
      <c r="BY196" s="268"/>
      <c r="BZ196" s="252"/>
      <c r="CA196" s="253"/>
      <c r="CB196" s="267"/>
      <c r="CC196" s="268"/>
      <c r="CD196" s="255">
        <f t="shared" ref="CD196:CD233" si="44">MAX(BZ196,BV196,BR196,BN196,BJ196,BF196,BB196,AX196,AT196)</f>
        <v>12</v>
      </c>
      <c r="CE196" s="256">
        <f t="shared" ref="CE196:CE233" si="45">SUM(CA196,BW196,BS196,BO196,BK196,BG196,BC196,AY196,AU196)</f>
        <v>171894</v>
      </c>
      <c r="CF196" s="257">
        <f t="shared" ref="CF196:CF233" si="46">MAX(CB196,BX196,BT196,BP196,BL196,BH196,BD196,AZ196,AV196)</f>
        <v>12</v>
      </c>
      <c r="CG196" s="261">
        <f t="shared" ref="CG196:CG233" si="47">SUM(CC196,BY196,BU196,BQ196,BM196,BI196,BE196,BA196,AW196)</f>
        <v>178981</v>
      </c>
    </row>
    <row r="197" spans="1:85" s="263" customFormat="1" ht="12.75" customHeight="1">
      <c r="A197" s="348" t="s">
        <v>205</v>
      </c>
      <c r="B197" s="360" t="s">
        <v>794</v>
      </c>
      <c r="C197" s="360"/>
      <c r="D197" s="350">
        <v>157711</v>
      </c>
      <c r="E197" s="351">
        <v>9</v>
      </c>
      <c r="F197" s="252">
        <v>128</v>
      </c>
      <c r="G197" s="253">
        <v>697690</v>
      </c>
      <c r="H197" s="267">
        <f>85+52</f>
        <v>137</v>
      </c>
      <c r="I197" s="268">
        <f>401930+336474</f>
        <v>738404</v>
      </c>
      <c r="J197" s="252">
        <v>131</v>
      </c>
      <c r="K197" s="253">
        <v>982875</v>
      </c>
      <c r="L197" s="267">
        <v>145</v>
      </c>
      <c r="M197" s="268">
        <v>1164612</v>
      </c>
      <c r="N197" s="252"/>
      <c r="O197" s="253"/>
      <c r="P197" s="267"/>
      <c r="Q197" s="268"/>
      <c r="R197" s="252">
        <v>131</v>
      </c>
      <c r="S197" s="253">
        <v>374987</v>
      </c>
      <c r="T197" s="267">
        <v>145</v>
      </c>
      <c r="U197" s="268">
        <v>428205</v>
      </c>
      <c r="V197" s="252"/>
      <c r="W197" s="253"/>
      <c r="X197" s="267"/>
      <c r="Y197" s="268"/>
      <c r="Z197" s="252">
        <v>131</v>
      </c>
      <c r="AA197" s="253">
        <v>2241</v>
      </c>
      <c r="AB197" s="267">
        <v>145</v>
      </c>
      <c r="AC197" s="268">
        <v>2510</v>
      </c>
      <c r="AD197" s="252"/>
      <c r="AE197" s="253"/>
      <c r="AF197" s="267"/>
      <c r="AG197" s="268"/>
      <c r="AH197" s="252">
        <v>16</v>
      </c>
      <c r="AI197" s="253">
        <v>9438</v>
      </c>
      <c r="AJ197" s="267">
        <v>22</v>
      </c>
      <c r="AK197" s="268">
        <v>22692</v>
      </c>
      <c r="AL197" s="252"/>
      <c r="AM197" s="253"/>
      <c r="AN197" s="267"/>
      <c r="AO197" s="268"/>
      <c r="AP197" s="255">
        <f t="shared" si="40"/>
        <v>131</v>
      </c>
      <c r="AQ197" s="256">
        <f t="shared" si="41"/>
        <v>2067231</v>
      </c>
      <c r="AR197" s="257">
        <f t="shared" si="42"/>
        <v>145</v>
      </c>
      <c r="AS197" s="258">
        <f t="shared" si="43"/>
        <v>2356423</v>
      </c>
      <c r="AT197" s="259">
        <v>19</v>
      </c>
      <c r="AU197" s="253">
        <v>130596</v>
      </c>
      <c r="AV197" s="267">
        <f>15+7</f>
        <v>22</v>
      </c>
      <c r="AW197" s="268">
        <f>91885+59742</f>
        <v>151627</v>
      </c>
      <c r="AX197" s="252">
        <v>19</v>
      </c>
      <c r="AY197" s="253">
        <v>132283</v>
      </c>
      <c r="AZ197" s="267">
        <v>22</v>
      </c>
      <c r="BA197" s="268">
        <v>165320</v>
      </c>
      <c r="BB197" s="252"/>
      <c r="BC197" s="253"/>
      <c r="BD197" s="267"/>
      <c r="BE197" s="268"/>
      <c r="BF197" s="252">
        <v>19</v>
      </c>
      <c r="BG197" s="253">
        <v>83552</v>
      </c>
      <c r="BH197" s="267">
        <v>22</v>
      </c>
      <c r="BI197" s="268">
        <v>98826</v>
      </c>
      <c r="BJ197" s="252"/>
      <c r="BK197" s="253"/>
      <c r="BL197" s="267"/>
      <c r="BM197" s="268"/>
      <c r="BN197" s="252">
        <v>19</v>
      </c>
      <c r="BO197" s="253">
        <v>328</v>
      </c>
      <c r="BP197" s="267">
        <v>22</v>
      </c>
      <c r="BQ197" s="268">
        <v>386</v>
      </c>
      <c r="BR197" s="252"/>
      <c r="BS197" s="253"/>
      <c r="BT197" s="267"/>
      <c r="BU197" s="268"/>
      <c r="BV197" s="252">
        <v>4</v>
      </c>
      <c r="BW197" s="253">
        <v>3993</v>
      </c>
      <c r="BX197" s="267">
        <v>2</v>
      </c>
      <c r="BY197" s="268">
        <v>3060</v>
      </c>
      <c r="BZ197" s="252"/>
      <c r="CA197" s="253"/>
      <c r="CB197" s="267"/>
      <c r="CC197" s="268"/>
      <c r="CD197" s="255">
        <f t="shared" si="44"/>
        <v>19</v>
      </c>
      <c r="CE197" s="256">
        <f t="shared" si="45"/>
        <v>350752</v>
      </c>
      <c r="CF197" s="257">
        <f t="shared" si="46"/>
        <v>22</v>
      </c>
      <c r="CG197" s="261">
        <f t="shared" si="47"/>
        <v>419219</v>
      </c>
    </row>
    <row r="198" spans="1:85" s="263" customFormat="1" ht="12.75" customHeight="1">
      <c r="A198" s="348" t="s">
        <v>205</v>
      </c>
      <c r="B198" s="356" t="s">
        <v>795</v>
      </c>
      <c r="C198" s="497" t="s">
        <v>1231</v>
      </c>
      <c r="D198" s="350">
        <v>157739</v>
      </c>
      <c r="E198" s="351">
        <v>9</v>
      </c>
      <c r="F198" s="252">
        <v>74</v>
      </c>
      <c r="G198" s="253">
        <v>429968</v>
      </c>
      <c r="H198" s="267">
        <f>47+24</f>
        <v>71</v>
      </c>
      <c r="I198" s="268">
        <f>245162+164198</f>
        <v>409360</v>
      </c>
      <c r="J198" s="252">
        <v>75</v>
      </c>
      <c r="K198" s="253">
        <v>505597</v>
      </c>
      <c r="L198" s="267">
        <v>77</v>
      </c>
      <c r="M198" s="268">
        <v>590318</v>
      </c>
      <c r="N198" s="252"/>
      <c r="O198" s="253"/>
      <c r="P198" s="267"/>
      <c r="Q198" s="268"/>
      <c r="R198" s="252">
        <v>75</v>
      </c>
      <c r="S198" s="253">
        <v>253688</v>
      </c>
      <c r="T198" s="267">
        <v>77</v>
      </c>
      <c r="U198" s="268">
        <v>251175</v>
      </c>
      <c r="V198" s="252"/>
      <c r="W198" s="253"/>
      <c r="X198" s="267"/>
      <c r="Y198" s="268"/>
      <c r="Z198" s="252">
        <v>75</v>
      </c>
      <c r="AA198" s="253">
        <v>1076</v>
      </c>
      <c r="AB198" s="267">
        <v>77</v>
      </c>
      <c r="AC198" s="268">
        <v>1151</v>
      </c>
      <c r="AD198" s="252"/>
      <c r="AE198" s="253"/>
      <c r="AF198" s="267"/>
      <c r="AG198" s="268"/>
      <c r="AH198" s="252">
        <v>9</v>
      </c>
      <c r="AI198" s="253">
        <v>5445</v>
      </c>
      <c r="AJ198" s="267">
        <v>6</v>
      </c>
      <c r="AK198" s="268">
        <v>6650</v>
      </c>
      <c r="AL198" s="252"/>
      <c r="AM198" s="253"/>
      <c r="AN198" s="267"/>
      <c r="AO198" s="268"/>
      <c r="AP198" s="255">
        <f t="shared" si="40"/>
        <v>75</v>
      </c>
      <c r="AQ198" s="256">
        <f t="shared" si="41"/>
        <v>1195774</v>
      </c>
      <c r="AR198" s="257">
        <f t="shared" si="42"/>
        <v>77</v>
      </c>
      <c r="AS198" s="258">
        <f t="shared" si="43"/>
        <v>1258654</v>
      </c>
      <c r="AT198" s="259">
        <v>20</v>
      </c>
      <c r="AU198" s="253">
        <v>138998</v>
      </c>
      <c r="AV198" s="267">
        <v>19</v>
      </c>
      <c r="AW198" s="268">
        <f>60660+73520</f>
        <v>134180</v>
      </c>
      <c r="AX198" s="252">
        <v>20</v>
      </c>
      <c r="AY198" s="253">
        <v>161013</v>
      </c>
      <c r="AZ198" s="267">
        <v>19</v>
      </c>
      <c r="BA198" s="268">
        <v>166369</v>
      </c>
      <c r="BB198" s="252"/>
      <c r="BC198" s="253"/>
      <c r="BD198" s="267"/>
      <c r="BE198" s="268"/>
      <c r="BF198" s="252">
        <v>20</v>
      </c>
      <c r="BG198" s="253">
        <v>59378</v>
      </c>
      <c r="BH198" s="267">
        <v>19</v>
      </c>
      <c r="BI198" s="268">
        <v>55059</v>
      </c>
      <c r="BJ198" s="252"/>
      <c r="BK198" s="253"/>
      <c r="BL198" s="267"/>
      <c r="BM198" s="268"/>
      <c r="BN198" s="252">
        <v>20</v>
      </c>
      <c r="BO198" s="253">
        <v>311</v>
      </c>
      <c r="BP198" s="267">
        <v>19</v>
      </c>
      <c r="BQ198" s="268">
        <v>310</v>
      </c>
      <c r="BR198" s="252"/>
      <c r="BS198" s="253"/>
      <c r="BT198" s="267"/>
      <c r="BU198" s="268"/>
      <c r="BV198" s="252">
        <v>1</v>
      </c>
      <c r="BW198" s="253">
        <v>1857</v>
      </c>
      <c r="BX198" s="267"/>
      <c r="BY198" s="268"/>
      <c r="BZ198" s="252"/>
      <c r="CA198" s="253"/>
      <c r="CB198" s="267"/>
      <c r="CC198" s="268"/>
      <c r="CD198" s="255">
        <f t="shared" si="44"/>
        <v>20</v>
      </c>
      <c r="CE198" s="256">
        <f t="shared" si="45"/>
        <v>361557</v>
      </c>
      <c r="CF198" s="257">
        <f t="shared" si="46"/>
        <v>19</v>
      </c>
      <c r="CG198" s="261">
        <f t="shared" si="47"/>
        <v>355918</v>
      </c>
    </row>
    <row r="199" spans="1:85" s="263" customFormat="1" ht="12.75" customHeight="1">
      <c r="A199" s="348" t="s">
        <v>205</v>
      </c>
      <c r="B199" s="360" t="s">
        <v>796</v>
      </c>
      <c r="C199" s="360"/>
      <c r="D199" s="350">
        <v>157483</v>
      </c>
      <c r="E199" s="351">
        <v>9</v>
      </c>
      <c r="F199" s="252">
        <v>96</v>
      </c>
      <c r="G199" s="253">
        <v>520375</v>
      </c>
      <c r="H199" s="267">
        <f>65+30</f>
        <v>95</v>
      </c>
      <c r="I199" s="268">
        <f>315894+210781</f>
        <v>526675</v>
      </c>
      <c r="J199" s="252">
        <v>99</v>
      </c>
      <c r="K199" s="253">
        <v>663694</v>
      </c>
      <c r="L199" s="267">
        <v>99</v>
      </c>
      <c r="M199" s="268">
        <v>723607</v>
      </c>
      <c r="N199" s="252"/>
      <c r="O199" s="253"/>
      <c r="P199" s="267"/>
      <c r="Q199" s="268"/>
      <c r="R199" s="252">
        <v>99</v>
      </c>
      <c r="S199" s="253">
        <v>287058</v>
      </c>
      <c r="T199" s="267">
        <v>99</v>
      </c>
      <c r="U199" s="268">
        <v>290628</v>
      </c>
      <c r="V199" s="252"/>
      <c r="W199" s="253"/>
      <c r="X199" s="267"/>
      <c r="Y199" s="268"/>
      <c r="Z199" s="252">
        <v>99</v>
      </c>
      <c r="AA199" s="253">
        <v>1573</v>
      </c>
      <c r="AB199" s="267">
        <v>99</v>
      </c>
      <c r="AC199" s="268">
        <v>1573</v>
      </c>
      <c r="AD199" s="252"/>
      <c r="AE199" s="253"/>
      <c r="AF199" s="267"/>
      <c r="AG199" s="268"/>
      <c r="AH199" s="252">
        <v>16</v>
      </c>
      <c r="AI199" s="253">
        <v>8833</v>
      </c>
      <c r="AJ199" s="267">
        <v>14</v>
      </c>
      <c r="AK199" s="268">
        <v>9235</v>
      </c>
      <c r="AL199" s="252"/>
      <c r="AM199" s="253"/>
      <c r="AN199" s="267"/>
      <c r="AO199" s="268"/>
      <c r="AP199" s="255">
        <f t="shared" si="40"/>
        <v>99</v>
      </c>
      <c r="AQ199" s="256">
        <f t="shared" si="41"/>
        <v>1481533</v>
      </c>
      <c r="AR199" s="257">
        <f t="shared" si="42"/>
        <v>99</v>
      </c>
      <c r="AS199" s="258">
        <f t="shared" si="43"/>
        <v>1551718</v>
      </c>
      <c r="AT199" s="259">
        <v>34</v>
      </c>
      <c r="AU199" s="253">
        <v>222779</v>
      </c>
      <c r="AV199" s="267">
        <f>19+18</f>
        <v>37</v>
      </c>
      <c r="AW199" s="268">
        <f>106143+133893</f>
        <v>240036</v>
      </c>
      <c r="AX199" s="252">
        <v>35</v>
      </c>
      <c r="AY199" s="253">
        <v>262008</v>
      </c>
      <c r="AZ199" s="267">
        <v>40</v>
      </c>
      <c r="BA199" s="268">
        <v>327947</v>
      </c>
      <c r="BB199" s="252"/>
      <c r="BC199" s="253"/>
      <c r="BD199" s="267"/>
      <c r="BE199" s="268"/>
      <c r="BF199" s="252">
        <v>35</v>
      </c>
      <c r="BG199" s="253">
        <v>95299</v>
      </c>
      <c r="BH199" s="267">
        <v>40</v>
      </c>
      <c r="BI199" s="268">
        <v>119285</v>
      </c>
      <c r="BJ199" s="252"/>
      <c r="BK199" s="253"/>
      <c r="BL199" s="267"/>
      <c r="BM199" s="268"/>
      <c r="BN199" s="252">
        <v>35</v>
      </c>
      <c r="BO199" s="253">
        <v>653</v>
      </c>
      <c r="BP199" s="267">
        <v>40</v>
      </c>
      <c r="BQ199" s="268">
        <v>768</v>
      </c>
      <c r="BR199" s="252"/>
      <c r="BS199" s="253"/>
      <c r="BT199" s="267"/>
      <c r="BU199" s="268"/>
      <c r="BV199" s="252">
        <v>9</v>
      </c>
      <c r="BW199" s="253">
        <v>5324</v>
      </c>
      <c r="BX199" s="267">
        <v>8</v>
      </c>
      <c r="BY199" s="268">
        <v>5278</v>
      </c>
      <c r="BZ199" s="252"/>
      <c r="CA199" s="253"/>
      <c r="CB199" s="267"/>
      <c r="CC199" s="268"/>
      <c r="CD199" s="255">
        <f t="shared" si="44"/>
        <v>35</v>
      </c>
      <c r="CE199" s="256">
        <f t="shared" si="45"/>
        <v>586063</v>
      </c>
      <c r="CF199" s="257">
        <f t="shared" si="46"/>
        <v>40</v>
      </c>
      <c r="CG199" s="261">
        <f t="shared" si="47"/>
        <v>693314</v>
      </c>
    </row>
    <row r="200" spans="1:85" s="263" customFormat="1" ht="12.75" customHeight="1">
      <c r="A200" s="348" t="s">
        <v>205</v>
      </c>
      <c r="B200" s="356" t="s">
        <v>791</v>
      </c>
      <c r="C200" s="497" t="s">
        <v>1231</v>
      </c>
      <c r="D200" s="277">
        <v>156790</v>
      </c>
      <c r="E200" s="279">
        <v>10</v>
      </c>
      <c r="F200" s="252">
        <v>82</v>
      </c>
      <c r="G200" s="253">
        <v>454198</v>
      </c>
      <c r="H200" s="267">
        <f>63+20</f>
        <v>83</v>
      </c>
      <c r="I200" s="268">
        <f>323188+132967</f>
        <v>456155</v>
      </c>
      <c r="J200" s="252">
        <v>84</v>
      </c>
      <c r="K200" s="253">
        <v>584934</v>
      </c>
      <c r="L200" s="267">
        <v>86</v>
      </c>
      <c r="M200" s="268">
        <v>650607</v>
      </c>
      <c r="N200" s="252"/>
      <c r="O200" s="253"/>
      <c r="P200" s="267"/>
      <c r="Q200" s="268"/>
      <c r="R200" s="252">
        <v>84</v>
      </c>
      <c r="S200" s="253">
        <v>286874</v>
      </c>
      <c r="T200" s="267">
        <v>86</v>
      </c>
      <c r="U200" s="268">
        <v>297462</v>
      </c>
      <c r="V200" s="252"/>
      <c r="W200" s="253"/>
      <c r="X200" s="267"/>
      <c r="Y200" s="268"/>
      <c r="Z200" s="252">
        <v>84</v>
      </c>
      <c r="AA200" s="253">
        <v>1357</v>
      </c>
      <c r="AB200" s="267">
        <v>86</v>
      </c>
      <c r="AC200" s="268">
        <v>1415</v>
      </c>
      <c r="AD200" s="252"/>
      <c r="AE200" s="253"/>
      <c r="AF200" s="267"/>
      <c r="AG200" s="268"/>
      <c r="AH200" s="252">
        <v>11</v>
      </c>
      <c r="AI200" s="253">
        <v>7454</v>
      </c>
      <c r="AJ200" s="267">
        <v>9</v>
      </c>
      <c r="AK200" s="268">
        <v>9165</v>
      </c>
      <c r="AL200" s="252"/>
      <c r="AM200" s="253"/>
      <c r="AN200" s="267"/>
      <c r="AO200" s="268"/>
      <c r="AP200" s="255">
        <f t="shared" si="40"/>
        <v>84</v>
      </c>
      <c r="AQ200" s="256">
        <f t="shared" si="41"/>
        <v>1334817</v>
      </c>
      <c r="AR200" s="257">
        <f t="shared" si="42"/>
        <v>86</v>
      </c>
      <c r="AS200" s="258">
        <f t="shared" si="43"/>
        <v>1414804</v>
      </c>
      <c r="AT200" s="259">
        <v>24</v>
      </c>
      <c r="AU200" s="253">
        <v>160215</v>
      </c>
      <c r="AV200" s="267">
        <f>18+4</f>
        <v>22</v>
      </c>
      <c r="AW200" s="268">
        <f>112579+34368</f>
        <v>146947</v>
      </c>
      <c r="AX200" s="252">
        <v>25</v>
      </c>
      <c r="AY200" s="253">
        <v>175811</v>
      </c>
      <c r="AZ200" s="267">
        <v>23</v>
      </c>
      <c r="BA200" s="268">
        <v>178809</v>
      </c>
      <c r="BB200" s="252"/>
      <c r="BC200" s="253"/>
      <c r="BD200" s="267"/>
      <c r="BE200" s="268"/>
      <c r="BF200" s="252">
        <v>25</v>
      </c>
      <c r="BG200" s="253">
        <v>97635</v>
      </c>
      <c r="BH200" s="267">
        <v>23</v>
      </c>
      <c r="BI200" s="268">
        <v>91190</v>
      </c>
      <c r="BJ200" s="252"/>
      <c r="BK200" s="253"/>
      <c r="BL200" s="267"/>
      <c r="BM200" s="268"/>
      <c r="BN200" s="252">
        <v>25</v>
      </c>
      <c r="BO200" s="253">
        <v>444</v>
      </c>
      <c r="BP200" s="267">
        <v>23</v>
      </c>
      <c r="BQ200" s="268">
        <v>423</v>
      </c>
      <c r="BR200" s="252"/>
      <c r="BS200" s="253"/>
      <c r="BT200" s="267"/>
      <c r="BU200" s="268"/>
      <c r="BV200" s="252">
        <v>7</v>
      </c>
      <c r="BW200" s="253">
        <v>4719</v>
      </c>
      <c r="BX200" s="267">
        <v>8</v>
      </c>
      <c r="BY200" s="268">
        <v>6610</v>
      </c>
      <c r="BZ200" s="252"/>
      <c r="CA200" s="253"/>
      <c r="CB200" s="267"/>
      <c r="CC200" s="268"/>
      <c r="CD200" s="255">
        <f t="shared" si="44"/>
        <v>25</v>
      </c>
      <c r="CE200" s="256">
        <f t="shared" si="45"/>
        <v>438824</v>
      </c>
      <c r="CF200" s="257">
        <f t="shared" si="46"/>
        <v>23</v>
      </c>
      <c r="CG200" s="261">
        <f t="shared" si="47"/>
        <v>423979</v>
      </c>
    </row>
    <row r="201" spans="1:85" s="263" customFormat="1" ht="12.75" customHeight="1">
      <c r="A201" s="348" t="s">
        <v>205</v>
      </c>
      <c r="B201" s="360" t="s">
        <v>797</v>
      </c>
      <c r="C201" s="360"/>
      <c r="D201" s="350">
        <v>156851</v>
      </c>
      <c r="E201" s="351">
        <v>10</v>
      </c>
      <c r="F201" s="252">
        <v>44</v>
      </c>
      <c r="G201" s="253">
        <v>235445</v>
      </c>
      <c r="H201" s="267">
        <v>43</v>
      </c>
      <c r="I201" s="268">
        <f>211315+17575</f>
        <v>228890</v>
      </c>
      <c r="J201" s="252">
        <v>45</v>
      </c>
      <c r="K201" s="253">
        <v>249700</v>
      </c>
      <c r="L201" s="267">
        <v>44</v>
      </c>
      <c r="M201" s="268">
        <v>306596</v>
      </c>
      <c r="N201" s="252"/>
      <c r="O201" s="253"/>
      <c r="P201" s="267"/>
      <c r="Q201" s="268"/>
      <c r="R201" s="252">
        <v>45</v>
      </c>
      <c r="S201" s="253">
        <v>179886</v>
      </c>
      <c r="T201" s="267">
        <v>44</v>
      </c>
      <c r="U201" s="268">
        <v>174695</v>
      </c>
      <c r="V201" s="252"/>
      <c r="W201" s="253"/>
      <c r="X201" s="267"/>
      <c r="Y201" s="268"/>
      <c r="Z201" s="252">
        <v>45</v>
      </c>
      <c r="AA201" s="253">
        <v>846</v>
      </c>
      <c r="AB201" s="267">
        <v>44</v>
      </c>
      <c r="AC201" s="268">
        <v>827</v>
      </c>
      <c r="AD201" s="252"/>
      <c r="AE201" s="253"/>
      <c r="AF201" s="267"/>
      <c r="AG201" s="268"/>
      <c r="AH201" s="252">
        <v>3</v>
      </c>
      <c r="AI201" s="253">
        <v>2541</v>
      </c>
      <c r="AJ201" s="267">
        <v>5</v>
      </c>
      <c r="AK201" s="268">
        <v>6250</v>
      </c>
      <c r="AL201" s="252"/>
      <c r="AM201" s="253"/>
      <c r="AN201" s="267"/>
      <c r="AO201" s="268"/>
      <c r="AP201" s="255">
        <f t="shared" si="40"/>
        <v>45</v>
      </c>
      <c r="AQ201" s="256">
        <f t="shared" si="41"/>
        <v>668418</v>
      </c>
      <c r="AR201" s="257">
        <f t="shared" si="42"/>
        <v>44</v>
      </c>
      <c r="AS201" s="258">
        <f t="shared" si="43"/>
        <v>717258</v>
      </c>
      <c r="AT201" s="259">
        <v>4</v>
      </c>
      <c r="AU201" s="253">
        <v>27838</v>
      </c>
      <c r="AV201" s="267">
        <v>4</v>
      </c>
      <c r="AW201" s="268">
        <v>27888</v>
      </c>
      <c r="AX201" s="252">
        <v>4</v>
      </c>
      <c r="AY201" s="253">
        <v>26783</v>
      </c>
      <c r="AZ201" s="267">
        <v>4</v>
      </c>
      <c r="BA201" s="268">
        <v>28898</v>
      </c>
      <c r="BB201" s="252"/>
      <c r="BC201" s="253"/>
      <c r="BD201" s="267"/>
      <c r="BE201" s="268"/>
      <c r="BF201" s="252">
        <v>4</v>
      </c>
      <c r="BG201" s="253">
        <v>21296</v>
      </c>
      <c r="BH201" s="267">
        <v>4</v>
      </c>
      <c r="BI201" s="268">
        <v>21334</v>
      </c>
      <c r="BJ201" s="252"/>
      <c r="BK201" s="253"/>
      <c r="BL201" s="267"/>
      <c r="BM201" s="268"/>
      <c r="BN201" s="252">
        <v>4</v>
      </c>
      <c r="BO201" s="253">
        <v>77</v>
      </c>
      <c r="BP201" s="267">
        <v>4</v>
      </c>
      <c r="BQ201" s="268">
        <v>77</v>
      </c>
      <c r="BR201" s="252"/>
      <c r="BS201" s="253"/>
      <c r="BT201" s="267"/>
      <c r="BU201" s="268"/>
      <c r="BV201" s="252">
        <v>2</v>
      </c>
      <c r="BW201" s="253">
        <v>1210</v>
      </c>
      <c r="BX201" s="267">
        <v>1</v>
      </c>
      <c r="BY201" s="268">
        <v>1275</v>
      </c>
      <c r="BZ201" s="252"/>
      <c r="CA201" s="253"/>
      <c r="CB201" s="267"/>
      <c r="CC201" s="268"/>
      <c r="CD201" s="255">
        <f t="shared" si="44"/>
        <v>4</v>
      </c>
      <c r="CE201" s="256">
        <f t="shared" si="45"/>
        <v>77204</v>
      </c>
      <c r="CF201" s="257">
        <f t="shared" si="46"/>
        <v>4</v>
      </c>
      <c r="CG201" s="261">
        <f t="shared" si="47"/>
        <v>79472</v>
      </c>
    </row>
    <row r="202" spans="1:85" s="263" customFormat="1" ht="12.75" customHeight="1">
      <c r="A202" s="348" t="s">
        <v>205</v>
      </c>
      <c r="B202" s="356" t="s">
        <v>798</v>
      </c>
      <c r="C202" s="497" t="s">
        <v>1224</v>
      </c>
      <c r="D202" s="277">
        <v>156860</v>
      </c>
      <c r="E202" s="358">
        <v>10</v>
      </c>
      <c r="F202" s="252">
        <v>55</v>
      </c>
      <c r="G202" s="253">
        <v>260304</v>
      </c>
      <c r="H202" s="267">
        <v>59</v>
      </c>
      <c r="I202" s="268">
        <f>261379+20766</f>
        <v>282145</v>
      </c>
      <c r="J202" s="252">
        <v>55</v>
      </c>
      <c r="K202" s="253">
        <v>342783</v>
      </c>
      <c r="L202" s="267">
        <v>59</v>
      </c>
      <c r="M202" s="268">
        <v>426269</v>
      </c>
      <c r="N202" s="252"/>
      <c r="O202" s="253"/>
      <c r="P202" s="267"/>
      <c r="Q202" s="268"/>
      <c r="R202" s="252">
        <v>55</v>
      </c>
      <c r="S202" s="253">
        <v>192297</v>
      </c>
      <c r="T202" s="267">
        <v>59</v>
      </c>
      <c r="U202" s="268">
        <v>199640</v>
      </c>
      <c r="V202" s="252"/>
      <c r="W202" s="253"/>
      <c r="X202" s="267"/>
      <c r="Y202" s="268"/>
      <c r="Z202" s="252">
        <v>55</v>
      </c>
      <c r="AA202" s="253">
        <v>1038</v>
      </c>
      <c r="AB202" s="267">
        <v>59</v>
      </c>
      <c r="AC202" s="268">
        <v>1115</v>
      </c>
      <c r="AD202" s="252"/>
      <c r="AE202" s="253"/>
      <c r="AF202" s="267"/>
      <c r="AG202" s="268"/>
      <c r="AH202" s="252">
        <v>5</v>
      </c>
      <c r="AI202" s="253">
        <v>4356</v>
      </c>
      <c r="AJ202" s="267">
        <v>7</v>
      </c>
      <c r="AK202" s="268">
        <v>6385</v>
      </c>
      <c r="AL202" s="252"/>
      <c r="AM202" s="253"/>
      <c r="AN202" s="267"/>
      <c r="AO202" s="268"/>
      <c r="AP202" s="255">
        <f t="shared" si="40"/>
        <v>55</v>
      </c>
      <c r="AQ202" s="256">
        <f t="shared" si="41"/>
        <v>800778</v>
      </c>
      <c r="AR202" s="257">
        <f t="shared" si="42"/>
        <v>59</v>
      </c>
      <c r="AS202" s="258">
        <f t="shared" si="43"/>
        <v>915554</v>
      </c>
      <c r="AT202" s="259">
        <v>10</v>
      </c>
      <c r="AU202" s="253">
        <v>59668</v>
      </c>
      <c r="AV202" s="267">
        <v>9</v>
      </c>
      <c r="AW202" s="268">
        <f>40964+16102</f>
        <v>57066</v>
      </c>
      <c r="AX202" s="252">
        <v>10</v>
      </c>
      <c r="AY202" s="253">
        <v>65064</v>
      </c>
      <c r="AZ202" s="267">
        <v>9</v>
      </c>
      <c r="BA202" s="268">
        <v>76091</v>
      </c>
      <c r="BB202" s="252"/>
      <c r="BC202" s="253"/>
      <c r="BD202" s="267"/>
      <c r="BE202" s="268"/>
      <c r="BF202" s="252">
        <v>10</v>
      </c>
      <c r="BG202" s="253">
        <v>34359</v>
      </c>
      <c r="BH202" s="267">
        <v>9</v>
      </c>
      <c r="BI202" s="268">
        <v>32138</v>
      </c>
      <c r="BJ202" s="252"/>
      <c r="BK202" s="253"/>
      <c r="BL202" s="267"/>
      <c r="BM202" s="268"/>
      <c r="BN202" s="252">
        <v>10</v>
      </c>
      <c r="BO202" s="253">
        <v>192</v>
      </c>
      <c r="BP202" s="267">
        <v>9</v>
      </c>
      <c r="BQ202" s="268">
        <v>173</v>
      </c>
      <c r="BR202" s="252"/>
      <c r="BS202" s="253"/>
      <c r="BT202" s="267"/>
      <c r="BU202" s="268"/>
      <c r="BV202" s="252">
        <v>4</v>
      </c>
      <c r="BW202" s="253">
        <v>3630</v>
      </c>
      <c r="BX202" s="267">
        <v>1</v>
      </c>
      <c r="BY202" s="268">
        <v>375</v>
      </c>
      <c r="BZ202" s="252"/>
      <c r="CA202" s="253"/>
      <c r="CB202" s="267"/>
      <c r="CC202" s="268"/>
      <c r="CD202" s="255">
        <f t="shared" si="44"/>
        <v>10</v>
      </c>
      <c r="CE202" s="256">
        <f t="shared" si="45"/>
        <v>162913</v>
      </c>
      <c r="CF202" s="257">
        <f t="shared" si="46"/>
        <v>9</v>
      </c>
      <c r="CG202" s="261">
        <f t="shared" si="47"/>
        <v>165843</v>
      </c>
    </row>
    <row r="203" spans="1:85" s="263" customFormat="1" ht="12.75" customHeight="1">
      <c r="A203" s="348" t="s">
        <v>205</v>
      </c>
      <c r="B203" s="361" t="s">
        <v>801</v>
      </c>
      <c r="C203" s="361"/>
      <c r="D203" s="277">
        <v>156338</v>
      </c>
      <c r="E203" s="279">
        <v>12</v>
      </c>
      <c r="F203" s="252">
        <v>37</v>
      </c>
      <c r="G203" s="253">
        <v>208331</v>
      </c>
      <c r="H203" s="267">
        <f>10+32</f>
        <v>42</v>
      </c>
      <c r="I203" s="268">
        <f>36195+200810</f>
        <v>237005</v>
      </c>
      <c r="J203" s="252">
        <v>39</v>
      </c>
      <c r="K203" s="253">
        <v>300313</v>
      </c>
      <c r="L203" s="267">
        <v>44</v>
      </c>
      <c r="M203" s="268">
        <v>374793</v>
      </c>
      <c r="N203" s="252"/>
      <c r="O203" s="253"/>
      <c r="P203" s="267"/>
      <c r="Q203" s="268"/>
      <c r="R203" s="252">
        <v>39</v>
      </c>
      <c r="S203" s="253">
        <v>74077</v>
      </c>
      <c r="T203" s="267">
        <v>44</v>
      </c>
      <c r="U203" s="268">
        <v>88673</v>
      </c>
      <c r="V203" s="252"/>
      <c r="W203" s="253"/>
      <c r="X203" s="267"/>
      <c r="Y203" s="268"/>
      <c r="Z203" s="252">
        <v>39</v>
      </c>
      <c r="AA203" s="253">
        <v>749</v>
      </c>
      <c r="AB203" s="267">
        <v>44</v>
      </c>
      <c r="AC203" s="268">
        <v>845</v>
      </c>
      <c r="AD203" s="252"/>
      <c r="AE203" s="253"/>
      <c r="AF203" s="267"/>
      <c r="AG203" s="268"/>
      <c r="AH203" s="252"/>
      <c r="AI203" s="253"/>
      <c r="AJ203" s="267">
        <v>2</v>
      </c>
      <c r="AK203" s="268">
        <v>1155</v>
      </c>
      <c r="AL203" s="252"/>
      <c r="AM203" s="253"/>
      <c r="AN203" s="267"/>
      <c r="AO203" s="268"/>
      <c r="AP203" s="255">
        <f t="shared" si="40"/>
        <v>39</v>
      </c>
      <c r="AQ203" s="256">
        <f t="shared" si="41"/>
        <v>583470</v>
      </c>
      <c r="AR203" s="257">
        <f t="shared" si="42"/>
        <v>44</v>
      </c>
      <c r="AS203" s="258">
        <f t="shared" si="43"/>
        <v>702471</v>
      </c>
      <c r="AT203" s="259">
        <v>20</v>
      </c>
      <c r="AU203" s="253">
        <v>125820</v>
      </c>
      <c r="AV203" s="267">
        <v>20</v>
      </c>
      <c r="AW203" s="268">
        <f>18100+114319</f>
        <v>132419</v>
      </c>
      <c r="AX203" s="252">
        <v>25</v>
      </c>
      <c r="AY203" s="253">
        <v>166846</v>
      </c>
      <c r="AZ203" s="267">
        <v>26</v>
      </c>
      <c r="BA203" s="268">
        <v>188016</v>
      </c>
      <c r="BB203" s="252"/>
      <c r="BC203" s="253"/>
      <c r="BD203" s="267"/>
      <c r="BE203" s="268"/>
      <c r="BF203" s="252">
        <v>25</v>
      </c>
      <c r="BG203" s="253">
        <v>61595</v>
      </c>
      <c r="BH203" s="267">
        <v>26</v>
      </c>
      <c r="BI203" s="268">
        <v>72034</v>
      </c>
      <c r="BJ203" s="252"/>
      <c r="BK203" s="253"/>
      <c r="BL203" s="267"/>
      <c r="BM203" s="268"/>
      <c r="BN203" s="252">
        <v>25</v>
      </c>
      <c r="BO203" s="253">
        <v>480</v>
      </c>
      <c r="BP203" s="267">
        <v>26</v>
      </c>
      <c r="BQ203" s="268">
        <v>499</v>
      </c>
      <c r="BR203" s="252"/>
      <c r="BS203" s="253"/>
      <c r="BT203" s="267"/>
      <c r="BU203" s="268"/>
      <c r="BV203" s="252">
        <v>1</v>
      </c>
      <c r="BW203" s="253">
        <v>363</v>
      </c>
      <c r="BX203" s="267"/>
      <c r="BY203" s="268"/>
      <c r="BZ203" s="252"/>
      <c r="CA203" s="253"/>
      <c r="CB203" s="267"/>
      <c r="CC203" s="268"/>
      <c r="CD203" s="255">
        <f t="shared" si="44"/>
        <v>25</v>
      </c>
      <c r="CE203" s="256">
        <f t="shared" si="45"/>
        <v>355104</v>
      </c>
      <c r="CF203" s="257">
        <f t="shared" si="46"/>
        <v>26</v>
      </c>
      <c r="CG203" s="261">
        <f t="shared" si="47"/>
        <v>392968</v>
      </c>
    </row>
    <row r="204" spans="1:85" s="263" customFormat="1" ht="12.75" customHeight="1">
      <c r="A204" s="348" t="s">
        <v>205</v>
      </c>
      <c r="B204" s="360" t="s">
        <v>800</v>
      </c>
      <c r="C204" s="360"/>
      <c r="D204" s="350">
        <v>157438</v>
      </c>
      <c r="E204" s="351">
        <v>12</v>
      </c>
      <c r="F204" s="252">
        <v>52</v>
      </c>
      <c r="G204" s="253">
        <v>300700</v>
      </c>
      <c r="H204" s="267">
        <f>26+27</f>
        <v>53</v>
      </c>
      <c r="I204" s="268">
        <f>119343+186630</f>
        <v>305973</v>
      </c>
      <c r="J204" s="252">
        <v>59</v>
      </c>
      <c r="K204" s="253">
        <v>376947</v>
      </c>
      <c r="L204" s="267">
        <v>60</v>
      </c>
      <c r="M204" s="268">
        <v>427261</v>
      </c>
      <c r="N204" s="252"/>
      <c r="O204" s="253"/>
      <c r="P204" s="267"/>
      <c r="Q204" s="268"/>
      <c r="R204" s="252">
        <v>59</v>
      </c>
      <c r="S204" s="253">
        <v>141093</v>
      </c>
      <c r="T204" s="267">
        <v>60</v>
      </c>
      <c r="U204" s="268">
        <v>149987</v>
      </c>
      <c r="V204" s="252"/>
      <c r="W204" s="253"/>
      <c r="X204" s="267"/>
      <c r="Y204" s="268"/>
      <c r="Z204" s="252">
        <v>59</v>
      </c>
      <c r="AA204" s="253">
        <v>1114</v>
      </c>
      <c r="AB204" s="267">
        <v>60</v>
      </c>
      <c r="AC204" s="268">
        <v>1152</v>
      </c>
      <c r="AD204" s="252"/>
      <c r="AE204" s="253"/>
      <c r="AF204" s="267"/>
      <c r="AG204" s="268"/>
      <c r="AH204" s="252">
        <v>12</v>
      </c>
      <c r="AI204" s="253">
        <v>7260</v>
      </c>
      <c r="AJ204" s="267">
        <v>8</v>
      </c>
      <c r="AK204" s="268">
        <v>7440</v>
      </c>
      <c r="AL204" s="252"/>
      <c r="AM204" s="253"/>
      <c r="AN204" s="267"/>
      <c r="AO204" s="268"/>
      <c r="AP204" s="255">
        <f t="shared" si="40"/>
        <v>59</v>
      </c>
      <c r="AQ204" s="256">
        <f t="shared" si="41"/>
        <v>827114</v>
      </c>
      <c r="AR204" s="257">
        <f t="shared" si="42"/>
        <v>60</v>
      </c>
      <c r="AS204" s="258">
        <f t="shared" si="43"/>
        <v>891813</v>
      </c>
      <c r="AT204" s="259">
        <v>20</v>
      </c>
      <c r="AU204" s="253">
        <v>119362</v>
      </c>
      <c r="AV204" s="267">
        <f>11+14</f>
        <v>25</v>
      </c>
      <c r="AW204" s="268">
        <f>57429+99245</f>
        <v>156674</v>
      </c>
      <c r="AX204" s="252">
        <v>22</v>
      </c>
      <c r="AY204" s="253">
        <v>127912</v>
      </c>
      <c r="AZ204" s="267">
        <v>28</v>
      </c>
      <c r="BA204" s="268">
        <v>191380</v>
      </c>
      <c r="BB204" s="252"/>
      <c r="BC204" s="253"/>
      <c r="BD204" s="267"/>
      <c r="BE204" s="268"/>
      <c r="BF204" s="252">
        <v>22</v>
      </c>
      <c r="BG204" s="253">
        <v>53113</v>
      </c>
      <c r="BH204" s="267">
        <v>28</v>
      </c>
      <c r="BI204" s="268">
        <v>76890</v>
      </c>
      <c r="BJ204" s="252"/>
      <c r="BK204" s="253"/>
      <c r="BL204" s="267"/>
      <c r="BM204" s="268"/>
      <c r="BN204" s="252">
        <v>22</v>
      </c>
      <c r="BO204" s="253">
        <v>403</v>
      </c>
      <c r="BP204" s="267">
        <v>28</v>
      </c>
      <c r="BQ204" s="268">
        <v>538</v>
      </c>
      <c r="BR204" s="252"/>
      <c r="BS204" s="253"/>
      <c r="BT204" s="267"/>
      <c r="BU204" s="268"/>
      <c r="BV204" s="252"/>
      <c r="BW204" s="253"/>
      <c r="BX204" s="267"/>
      <c r="BY204" s="268"/>
      <c r="BZ204" s="252"/>
      <c r="CA204" s="253"/>
      <c r="CB204" s="267"/>
      <c r="CC204" s="268"/>
      <c r="CD204" s="255">
        <f t="shared" si="44"/>
        <v>22</v>
      </c>
      <c r="CE204" s="256">
        <f t="shared" si="45"/>
        <v>300790</v>
      </c>
      <c r="CF204" s="257">
        <f t="shared" si="46"/>
        <v>28</v>
      </c>
      <c r="CG204" s="261">
        <f t="shared" si="47"/>
        <v>425482</v>
      </c>
    </row>
    <row r="205" spans="1:85" s="263" customFormat="1" ht="12.75" customHeight="1">
      <c r="A205" s="363" t="s">
        <v>206</v>
      </c>
      <c r="B205" s="364" t="s">
        <v>802</v>
      </c>
      <c r="C205" s="364"/>
      <c r="D205" s="365">
        <v>159391</v>
      </c>
      <c r="E205" s="366">
        <v>1</v>
      </c>
      <c r="F205" s="252">
        <v>1159</v>
      </c>
      <c r="G205" s="253">
        <v>14426119</v>
      </c>
      <c r="H205" s="367">
        <v>1090</v>
      </c>
      <c r="I205" s="367">
        <v>12436850</v>
      </c>
      <c r="J205" s="252">
        <v>1058</v>
      </c>
      <c r="K205" s="253">
        <v>6474218</v>
      </c>
      <c r="L205" s="368">
        <v>972</v>
      </c>
      <c r="M205" s="368">
        <v>5737388</v>
      </c>
      <c r="N205" s="252">
        <v>0</v>
      </c>
      <c r="O205" s="253">
        <v>0</v>
      </c>
      <c r="P205" s="369">
        <v>0</v>
      </c>
      <c r="Q205" s="369">
        <v>0</v>
      </c>
      <c r="R205" s="252">
        <v>909</v>
      </c>
      <c r="S205" s="253">
        <v>992575</v>
      </c>
      <c r="T205" s="370">
        <v>869</v>
      </c>
      <c r="U205" s="370">
        <v>839377</v>
      </c>
      <c r="V205" s="252">
        <v>0</v>
      </c>
      <c r="W205" s="253">
        <v>0</v>
      </c>
      <c r="X205" s="369">
        <v>0</v>
      </c>
      <c r="Y205" s="369">
        <v>0</v>
      </c>
      <c r="Z205" s="252">
        <v>234</v>
      </c>
      <c r="AA205" s="253">
        <v>44929</v>
      </c>
      <c r="AB205" s="371">
        <v>269</v>
      </c>
      <c r="AC205" s="371">
        <v>52418</v>
      </c>
      <c r="AD205" s="252">
        <v>1159</v>
      </c>
      <c r="AE205" s="253">
        <v>651502</v>
      </c>
      <c r="AF205" s="372">
        <v>1090</v>
      </c>
      <c r="AG205" s="372">
        <v>472285</v>
      </c>
      <c r="AH205" s="252">
        <v>0</v>
      </c>
      <c r="AI205" s="253">
        <v>0</v>
      </c>
      <c r="AJ205" s="373">
        <v>0</v>
      </c>
      <c r="AK205" s="373">
        <v>0</v>
      </c>
      <c r="AL205" s="252">
        <v>0</v>
      </c>
      <c r="AM205" s="253">
        <v>0</v>
      </c>
      <c r="AN205" s="374">
        <v>0</v>
      </c>
      <c r="AO205" s="374">
        <v>0</v>
      </c>
      <c r="AP205" s="255">
        <f t="shared" si="40"/>
        <v>1159</v>
      </c>
      <c r="AQ205" s="256">
        <f t="shared" si="41"/>
        <v>22589343</v>
      </c>
      <c r="AR205" s="257">
        <f t="shared" si="42"/>
        <v>1090</v>
      </c>
      <c r="AS205" s="258">
        <f t="shared" si="43"/>
        <v>19538318</v>
      </c>
      <c r="AT205" s="259">
        <v>146</v>
      </c>
      <c r="AU205" s="253">
        <v>2365058</v>
      </c>
      <c r="AV205" s="375">
        <v>151</v>
      </c>
      <c r="AW205" s="375">
        <v>2231567</v>
      </c>
      <c r="AX205" s="252">
        <v>137</v>
      </c>
      <c r="AY205" s="253">
        <v>921624</v>
      </c>
      <c r="AZ205" s="376">
        <v>140</v>
      </c>
      <c r="BA205" s="376">
        <v>934360</v>
      </c>
      <c r="BB205" s="252">
        <v>0</v>
      </c>
      <c r="BC205" s="253">
        <v>0</v>
      </c>
      <c r="BD205" s="377"/>
      <c r="BE205" s="377"/>
      <c r="BF205" s="252">
        <v>109</v>
      </c>
      <c r="BG205" s="253">
        <v>168879</v>
      </c>
      <c r="BH205" s="378">
        <v>109</v>
      </c>
      <c r="BI205" s="378">
        <v>145888</v>
      </c>
      <c r="BJ205" s="252">
        <v>0</v>
      </c>
      <c r="BK205" s="253">
        <v>0</v>
      </c>
      <c r="BL205" s="379"/>
      <c r="BM205" s="379"/>
      <c r="BN205" s="252">
        <v>37</v>
      </c>
      <c r="BO205" s="253">
        <v>7294</v>
      </c>
      <c r="BP205" s="380">
        <v>46</v>
      </c>
      <c r="BQ205" s="380">
        <v>9217</v>
      </c>
      <c r="BR205" s="252">
        <v>146</v>
      </c>
      <c r="BS205" s="253">
        <v>106809</v>
      </c>
      <c r="BT205" s="381">
        <v>151</v>
      </c>
      <c r="BU205" s="381">
        <v>84743</v>
      </c>
      <c r="BV205" s="252">
        <v>0</v>
      </c>
      <c r="BW205" s="253">
        <v>0</v>
      </c>
      <c r="BX205" s="382">
        <v>0</v>
      </c>
      <c r="BY205" s="382">
        <v>0</v>
      </c>
      <c r="BZ205" s="252">
        <v>0</v>
      </c>
      <c r="CA205" s="253">
        <v>0</v>
      </c>
      <c r="CB205" s="383"/>
      <c r="CC205" s="383"/>
      <c r="CD205" s="255">
        <f t="shared" si="44"/>
        <v>146</v>
      </c>
      <c r="CE205" s="256">
        <f t="shared" si="45"/>
        <v>3569664</v>
      </c>
      <c r="CF205" s="257">
        <f t="shared" si="46"/>
        <v>151</v>
      </c>
      <c r="CG205" s="261">
        <f t="shared" si="47"/>
        <v>3405775</v>
      </c>
    </row>
    <row r="206" spans="1:85" s="263" customFormat="1" ht="12.75" customHeight="1">
      <c r="A206" s="363" t="s">
        <v>206</v>
      </c>
      <c r="B206" s="364" t="s">
        <v>803</v>
      </c>
      <c r="C206" s="364"/>
      <c r="D206" s="363">
        <v>159647</v>
      </c>
      <c r="E206" s="366">
        <v>2</v>
      </c>
      <c r="F206" s="252">
        <v>334</v>
      </c>
      <c r="G206" s="253">
        <v>3108200</v>
      </c>
      <c r="H206" s="367">
        <v>327</v>
      </c>
      <c r="I206" s="367">
        <v>2825200</v>
      </c>
      <c r="J206" s="252">
        <v>334</v>
      </c>
      <c r="K206" s="253">
        <v>2847512</v>
      </c>
      <c r="L206" s="368">
        <v>327</v>
      </c>
      <c r="M206" s="368">
        <v>2628509</v>
      </c>
      <c r="N206" s="252">
        <v>0</v>
      </c>
      <c r="O206" s="253">
        <v>0</v>
      </c>
      <c r="P206" s="369">
        <v>0</v>
      </c>
      <c r="Q206" s="369">
        <v>0</v>
      </c>
      <c r="R206" s="252">
        <v>334</v>
      </c>
      <c r="S206" s="253">
        <v>258682</v>
      </c>
      <c r="T206" s="370">
        <v>327</v>
      </c>
      <c r="U206" s="370">
        <v>205632</v>
      </c>
      <c r="V206" s="252">
        <v>0</v>
      </c>
      <c r="W206" s="253">
        <v>0</v>
      </c>
      <c r="X206" s="369">
        <v>0</v>
      </c>
      <c r="Y206" s="369">
        <v>0</v>
      </c>
      <c r="Z206" s="252">
        <v>0</v>
      </c>
      <c r="AA206" s="253">
        <v>0</v>
      </c>
      <c r="AB206" s="371">
        <v>0</v>
      </c>
      <c r="AC206" s="371">
        <v>0</v>
      </c>
      <c r="AD206" s="252">
        <v>334</v>
      </c>
      <c r="AE206" s="253">
        <v>150397</v>
      </c>
      <c r="AF206" s="372">
        <v>327</v>
      </c>
      <c r="AG206" s="372">
        <v>107286</v>
      </c>
      <c r="AH206" s="252">
        <v>334</v>
      </c>
      <c r="AI206" s="253">
        <v>32085</v>
      </c>
      <c r="AJ206" s="373">
        <v>327</v>
      </c>
      <c r="AK206" s="373">
        <v>14305</v>
      </c>
      <c r="AL206" s="252">
        <v>334</v>
      </c>
      <c r="AM206" s="253">
        <v>180476</v>
      </c>
      <c r="AN206" s="374">
        <v>327</v>
      </c>
      <c r="AO206" s="374">
        <v>169870</v>
      </c>
      <c r="AP206" s="255">
        <f t="shared" si="40"/>
        <v>334</v>
      </c>
      <c r="AQ206" s="256">
        <f t="shared" si="41"/>
        <v>6577352</v>
      </c>
      <c r="AR206" s="257">
        <f t="shared" si="42"/>
        <v>327</v>
      </c>
      <c r="AS206" s="258">
        <f t="shared" si="43"/>
        <v>5950802</v>
      </c>
      <c r="AT206" s="259">
        <v>64</v>
      </c>
      <c r="AU206" s="253">
        <v>927322</v>
      </c>
      <c r="AV206" s="375">
        <v>53</v>
      </c>
      <c r="AW206" s="375">
        <v>742431</v>
      </c>
      <c r="AX206" s="252">
        <v>64</v>
      </c>
      <c r="AY206" s="253">
        <v>849547</v>
      </c>
      <c r="AZ206" s="376">
        <v>53</v>
      </c>
      <c r="BA206" s="376">
        <v>690743</v>
      </c>
      <c r="BB206" s="252">
        <v>0</v>
      </c>
      <c r="BC206" s="253">
        <v>0</v>
      </c>
      <c r="BD206" s="377"/>
      <c r="BE206" s="377"/>
      <c r="BF206" s="252">
        <v>64</v>
      </c>
      <c r="BG206" s="253">
        <v>77177</v>
      </c>
      <c r="BH206" s="378">
        <v>53</v>
      </c>
      <c r="BI206" s="378">
        <v>54038</v>
      </c>
      <c r="BJ206" s="252">
        <v>0</v>
      </c>
      <c r="BK206" s="253">
        <v>0</v>
      </c>
      <c r="BL206" s="379"/>
      <c r="BM206" s="379"/>
      <c r="BN206" s="252">
        <v>0</v>
      </c>
      <c r="BO206" s="253">
        <v>0</v>
      </c>
      <c r="BP206" s="380">
        <v>0</v>
      </c>
      <c r="BQ206" s="380">
        <v>0</v>
      </c>
      <c r="BR206" s="252">
        <v>64</v>
      </c>
      <c r="BS206" s="253">
        <v>44870</v>
      </c>
      <c r="BT206" s="381">
        <v>53</v>
      </c>
      <c r="BU206" s="381">
        <v>28194</v>
      </c>
      <c r="BV206" s="252">
        <v>64</v>
      </c>
      <c r="BW206" s="253">
        <v>9572</v>
      </c>
      <c r="BX206" s="382">
        <v>53</v>
      </c>
      <c r="BY206" s="382">
        <v>3759</v>
      </c>
      <c r="BZ206" s="252">
        <v>64</v>
      </c>
      <c r="CA206" s="253">
        <v>53845</v>
      </c>
      <c r="CB206" s="383">
        <v>53</v>
      </c>
      <c r="CC206" s="383">
        <v>44640</v>
      </c>
      <c r="CD206" s="255">
        <f t="shared" si="44"/>
        <v>64</v>
      </c>
      <c r="CE206" s="256">
        <f t="shared" si="45"/>
        <v>1962333</v>
      </c>
      <c r="CF206" s="257">
        <f t="shared" si="46"/>
        <v>53</v>
      </c>
      <c r="CG206" s="261">
        <f t="shared" si="47"/>
        <v>1563805</v>
      </c>
    </row>
    <row r="207" spans="1:85" s="263" customFormat="1" ht="12.75" customHeight="1">
      <c r="A207" s="363" t="s">
        <v>206</v>
      </c>
      <c r="B207" s="364" t="s">
        <v>804</v>
      </c>
      <c r="C207" s="364"/>
      <c r="D207" s="365">
        <v>160658</v>
      </c>
      <c r="E207" s="366">
        <v>2</v>
      </c>
      <c r="F207" s="252">
        <v>585</v>
      </c>
      <c r="G207" s="253">
        <v>6142680</v>
      </c>
      <c r="H207" s="367">
        <v>509</v>
      </c>
      <c r="I207" s="367">
        <v>4961512</v>
      </c>
      <c r="J207" s="252">
        <v>518</v>
      </c>
      <c r="K207" s="253">
        <v>3624159</v>
      </c>
      <c r="L207" s="368">
        <v>447</v>
      </c>
      <c r="M207" s="368">
        <v>1342572</v>
      </c>
      <c r="N207" s="252">
        <v>0</v>
      </c>
      <c r="O207" s="253">
        <v>0</v>
      </c>
      <c r="P207" s="369">
        <v>0</v>
      </c>
      <c r="Q207" s="369">
        <v>0</v>
      </c>
      <c r="R207" s="252">
        <v>515</v>
      </c>
      <c r="S207" s="253">
        <v>553021</v>
      </c>
      <c r="T207" s="370">
        <v>433</v>
      </c>
      <c r="U207" s="370">
        <v>368885</v>
      </c>
      <c r="V207" s="252">
        <v>0</v>
      </c>
      <c r="W207" s="253">
        <v>0</v>
      </c>
      <c r="X207" s="369">
        <v>0</v>
      </c>
      <c r="Y207" s="369">
        <v>0</v>
      </c>
      <c r="Z207" s="252">
        <v>223</v>
      </c>
      <c r="AA207" s="253">
        <v>55134</v>
      </c>
      <c r="AB207" s="371">
        <v>273</v>
      </c>
      <c r="AC207" s="371">
        <v>42576</v>
      </c>
      <c r="AD207" s="252">
        <v>597</v>
      </c>
      <c r="AE207" s="253">
        <v>633459</v>
      </c>
      <c r="AF207" s="372">
        <v>528</v>
      </c>
      <c r="AG207" s="372">
        <v>78394</v>
      </c>
      <c r="AH207" s="252">
        <v>0</v>
      </c>
      <c r="AI207" s="253">
        <v>0</v>
      </c>
      <c r="AJ207" s="373">
        <v>0</v>
      </c>
      <c r="AK207" s="373">
        <v>0</v>
      </c>
      <c r="AL207" s="252">
        <v>0</v>
      </c>
      <c r="AM207" s="253">
        <v>0</v>
      </c>
      <c r="AN207" s="374">
        <v>0</v>
      </c>
      <c r="AO207" s="374">
        <v>0</v>
      </c>
      <c r="AP207" s="255">
        <f t="shared" si="40"/>
        <v>597</v>
      </c>
      <c r="AQ207" s="256">
        <f t="shared" si="41"/>
        <v>11008453</v>
      </c>
      <c r="AR207" s="257">
        <f t="shared" si="42"/>
        <v>528</v>
      </c>
      <c r="AS207" s="258">
        <f t="shared" si="43"/>
        <v>6793939</v>
      </c>
      <c r="AT207" s="259">
        <v>3</v>
      </c>
      <c r="AU207" s="253">
        <v>35052</v>
      </c>
      <c r="AV207" s="375">
        <v>2</v>
      </c>
      <c r="AW207" s="375">
        <v>20155</v>
      </c>
      <c r="AX207" s="252">
        <v>3</v>
      </c>
      <c r="AY207" s="253">
        <v>19977</v>
      </c>
      <c r="AZ207" s="376">
        <v>2</v>
      </c>
      <c r="BA207" s="376">
        <v>16224</v>
      </c>
      <c r="BB207" s="252">
        <v>0</v>
      </c>
      <c r="BC207" s="253">
        <v>0</v>
      </c>
      <c r="BD207" s="377"/>
      <c r="BE207" s="377"/>
      <c r="BF207" s="252">
        <v>3</v>
      </c>
      <c r="BG207" s="253">
        <v>4407</v>
      </c>
      <c r="BH207" s="378">
        <v>2</v>
      </c>
      <c r="BI207" s="378">
        <v>1849</v>
      </c>
      <c r="BJ207" s="252">
        <v>0</v>
      </c>
      <c r="BK207" s="253">
        <v>0</v>
      </c>
      <c r="BL207" s="379"/>
      <c r="BM207" s="379"/>
      <c r="BN207" s="252">
        <v>0</v>
      </c>
      <c r="BO207" s="253">
        <v>0</v>
      </c>
      <c r="BP207" s="380">
        <v>0</v>
      </c>
      <c r="BQ207" s="380">
        <v>0</v>
      </c>
      <c r="BR207" s="252">
        <v>3</v>
      </c>
      <c r="BS207" s="253">
        <v>3658</v>
      </c>
      <c r="BT207" s="381">
        <v>2</v>
      </c>
      <c r="BU207" s="381">
        <v>3</v>
      </c>
      <c r="BV207" s="252">
        <v>0</v>
      </c>
      <c r="BW207" s="253">
        <v>0</v>
      </c>
      <c r="BX207" s="382">
        <v>0</v>
      </c>
      <c r="BY207" s="382">
        <v>0</v>
      </c>
      <c r="BZ207" s="252">
        <v>0</v>
      </c>
      <c r="CA207" s="253">
        <v>0</v>
      </c>
      <c r="CB207" s="383"/>
      <c r="CC207" s="383"/>
      <c r="CD207" s="255">
        <f t="shared" si="44"/>
        <v>3</v>
      </c>
      <c r="CE207" s="256">
        <f t="shared" si="45"/>
        <v>63094</v>
      </c>
      <c r="CF207" s="257">
        <f t="shared" si="46"/>
        <v>2</v>
      </c>
      <c r="CG207" s="261">
        <f t="shared" si="47"/>
        <v>38231</v>
      </c>
    </row>
    <row r="208" spans="1:85" s="263" customFormat="1" ht="12.75" customHeight="1">
      <c r="A208" s="363" t="s">
        <v>206</v>
      </c>
      <c r="B208" s="364" t="s">
        <v>805</v>
      </c>
      <c r="C208" s="364"/>
      <c r="D208" s="365">
        <v>159939</v>
      </c>
      <c r="E208" s="366">
        <v>2</v>
      </c>
      <c r="F208" s="252">
        <v>411</v>
      </c>
      <c r="G208" s="253">
        <v>4409817</v>
      </c>
      <c r="H208" s="367">
        <v>398</v>
      </c>
      <c r="I208" s="367">
        <v>4011186</v>
      </c>
      <c r="J208" s="252">
        <v>356</v>
      </c>
      <c r="K208" s="253">
        <v>1723133</v>
      </c>
      <c r="L208" s="368">
        <v>343</v>
      </c>
      <c r="M208" s="368">
        <v>1561127</v>
      </c>
      <c r="N208" s="252">
        <v>0</v>
      </c>
      <c r="O208" s="253">
        <v>0</v>
      </c>
      <c r="P208" s="369">
        <v>0</v>
      </c>
      <c r="Q208" s="369">
        <v>0</v>
      </c>
      <c r="R208" s="252">
        <v>0</v>
      </c>
      <c r="S208" s="253">
        <v>0</v>
      </c>
      <c r="T208" s="370">
        <v>0</v>
      </c>
      <c r="U208" s="370">
        <v>0</v>
      </c>
      <c r="V208" s="252">
        <v>0</v>
      </c>
      <c r="W208" s="253">
        <v>0</v>
      </c>
      <c r="X208" s="369">
        <v>0</v>
      </c>
      <c r="Y208" s="369">
        <v>0</v>
      </c>
      <c r="Z208" s="252">
        <v>72</v>
      </c>
      <c r="AA208" s="253">
        <v>10751</v>
      </c>
      <c r="AB208" s="371">
        <v>82</v>
      </c>
      <c r="AC208" s="371">
        <v>11764</v>
      </c>
      <c r="AD208" s="252">
        <v>0</v>
      </c>
      <c r="AE208" s="253">
        <v>0</v>
      </c>
      <c r="AF208" s="372">
        <v>0</v>
      </c>
      <c r="AG208" s="372">
        <v>0</v>
      </c>
      <c r="AH208" s="252">
        <v>0</v>
      </c>
      <c r="AI208" s="253">
        <v>0</v>
      </c>
      <c r="AJ208" s="373">
        <v>0</v>
      </c>
      <c r="AK208" s="373">
        <v>0</v>
      </c>
      <c r="AL208" s="252">
        <v>0</v>
      </c>
      <c r="AM208" s="253">
        <v>0</v>
      </c>
      <c r="AN208" s="374">
        <v>0</v>
      </c>
      <c r="AO208" s="374">
        <v>0</v>
      </c>
      <c r="AP208" s="255">
        <f t="shared" si="40"/>
        <v>411</v>
      </c>
      <c r="AQ208" s="256">
        <f t="shared" si="41"/>
        <v>6143701</v>
      </c>
      <c r="AR208" s="257">
        <f t="shared" si="42"/>
        <v>398</v>
      </c>
      <c r="AS208" s="258">
        <f t="shared" si="43"/>
        <v>5584077</v>
      </c>
      <c r="AT208" s="259">
        <v>19</v>
      </c>
      <c r="AU208" s="253">
        <v>208592</v>
      </c>
      <c r="AV208" s="375">
        <v>14</v>
      </c>
      <c r="AW208" s="375">
        <v>135366</v>
      </c>
      <c r="AX208" s="252">
        <v>17</v>
      </c>
      <c r="AY208" s="253">
        <v>119785</v>
      </c>
      <c r="AZ208" s="376">
        <v>14</v>
      </c>
      <c r="BA208" s="376">
        <v>77998</v>
      </c>
      <c r="BB208" s="252">
        <v>0</v>
      </c>
      <c r="BC208" s="253">
        <v>0</v>
      </c>
      <c r="BD208" s="377"/>
      <c r="BE208" s="377"/>
      <c r="BF208" s="252">
        <v>0</v>
      </c>
      <c r="BG208" s="253">
        <v>0</v>
      </c>
      <c r="BH208" s="378">
        <v>0</v>
      </c>
      <c r="BI208" s="378">
        <v>0</v>
      </c>
      <c r="BJ208" s="252">
        <v>0</v>
      </c>
      <c r="BK208" s="253">
        <v>0</v>
      </c>
      <c r="BL208" s="379"/>
      <c r="BM208" s="379"/>
      <c r="BN208" s="252">
        <v>3</v>
      </c>
      <c r="BO208" s="253">
        <v>558</v>
      </c>
      <c r="BP208" s="380">
        <v>6</v>
      </c>
      <c r="BQ208" s="380">
        <v>1270</v>
      </c>
      <c r="BR208" s="252">
        <v>0</v>
      </c>
      <c r="BS208" s="253">
        <v>0</v>
      </c>
      <c r="BT208" s="381">
        <v>0</v>
      </c>
      <c r="BU208" s="381">
        <v>0</v>
      </c>
      <c r="BV208" s="252">
        <v>0</v>
      </c>
      <c r="BW208" s="253">
        <v>0</v>
      </c>
      <c r="BX208" s="382">
        <v>0</v>
      </c>
      <c r="BY208" s="382">
        <v>0</v>
      </c>
      <c r="BZ208" s="252">
        <v>0</v>
      </c>
      <c r="CA208" s="253">
        <v>0</v>
      </c>
      <c r="CB208" s="383"/>
      <c r="CC208" s="383"/>
      <c r="CD208" s="255">
        <f t="shared" si="44"/>
        <v>19</v>
      </c>
      <c r="CE208" s="256">
        <f t="shared" si="45"/>
        <v>328935</v>
      </c>
      <c r="CF208" s="257">
        <f t="shared" si="46"/>
        <v>14</v>
      </c>
      <c r="CG208" s="261">
        <f t="shared" si="47"/>
        <v>214634</v>
      </c>
    </row>
    <row r="209" spans="1:85" s="263" customFormat="1" ht="12.75" customHeight="1">
      <c r="A209" s="363" t="s">
        <v>206</v>
      </c>
      <c r="B209" s="364" t="s">
        <v>806</v>
      </c>
      <c r="C209" s="364"/>
      <c r="D209" s="384">
        <v>160612</v>
      </c>
      <c r="E209" s="366">
        <v>3</v>
      </c>
      <c r="F209" s="252">
        <v>511</v>
      </c>
      <c r="G209" s="253">
        <v>4546040</v>
      </c>
      <c r="H209" s="367">
        <v>474</v>
      </c>
      <c r="I209" s="367">
        <v>3774674</v>
      </c>
      <c r="J209" s="252">
        <v>432</v>
      </c>
      <c r="K209" s="253">
        <v>2824550</v>
      </c>
      <c r="L209" s="368">
        <v>389</v>
      </c>
      <c r="M209" s="368">
        <v>2282071</v>
      </c>
      <c r="N209" s="252">
        <v>0</v>
      </c>
      <c r="O209" s="253">
        <v>0</v>
      </c>
      <c r="P209" s="369">
        <v>0</v>
      </c>
      <c r="Q209" s="369">
        <v>0</v>
      </c>
      <c r="R209" s="252">
        <v>479</v>
      </c>
      <c r="S209" s="253">
        <v>388284</v>
      </c>
      <c r="T209" s="370">
        <v>433</v>
      </c>
      <c r="U209" s="370">
        <v>306822</v>
      </c>
      <c r="V209" s="252">
        <v>0</v>
      </c>
      <c r="W209" s="253">
        <v>0</v>
      </c>
      <c r="X209" s="369">
        <v>0</v>
      </c>
      <c r="Y209" s="369">
        <v>0</v>
      </c>
      <c r="Z209" s="252">
        <v>117</v>
      </c>
      <c r="AA209" s="253">
        <v>29320</v>
      </c>
      <c r="AB209" s="371">
        <v>100</v>
      </c>
      <c r="AC209" s="371">
        <v>23125</v>
      </c>
      <c r="AD209" s="252">
        <v>0</v>
      </c>
      <c r="AE209" s="253">
        <v>0</v>
      </c>
      <c r="AF209" s="372">
        <v>0</v>
      </c>
      <c r="AG209" s="372">
        <v>0</v>
      </c>
      <c r="AH209" s="252">
        <v>32</v>
      </c>
      <c r="AI209" s="253">
        <v>75693</v>
      </c>
      <c r="AJ209" s="373">
        <v>38</v>
      </c>
      <c r="AK209" s="373">
        <v>89919</v>
      </c>
      <c r="AL209" s="252">
        <v>0</v>
      </c>
      <c r="AM209" s="253">
        <v>0</v>
      </c>
      <c r="AN209" s="374">
        <v>0</v>
      </c>
      <c r="AO209" s="374">
        <v>0</v>
      </c>
      <c r="AP209" s="255">
        <f t="shared" si="40"/>
        <v>511</v>
      </c>
      <c r="AQ209" s="256">
        <f t="shared" si="41"/>
        <v>7863887</v>
      </c>
      <c r="AR209" s="257">
        <f t="shared" si="42"/>
        <v>474</v>
      </c>
      <c r="AS209" s="258">
        <f t="shared" si="43"/>
        <v>6476611</v>
      </c>
      <c r="AT209" s="259">
        <v>19</v>
      </c>
      <c r="AU209" s="253">
        <v>314141</v>
      </c>
      <c r="AV209" s="375">
        <v>22</v>
      </c>
      <c r="AW209" s="375">
        <v>337533</v>
      </c>
      <c r="AX209" s="252">
        <v>19</v>
      </c>
      <c r="AY209" s="253">
        <v>129166</v>
      </c>
      <c r="AZ209" s="376">
        <v>17</v>
      </c>
      <c r="BA209" s="376">
        <v>105277</v>
      </c>
      <c r="BB209" s="252">
        <v>0</v>
      </c>
      <c r="BC209" s="253">
        <v>0</v>
      </c>
      <c r="BD209" s="377"/>
      <c r="BE209" s="377"/>
      <c r="BF209" s="252">
        <v>17</v>
      </c>
      <c r="BG209" s="253">
        <v>26355</v>
      </c>
      <c r="BH209" s="378">
        <v>19</v>
      </c>
      <c r="BI209" s="378">
        <v>27090</v>
      </c>
      <c r="BJ209" s="252">
        <v>0</v>
      </c>
      <c r="BK209" s="253">
        <v>0</v>
      </c>
      <c r="BL209" s="379"/>
      <c r="BM209" s="379"/>
      <c r="BN209" s="252">
        <v>6</v>
      </c>
      <c r="BO209" s="253">
        <v>1800</v>
      </c>
      <c r="BP209" s="380">
        <v>7</v>
      </c>
      <c r="BQ209" s="380">
        <v>2162</v>
      </c>
      <c r="BR209" s="252">
        <v>0</v>
      </c>
      <c r="BS209" s="253">
        <v>0</v>
      </c>
      <c r="BT209" s="381">
        <v>0</v>
      </c>
      <c r="BU209" s="381">
        <v>0</v>
      </c>
      <c r="BV209" s="252">
        <v>3</v>
      </c>
      <c r="BW209" s="253">
        <v>6436</v>
      </c>
      <c r="BX209" s="382">
        <v>2</v>
      </c>
      <c r="BY209" s="382">
        <v>1878</v>
      </c>
      <c r="BZ209" s="252">
        <v>0</v>
      </c>
      <c r="CA209" s="253">
        <v>0</v>
      </c>
      <c r="CB209" s="383"/>
      <c r="CC209" s="383"/>
      <c r="CD209" s="255">
        <f t="shared" si="44"/>
        <v>19</v>
      </c>
      <c r="CE209" s="256">
        <f t="shared" si="45"/>
        <v>477898</v>
      </c>
      <c r="CF209" s="257">
        <f t="shared" si="46"/>
        <v>22</v>
      </c>
      <c r="CG209" s="261">
        <f t="shared" si="47"/>
        <v>473940</v>
      </c>
    </row>
    <row r="210" spans="1:85" s="263" customFormat="1" ht="12.75" customHeight="1">
      <c r="A210" s="363" t="s">
        <v>206</v>
      </c>
      <c r="B210" s="364" t="s">
        <v>807</v>
      </c>
      <c r="C210" s="364"/>
      <c r="D210" s="365">
        <v>160621</v>
      </c>
      <c r="E210" s="366">
        <v>3</v>
      </c>
      <c r="F210" s="252">
        <v>340</v>
      </c>
      <c r="G210" s="253">
        <v>3479366</v>
      </c>
      <c r="H210" s="367">
        <v>421</v>
      </c>
      <c r="I210" s="367">
        <v>3819331</v>
      </c>
      <c r="J210" s="252">
        <v>280</v>
      </c>
      <c r="K210" s="253">
        <v>1627765</v>
      </c>
      <c r="L210" s="368">
        <v>305</v>
      </c>
      <c r="M210" s="368">
        <v>1558389</v>
      </c>
      <c r="N210" s="252">
        <v>0</v>
      </c>
      <c r="O210" s="253">
        <v>0</v>
      </c>
      <c r="P210" s="369">
        <v>0</v>
      </c>
      <c r="Q210" s="369">
        <v>0</v>
      </c>
      <c r="R210" s="252">
        <v>5</v>
      </c>
      <c r="S210" s="253">
        <v>15660</v>
      </c>
      <c r="T210" s="370">
        <v>13</v>
      </c>
      <c r="U210" s="370">
        <v>42510</v>
      </c>
      <c r="V210" s="252">
        <v>0</v>
      </c>
      <c r="W210" s="253">
        <v>0</v>
      </c>
      <c r="X210" s="369">
        <v>0</v>
      </c>
      <c r="Y210" s="369">
        <v>0</v>
      </c>
      <c r="Z210" s="252">
        <v>0</v>
      </c>
      <c r="AA210" s="253">
        <v>0</v>
      </c>
      <c r="AB210" s="371">
        <v>0</v>
      </c>
      <c r="AC210" s="371">
        <v>0</v>
      </c>
      <c r="AD210" s="252">
        <v>0</v>
      </c>
      <c r="AE210" s="253">
        <v>0</v>
      </c>
      <c r="AF210" s="372">
        <v>0</v>
      </c>
      <c r="AG210" s="372">
        <v>0</v>
      </c>
      <c r="AH210" s="252">
        <v>0</v>
      </c>
      <c r="AI210" s="253">
        <v>0</v>
      </c>
      <c r="AJ210" s="373">
        <v>11</v>
      </c>
      <c r="AK210" s="373">
        <v>2324</v>
      </c>
      <c r="AL210" s="252">
        <v>0</v>
      </c>
      <c r="AM210" s="253">
        <v>0</v>
      </c>
      <c r="AN210" s="374">
        <v>0</v>
      </c>
      <c r="AO210" s="374">
        <v>0</v>
      </c>
      <c r="AP210" s="255">
        <f t="shared" si="40"/>
        <v>340</v>
      </c>
      <c r="AQ210" s="256">
        <f t="shared" si="41"/>
        <v>5122791</v>
      </c>
      <c r="AR210" s="257">
        <f t="shared" si="42"/>
        <v>421</v>
      </c>
      <c r="AS210" s="258">
        <f t="shared" si="43"/>
        <v>5422554</v>
      </c>
      <c r="AT210" s="259">
        <v>9</v>
      </c>
      <c r="AU210" s="253">
        <v>112456</v>
      </c>
      <c r="AV210" s="375">
        <v>1</v>
      </c>
      <c r="AW210" s="375">
        <v>8035</v>
      </c>
      <c r="AX210" s="252">
        <v>7</v>
      </c>
      <c r="AY210" s="253">
        <v>44524</v>
      </c>
      <c r="AZ210" s="376">
        <v>0</v>
      </c>
      <c r="BA210" s="376">
        <v>0</v>
      </c>
      <c r="BB210" s="252">
        <v>0</v>
      </c>
      <c r="BC210" s="253">
        <v>0</v>
      </c>
      <c r="BD210" s="377"/>
      <c r="BE210" s="377"/>
      <c r="BF210" s="252">
        <v>0</v>
      </c>
      <c r="BG210" s="253">
        <v>0</v>
      </c>
      <c r="BH210" s="378">
        <v>0</v>
      </c>
      <c r="BI210" s="378">
        <v>0</v>
      </c>
      <c r="BJ210" s="252">
        <v>0</v>
      </c>
      <c r="BK210" s="253">
        <v>0</v>
      </c>
      <c r="BL210" s="379"/>
      <c r="BM210" s="379"/>
      <c r="BN210" s="252">
        <v>0</v>
      </c>
      <c r="BO210" s="253">
        <v>0</v>
      </c>
      <c r="BP210" s="380">
        <v>0</v>
      </c>
      <c r="BQ210" s="380">
        <v>0</v>
      </c>
      <c r="BR210" s="252">
        <v>0</v>
      </c>
      <c r="BS210" s="253">
        <v>0</v>
      </c>
      <c r="BT210" s="381">
        <v>0</v>
      </c>
      <c r="BU210" s="381">
        <v>0</v>
      </c>
      <c r="BV210" s="252">
        <v>0</v>
      </c>
      <c r="BW210" s="253">
        <v>0</v>
      </c>
      <c r="BX210" s="382">
        <v>0</v>
      </c>
      <c r="BY210" s="382">
        <v>0</v>
      </c>
      <c r="BZ210" s="252">
        <v>0</v>
      </c>
      <c r="CA210" s="253">
        <v>0</v>
      </c>
      <c r="CB210" s="383"/>
      <c r="CC210" s="383"/>
      <c r="CD210" s="255">
        <f t="shared" si="44"/>
        <v>9</v>
      </c>
      <c r="CE210" s="256">
        <f t="shared" si="45"/>
        <v>156980</v>
      </c>
      <c r="CF210" s="257">
        <f t="shared" si="46"/>
        <v>1</v>
      </c>
      <c r="CG210" s="261">
        <f t="shared" si="47"/>
        <v>8035</v>
      </c>
    </row>
    <row r="211" spans="1:85" s="263" customFormat="1" ht="12.75" customHeight="1">
      <c r="A211" s="363" t="s">
        <v>206</v>
      </c>
      <c r="B211" s="364" t="s">
        <v>808</v>
      </c>
      <c r="C211" s="364"/>
      <c r="D211" s="365">
        <v>159993</v>
      </c>
      <c r="E211" s="366">
        <v>3</v>
      </c>
      <c r="F211" s="252">
        <v>271</v>
      </c>
      <c r="G211" s="253">
        <v>2290524</v>
      </c>
      <c r="H211" s="367">
        <v>314</v>
      </c>
      <c r="I211" s="367">
        <v>2616756</v>
      </c>
      <c r="J211" s="252">
        <v>249</v>
      </c>
      <c r="K211" s="253">
        <v>1600221</v>
      </c>
      <c r="L211" s="368">
        <v>263</v>
      </c>
      <c r="M211" s="368">
        <v>1591406</v>
      </c>
      <c r="N211" s="252">
        <v>0</v>
      </c>
      <c r="O211" s="253">
        <v>0</v>
      </c>
      <c r="P211" s="369">
        <v>0</v>
      </c>
      <c r="Q211" s="369">
        <v>0</v>
      </c>
      <c r="R211" s="252">
        <v>1</v>
      </c>
      <c r="S211" s="253">
        <v>2890</v>
      </c>
      <c r="T211" s="370">
        <v>1</v>
      </c>
      <c r="U211" s="370">
        <v>2678</v>
      </c>
      <c r="V211" s="252">
        <v>286</v>
      </c>
      <c r="W211" s="253">
        <v>39667</v>
      </c>
      <c r="X211" s="369">
        <v>314</v>
      </c>
      <c r="Y211" s="369">
        <v>39889</v>
      </c>
      <c r="Z211" s="252">
        <v>255</v>
      </c>
      <c r="AA211" s="253">
        <v>55594</v>
      </c>
      <c r="AB211" s="371">
        <v>289</v>
      </c>
      <c r="AC211" s="371">
        <v>52489</v>
      </c>
      <c r="AD211" s="252">
        <v>286</v>
      </c>
      <c r="AE211" s="253">
        <v>136455</v>
      </c>
      <c r="AF211" s="372">
        <v>314</v>
      </c>
      <c r="AG211" s="372">
        <v>137219</v>
      </c>
      <c r="AH211" s="252">
        <v>28</v>
      </c>
      <c r="AI211" s="253">
        <v>28572</v>
      </c>
      <c r="AJ211" s="373">
        <v>23</v>
      </c>
      <c r="AK211" s="373">
        <v>26724</v>
      </c>
      <c r="AL211" s="252">
        <v>0</v>
      </c>
      <c r="AM211" s="253">
        <v>0</v>
      </c>
      <c r="AN211" s="374">
        <v>0</v>
      </c>
      <c r="AO211" s="374">
        <v>0</v>
      </c>
      <c r="AP211" s="255">
        <f t="shared" si="40"/>
        <v>286</v>
      </c>
      <c r="AQ211" s="256">
        <f t="shared" si="41"/>
        <v>4153923</v>
      </c>
      <c r="AR211" s="257">
        <f t="shared" si="42"/>
        <v>314</v>
      </c>
      <c r="AS211" s="258">
        <f t="shared" si="43"/>
        <v>4467161</v>
      </c>
      <c r="AT211" s="259">
        <v>59</v>
      </c>
      <c r="AU211" s="253">
        <v>820081</v>
      </c>
      <c r="AV211" s="375">
        <v>46</v>
      </c>
      <c r="AW211" s="375">
        <v>657923</v>
      </c>
      <c r="AX211" s="252">
        <v>51</v>
      </c>
      <c r="AY211" s="253">
        <v>370700</v>
      </c>
      <c r="AZ211" s="376">
        <v>41</v>
      </c>
      <c r="BA211" s="376">
        <v>266686</v>
      </c>
      <c r="BB211" s="252">
        <v>0</v>
      </c>
      <c r="BC211" s="253">
        <v>0</v>
      </c>
      <c r="BD211" s="377"/>
      <c r="BE211" s="377"/>
      <c r="BF211" s="252">
        <v>0</v>
      </c>
      <c r="BG211" s="253">
        <v>0</v>
      </c>
      <c r="BH211" s="378">
        <v>0</v>
      </c>
      <c r="BI211" s="378">
        <v>0</v>
      </c>
      <c r="BJ211" s="252">
        <v>59</v>
      </c>
      <c r="BK211" s="253">
        <v>13488</v>
      </c>
      <c r="BL211" s="379">
        <v>46</v>
      </c>
      <c r="BM211" s="379">
        <v>9919</v>
      </c>
      <c r="BN211" s="252">
        <v>56</v>
      </c>
      <c r="BO211" s="253">
        <v>13616</v>
      </c>
      <c r="BP211" s="380">
        <v>40</v>
      </c>
      <c r="BQ211" s="380">
        <v>9043</v>
      </c>
      <c r="BR211" s="252">
        <v>59</v>
      </c>
      <c r="BS211" s="253">
        <v>46399</v>
      </c>
      <c r="BT211" s="381">
        <v>46</v>
      </c>
      <c r="BU211" s="381">
        <v>34120</v>
      </c>
      <c r="BV211" s="252">
        <v>6</v>
      </c>
      <c r="BW211" s="253">
        <v>6916</v>
      </c>
      <c r="BX211" s="382">
        <v>2</v>
      </c>
      <c r="BY211" s="382">
        <v>2184</v>
      </c>
      <c r="BZ211" s="252">
        <v>0</v>
      </c>
      <c r="CA211" s="253">
        <v>0</v>
      </c>
      <c r="CB211" s="383"/>
      <c r="CC211" s="383"/>
      <c r="CD211" s="255">
        <f t="shared" si="44"/>
        <v>59</v>
      </c>
      <c r="CE211" s="256">
        <f t="shared" si="45"/>
        <v>1271200</v>
      </c>
      <c r="CF211" s="257">
        <f t="shared" si="46"/>
        <v>46</v>
      </c>
      <c r="CG211" s="261">
        <f t="shared" si="47"/>
        <v>979875</v>
      </c>
    </row>
    <row r="212" spans="1:85" s="263" customFormat="1" ht="12.75" customHeight="1">
      <c r="A212" s="363" t="s">
        <v>206</v>
      </c>
      <c r="B212" s="364" t="s">
        <v>809</v>
      </c>
      <c r="C212" s="364"/>
      <c r="D212" s="365">
        <v>159009</v>
      </c>
      <c r="E212" s="366">
        <v>4</v>
      </c>
      <c r="F212" s="252">
        <v>185</v>
      </c>
      <c r="G212" s="253">
        <v>2250990</v>
      </c>
      <c r="H212" s="367">
        <v>193</v>
      </c>
      <c r="I212" s="367">
        <v>1712398</v>
      </c>
      <c r="J212" s="252">
        <v>158</v>
      </c>
      <c r="K212" s="253">
        <v>1164163</v>
      </c>
      <c r="L212" s="368">
        <v>157</v>
      </c>
      <c r="M212" s="368">
        <v>934531</v>
      </c>
      <c r="N212" s="252">
        <v>98</v>
      </c>
      <c r="O212" s="253">
        <v>42815</v>
      </c>
      <c r="P212" s="385">
        <v>109</v>
      </c>
      <c r="Q212" s="385">
        <v>22778</v>
      </c>
      <c r="R212" s="252">
        <v>158</v>
      </c>
      <c r="S212" s="253">
        <v>179205</v>
      </c>
      <c r="T212" s="370">
        <v>134</v>
      </c>
      <c r="U212" s="370">
        <v>114241</v>
      </c>
      <c r="V212" s="252">
        <v>0</v>
      </c>
      <c r="W212" s="253">
        <v>0</v>
      </c>
      <c r="X212" s="369">
        <v>0</v>
      </c>
      <c r="Y212" s="369">
        <v>0</v>
      </c>
      <c r="Z212" s="252">
        <v>86</v>
      </c>
      <c r="AA212" s="253">
        <v>25211</v>
      </c>
      <c r="AB212" s="371">
        <v>90</v>
      </c>
      <c r="AC212" s="371">
        <v>20530</v>
      </c>
      <c r="AD212" s="252">
        <v>0</v>
      </c>
      <c r="AE212" s="253">
        <v>0</v>
      </c>
      <c r="AF212" s="372">
        <v>0</v>
      </c>
      <c r="AG212" s="372">
        <v>0</v>
      </c>
      <c r="AH212" s="252">
        <v>0</v>
      </c>
      <c r="AI212" s="253">
        <v>0</v>
      </c>
      <c r="AJ212" s="373">
        <v>0</v>
      </c>
      <c r="AK212" s="373">
        <v>0</v>
      </c>
      <c r="AL212" s="252">
        <v>0</v>
      </c>
      <c r="AM212" s="253">
        <v>0</v>
      </c>
      <c r="AN212" s="374">
        <v>0</v>
      </c>
      <c r="AO212" s="374">
        <v>0</v>
      </c>
      <c r="AP212" s="255">
        <f t="shared" si="40"/>
        <v>185</v>
      </c>
      <c r="AQ212" s="256">
        <f t="shared" si="41"/>
        <v>3662384</v>
      </c>
      <c r="AR212" s="257">
        <f t="shared" si="42"/>
        <v>193</v>
      </c>
      <c r="AS212" s="258">
        <f t="shared" si="43"/>
        <v>2804478</v>
      </c>
      <c r="AT212" s="259">
        <v>39</v>
      </c>
      <c r="AU212" s="253">
        <v>448508</v>
      </c>
      <c r="AV212" s="375">
        <v>42</v>
      </c>
      <c r="AW212" s="375">
        <v>504923</v>
      </c>
      <c r="AX212" s="252">
        <v>36</v>
      </c>
      <c r="AY212" s="253">
        <v>234406</v>
      </c>
      <c r="AZ212" s="376">
        <v>36</v>
      </c>
      <c r="BA212" s="376">
        <v>218245</v>
      </c>
      <c r="BB212" s="252">
        <v>18</v>
      </c>
      <c r="BC212" s="253">
        <v>8411</v>
      </c>
      <c r="BD212" s="377">
        <v>25</v>
      </c>
      <c r="BE212" s="377">
        <v>10786</v>
      </c>
      <c r="BF212" s="252">
        <v>38</v>
      </c>
      <c r="BG212" s="253">
        <v>40154</v>
      </c>
      <c r="BH212" s="378">
        <v>39</v>
      </c>
      <c r="BI212" s="378">
        <v>42217</v>
      </c>
      <c r="BJ212" s="252">
        <v>0</v>
      </c>
      <c r="BK212" s="253">
        <v>0</v>
      </c>
      <c r="BL212" s="379"/>
      <c r="BM212" s="379"/>
      <c r="BN212" s="252">
        <v>17</v>
      </c>
      <c r="BO212" s="253">
        <v>4608</v>
      </c>
      <c r="BP212" s="380">
        <v>28</v>
      </c>
      <c r="BQ212" s="380">
        <v>4720</v>
      </c>
      <c r="BR212" s="252">
        <v>0</v>
      </c>
      <c r="BS212" s="253">
        <v>0</v>
      </c>
      <c r="BT212" s="381">
        <v>0</v>
      </c>
      <c r="BU212" s="381">
        <v>0</v>
      </c>
      <c r="BV212" s="252">
        <v>0</v>
      </c>
      <c r="BW212" s="253">
        <v>0</v>
      </c>
      <c r="BX212" s="382">
        <v>0</v>
      </c>
      <c r="BY212" s="382">
        <v>0</v>
      </c>
      <c r="BZ212" s="252">
        <v>0</v>
      </c>
      <c r="CA212" s="253">
        <v>0</v>
      </c>
      <c r="CB212" s="383"/>
      <c r="CC212" s="383"/>
      <c r="CD212" s="255">
        <f t="shared" si="44"/>
        <v>39</v>
      </c>
      <c r="CE212" s="256">
        <f t="shared" si="45"/>
        <v>736087</v>
      </c>
      <c r="CF212" s="257">
        <f t="shared" si="46"/>
        <v>42</v>
      </c>
      <c r="CG212" s="261">
        <f t="shared" si="47"/>
        <v>780891</v>
      </c>
    </row>
    <row r="213" spans="1:85" s="263" customFormat="1" ht="12.75" customHeight="1">
      <c r="A213" s="363" t="s">
        <v>206</v>
      </c>
      <c r="B213" s="364" t="s">
        <v>810</v>
      </c>
      <c r="C213" s="364"/>
      <c r="D213" s="365">
        <v>159416</v>
      </c>
      <c r="E213" s="366">
        <v>4</v>
      </c>
      <c r="F213" s="252">
        <v>113</v>
      </c>
      <c r="G213" s="253">
        <v>980396</v>
      </c>
      <c r="H213" s="367">
        <v>127</v>
      </c>
      <c r="I213" s="367">
        <v>1038852</v>
      </c>
      <c r="J213" s="252">
        <v>103</v>
      </c>
      <c r="K213" s="253">
        <v>605033</v>
      </c>
      <c r="L213" s="368">
        <v>113</v>
      </c>
      <c r="M213" s="368">
        <v>610264</v>
      </c>
      <c r="N213" s="252">
        <v>0</v>
      </c>
      <c r="O213" s="253">
        <v>0</v>
      </c>
      <c r="P213" s="369">
        <v>0</v>
      </c>
      <c r="Q213" s="369">
        <v>0</v>
      </c>
      <c r="R213" s="252">
        <v>1</v>
      </c>
      <c r="S213" s="253">
        <v>1215</v>
      </c>
      <c r="T213" s="370">
        <v>111</v>
      </c>
      <c r="U213" s="370">
        <v>82303</v>
      </c>
      <c r="V213" s="252">
        <v>0</v>
      </c>
      <c r="W213" s="253">
        <v>0</v>
      </c>
      <c r="X213" s="369">
        <v>130</v>
      </c>
      <c r="Y213" s="369">
        <v>20423</v>
      </c>
      <c r="Z213" s="252">
        <v>44</v>
      </c>
      <c r="AA213" s="253">
        <v>7392</v>
      </c>
      <c r="AB213" s="371">
        <v>49</v>
      </c>
      <c r="AC213" s="371">
        <v>10707</v>
      </c>
      <c r="AD213" s="252">
        <v>0</v>
      </c>
      <c r="AE213" s="253">
        <v>0</v>
      </c>
      <c r="AF213" s="372">
        <v>130</v>
      </c>
      <c r="AG213" s="372">
        <v>20374</v>
      </c>
      <c r="AH213" s="252">
        <v>0</v>
      </c>
      <c r="AI213" s="253">
        <v>0</v>
      </c>
      <c r="AJ213" s="373">
        <v>0</v>
      </c>
      <c r="AK213" s="373">
        <v>0</v>
      </c>
      <c r="AL213" s="252">
        <v>0</v>
      </c>
      <c r="AM213" s="253">
        <v>0</v>
      </c>
      <c r="AN213" s="374">
        <v>0</v>
      </c>
      <c r="AO213" s="374">
        <v>0</v>
      </c>
      <c r="AP213" s="255">
        <f t="shared" si="40"/>
        <v>113</v>
      </c>
      <c r="AQ213" s="256">
        <f t="shared" si="41"/>
        <v>1594036</v>
      </c>
      <c r="AR213" s="257">
        <f t="shared" si="42"/>
        <v>130</v>
      </c>
      <c r="AS213" s="258">
        <f t="shared" si="43"/>
        <v>1782923</v>
      </c>
      <c r="AT213" s="259">
        <v>11</v>
      </c>
      <c r="AU213" s="253">
        <v>106168</v>
      </c>
      <c r="AV213" s="375">
        <v>6</v>
      </c>
      <c r="AW213" s="375">
        <v>72878</v>
      </c>
      <c r="AX213" s="252">
        <v>9</v>
      </c>
      <c r="AY213" s="253">
        <v>50757</v>
      </c>
      <c r="AZ213" s="376">
        <v>3</v>
      </c>
      <c r="BA213" s="376">
        <v>11172</v>
      </c>
      <c r="BB213" s="252">
        <v>0</v>
      </c>
      <c r="BC213" s="253">
        <v>0</v>
      </c>
      <c r="BD213" s="377"/>
      <c r="BE213" s="377"/>
      <c r="BF213" s="252">
        <v>0</v>
      </c>
      <c r="BG213" s="253">
        <v>0</v>
      </c>
      <c r="BH213" s="378">
        <v>3</v>
      </c>
      <c r="BI213" s="378">
        <v>2510</v>
      </c>
      <c r="BJ213" s="252">
        <v>0</v>
      </c>
      <c r="BK213" s="253">
        <v>0</v>
      </c>
      <c r="BL213" s="379">
        <v>6</v>
      </c>
      <c r="BM213" s="379">
        <v>936</v>
      </c>
      <c r="BN213" s="252">
        <v>9</v>
      </c>
      <c r="BO213" s="253">
        <v>1512</v>
      </c>
      <c r="BP213" s="380">
        <v>2</v>
      </c>
      <c r="BQ213" s="380">
        <v>552</v>
      </c>
      <c r="BR213" s="252">
        <v>0</v>
      </c>
      <c r="BS213" s="253">
        <v>0</v>
      </c>
      <c r="BT213" s="381">
        <v>6</v>
      </c>
      <c r="BU213" s="381">
        <v>936</v>
      </c>
      <c r="BV213" s="252">
        <v>0</v>
      </c>
      <c r="BW213" s="253">
        <v>0</v>
      </c>
      <c r="BX213" s="382">
        <v>0</v>
      </c>
      <c r="BY213" s="382">
        <v>0</v>
      </c>
      <c r="BZ213" s="252">
        <v>0</v>
      </c>
      <c r="CA213" s="253">
        <v>0</v>
      </c>
      <c r="CB213" s="383"/>
      <c r="CC213" s="383"/>
      <c r="CD213" s="255">
        <f t="shared" si="44"/>
        <v>11</v>
      </c>
      <c r="CE213" s="256">
        <f t="shared" si="45"/>
        <v>158437</v>
      </c>
      <c r="CF213" s="257">
        <f t="shared" si="46"/>
        <v>6</v>
      </c>
      <c r="CG213" s="261">
        <f t="shared" si="47"/>
        <v>88984</v>
      </c>
    </row>
    <row r="214" spans="1:85" s="263" customFormat="1" ht="12.75" customHeight="1">
      <c r="A214" s="363" t="s">
        <v>206</v>
      </c>
      <c r="B214" s="364" t="s">
        <v>811</v>
      </c>
      <c r="C214" s="364"/>
      <c r="D214" s="384">
        <v>159717</v>
      </c>
      <c r="E214" s="366">
        <v>4</v>
      </c>
      <c r="F214" s="252">
        <v>295</v>
      </c>
      <c r="G214" s="253">
        <v>2769745</v>
      </c>
      <c r="H214" s="367">
        <v>286</v>
      </c>
      <c r="I214" s="367">
        <v>2306227</v>
      </c>
      <c r="J214" s="252">
        <v>246</v>
      </c>
      <c r="K214" s="253">
        <v>1626922</v>
      </c>
      <c r="L214" s="368">
        <v>238</v>
      </c>
      <c r="M214" s="368">
        <v>1417322</v>
      </c>
      <c r="N214" s="252">
        <v>0</v>
      </c>
      <c r="O214" s="253">
        <v>0</v>
      </c>
      <c r="P214" s="369">
        <v>0</v>
      </c>
      <c r="Q214" s="369">
        <v>0</v>
      </c>
      <c r="R214" s="252">
        <v>260</v>
      </c>
      <c r="S214" s="253">
        <v>210105</v>
      </c>
      <c r="T214" s="370">
        <v>241</v>
      </c>
      <c r="U214" s="370">
        <v>160107</v>
      </c>
      <c r="V214" s="252">
        <v>0</v>
      </c>
      <c r="W214" s="253">
        <v>0</v>
      </c>
      <c r="X214" s="369">
        <v>0</v>
      </c>
      <c r="Y214" s="369">
        <v>0</v>
      </c>
      <c r="Z214" s="252">
        <v>87</v>
      </c>
      <c r="AA214" s="253">
        <v>19704</v>
      </c>
      <c r="AB214" s="371">
        <v>93</v>
      </c>
      <c r="AC214" s="371">
        <v>18876</v>
      </c>
      <c r="AD214" s="252">
        <v>0</v>
      </c>
      <c r="AE214" s="253">
        <v>0</v>
      </c>
      <c r="AF214" s="372">
        <v>0</v>
      </c>
      <c r="AG214" s="372">
        <v>0</v>
      </c>
      <c r="AH214" s="252">
        <v>21</v>
      </c>
      <c r="AI214" s="253">
        <v>25130</v>
      </c>
      <c r="AJ214" s="373">
        <v>24</v>
      </c>
      <c r="AK214" s="373">
        <v>23964</v>
      </c>
      <c r="AL214" s="252">
        <v>0</v>
      </c>
      <c r="AM214" s="253">
        <v>0</v>
      </c>
      <c r="AN214" s="374">
        <v>0</v>
      </c>
      <c r="AO214" s="374">
        <v>0</v>
      </c>
      <c r="AP214" s="255">
        <f t="shared" si="40"/>
        <v>295</v>
      </c>
      <c r="AQ214" s="256">
        <f t="shared" si="41"/>
        <v>4651606</v>
      </c>
      <c r="AR214" s="257">
        <f t="shared" si="42"/>
        <v>286</v>
      </c>
      <c r="AS214" s="258">
        <f t="shared" si="43"/>
        <v>3926496</v>
      </c>
      <c r="AT214" s="259">
        <v>7</v>
      </c>
      <c r="AU214" s="253">
        <v>65220</v>
      </c>
      <c r="AV214" s="375">
        <v>6</v>
      </c>
      <c r="AW214" s="375">
        <v>47606</v>
      </c>
      <c r="AX214" s="252">
        <v>6</v>
      </c>
      <c r="AY214" s="253">
        <v>43005</v>
      </c>
      <c r="AZ214" s="376">
        <v>5</v>
      </c>
      <c r="BA214" s="376">
        <v>31722</v>
      </c>
      <c r="BB214" s="252">
        <v>0</v>
      </c>
      <c r="BC214" s="253">
        <v>0</v>
      </c>
      <c r="BD214" s="377"/>
      <c r="BE214" s="377"/>
      <c r="BF214" s="252">
        <v>5</v>
      </c>
      <c r="BG214" s="253">
        <v>3804</v>
      </c>
      <c r="BH214" s="378">
        <v>4</v>
      </c>
      <c r="BI214" s="378">
        <v>2526</v>
      </c>
      <c r="BJ214" s="252">
        <v>0</v>
      </c>
      <c r="BK214" s="253">
        <v>0</v>
      </c>
      <c r="BL214" s="379"/>
      <c r="BM214" s="379"/>
      <c r="BN214" s="252">
        <v>2</v>
      </c>
      <c r="BO214" s="253">
        <v>600</v>
      </c>
      <c r="BP214" s="380">
        <v>0</v>
      </c>
      <c r="BQ214" s="380">
        <v>0</v>
      </c>
      <c r="BR214" s="252">
        <v>0</v>
      </c>
      <c r="BS214" s="253">
        <v>0</v>
      </c>
      <c r="BT214" s="381">
        <v>0</v>
      </c>
      <c r="BU214" s="381">
        <v>0</v>
      </c>
      <c r="BV214" s="252">
        <v>3</v>
      </c>
      <c r="BW214" s="253">
        <v>1785</v>
      </c>
      <c r="BX214" s="382">
        <v>1</v>
      </c>
      <c r="BY214" s="382">
        <v>263</v>
      </c>
      <c r="BZ214" s="252">
        <v>0</v>
      </c>
      <c r="CA214" s="253">
        <v>0</v>
      </c>
      <c r="CB214" s="383"/>
      <c r="CC214" s="383"/>
      <c r="CD214" s="255">
        <f t="shared" si="44"/>
        <v>7</v>
      </c>
      <c r="CE214" s="256">
        <f t="shared" si="45"/>
        <v>114414</v>
      </c>
      <c r="CF214" s="257">
        <f t="shared" si="46"/>
        <v>6</v>
      </c>
      <c r="CG214" s="261">
        <f t="shared" si="47"/>
        <v>82117</v>
      </c>
    </row>
    <row r="215" spans="1:85" s="263" customFormat="1" ht="12.75" customHeight="1">
      <c r="A215" s="363" t="s">
        <v>206</v>
      </c>
      <c r="B215" s="364" t="s">
        <v>812</v>
      </c>
      <c r="C215" s="364"/>
      <c r="D215" s="384">
        <v>159966</v>
      </c>
      <c r="E215" s="366">
        <v>4</v>
      </c>
      <c r="F215" s="252">
        <v>243</v>
      </c>
      <c r="G215" s="253">
        <v>1948990</v>
      </c>
      <c r="H215" s="367">
        <v>255</v>
      </c>
      <c r="I215" s="367">
        <v>1938552</v>
      </c>
      <c r="J215" s="252">
        <v>194</v>
      </c>
      <c r="K215" s="253">
        <v>1250184</v>
      </c>
      <c r="L215" s="368">
        <v>218</v>
      </c>
      <c r="M215" s="368">
        <v>1320497</v>
      </c>
      <c r="N215" s="252">
        <v>0</v>
      </c>
      <c r="O215" s="253">
        <v>0</v>
      </c>
      <c r="P215" s="369">
        <v>0</v>
      </c>
      <c r="Q215" s="369">
        <v>0</v>
      </c>
      <c r="R215" s="252">
        <v>219</v>
      </c>
      <c r="S215" s="253">
        <v>162343</v>
      </c>
      <c r="T215" s="370">
        <v>219</v>
      </c>
      <c r="U215" s="370">
        <v>149089</v>
      </c>
      <c r="V215" s="252">
        <v>0</v>
      </c>
      <c r="W215" s="253">
        <v>0</v>
      </c>
      <c r="X215" s="369">
        <v>0</v>
      </c>
      <c r="Y215" s="369">
        <v>0</v>
      </c>
      <c r="Z215" s="252">
        <v>78</v>
      </c>
      <c r="AA215" s="253">
        <v>18625</v>
      </c>
      <c r="AB215" s="371">
        <v>98</v>
      </c>
      <c r="AC215" s="371">
        <v>19452</v>
      </c>
      <c r="AD215" s="252">
        <v>247</v>
      </c>
      <c r="AE215" s="253">
        <v>81510</v>
      </c>
      <c r="AF215" s="372">
        <v>266</v>
      </c>
      <c r="AG215" s="372">
        <v>91770</v>
      </c>
      <c r="AH215" s="252">
        <v>20</v>
      </c>
      <c r="AI215" s="253">
        <v>26658</v>
      </c>
      <c r="AJ215" s="373">
        <v>23</v>
      </c>
      <c r="AK215" s="373">
        <v>78706</v>
      </c>
      <c r="AL215" s="252">
        <v>0</v>
      </c>
      <c r="AM215" s="253">
        <v>0</v>
      </c>
      <c r="AN215" s="374">
        <v>0</v>
      </c>
      <c r="AO215" s="374">
        <v>0</v>
      </c>
      <c r="AP215" s="255">
        <f t="shared" si="40"/>
        <v>247</v>
      </c>
      <c r="AQ215" s="256">
        <f t="shared" si="41"/>
        <v>3488310</v>
      </c>
      <c r="AR215" s="257">
        <f t="shared" si="42"/>
        <v>266</v>
      </c>
      <c r="AS215" s="258">
        <f t="shared" si="43"/>
        <v>3598066</v>
      </c>
      <c r="AT215" s="259">
        <v>27</v>
      </c>
      <c r="AU215" s="253">
        <v>272226</v>
      </c>
      <c r="AV215" s="375">
        <v>19</v>
      </c>
      <c r="AW215" s="375">
        <v>164130</v>
      </c>
      <c r="AX215" s="252">
        <v>27</v>
      </c>
      <c r="AY215" s="253">
        <v>164498</v>
      </c>
      <c r="AZ215" s="376">
        <v>18</v>
      </c>
      <c r="BA215" s="376">
        <v>98388</v>
      </c>
      <c r="BB215" s="252">
        <v>0</v>
      </c>
      <c r="BC215" s="253">
        <v>0</v>
      </c>
      <c r="BD215" s="377"/>
      <c r="BE215" s="377"/>
      <c r="BF215" s="252">
        <v>23</v>
      </c>
      <c r="BG215" s="253">
        <v>20259</v>
      </c>
      <c r="BH215" s="378">
        <v>17</v>
      </c>
      <c r="BI215" s="378">
        <v>12755</v>
      </c>
      <c r="BJ215" s="252">
        <v>0</v>
      </c>
      <c r="BK215" s="253">
        <v>0</v>
      </c>
      <c r="BL215" s="379"/>
      <c r="BM215" s="379"/>
      <c r="BN215" s="252">
        <v>11</v>
      </c>
      <c r="BO215" s="253">
        <v>1630</v>
      </c>
      <c r="BP215" s="380">
        <v>7</v>
      </c>
      <c r="BQ215" s="380">
        <v>1684</v>
      </c>
      <c r="BR215" s="252">
        <v>28</v>
      </c>
      <c r="BS215" s="253">
        <v>9240</v>
      </c>
      <c r="BT215" s="381">
        <v>19</v>
      </c>
      <c r="BU215" s="381">
        <v>6555</v>
      </c>
      <c r="BV215" s="252">
        <v>4</v>
      </c>
      <c r="BW215" s="253">
        <v>5699</v>
      </c>
      <c r="BX215" s="382">
        <v>2</v>
      </c>
      <c r="BY215" s="382">
        <v>6633</v>
      </c>
      <c r="BZ215" s="252">
        <v>0</v>
      </c>
      <c r="CA215" s="253">
        <v>0</v>
      </c>
      <c r="CB215" s="383"/>
      <c r="CC215" s="383"/>
      <c r="CD215" s="255">
        <f t="shared" si="44"/>
        <v>28</v>
      </c>
      <c r="CE215" s="256">
        <f t="shared" si="45"/>
        <v>473552</v>
      </c>
      <c r="CF215" s="257">
        <f t="shared" si="46"/>
        <v>19</v>
      </c>
      <c r="CG215" s="261">
        <f t="shared" si="47"/>
        <v>290145</v>
      </c>
    </row>
    <row r="216" spans="1:85" s="263" customFormat="1" ht="12.75" customHeight="1">
      <c r="A216" s="363" t="s">
        <v>206</v>
      </c>
      <c r="B216" s="364" t="s">
        <v>813</v>
      </c>
      <c r="C216" s="364"/>
      <c r="D216" s="365">
        <v>160038</v>
      </c>
      <c r="E216" s="366">
        <v>4</v>
      </c>
      <c r="F216" s="252">
        <v>268</v>
      </c>
      <c r="G216" s="253">
        <v>2293427</v>
      </c>
      <c r="H216" s="367">
        <v>262</v>
      </c>
      <c r="I216" s="367">
        <v>2077236</v>
      </c>
      <c r="J216" s="252">
        <v>216</v>
      </c>
      <c r="K216" s="253">
        <v>1301104</v>
      </c>
      <c r="L216" s="368">
        <v>209</v>
      </c>
      <c r="M216" s="368">
        <v>1153413</v>
      </c>
      <c r="N216" s="252">
        <v>0</v>
      </c>
      <c r="O216" s="253">
        <v>0</v>
      </c>
      <c r="P216" s="369">
        <v>0</v>
      </c>
      <c r="Q216" s="369">
        <v>0</v>
      </c>
      <c r="R216" s="252">
        <v>8</v>
      </c>
      <c r="S216" s="253">
        <v>21818</v>
      </c>
      <c r="T216" s="370">
        <v>12</v>
      </c>
      <c r="U216" s="370">
        <v>30218</v>
      </c>
      <c r="V216" s="252">
        <v>0</v>
      </c>
      <c r="W216" s="253">
        <v>0</v>
      </c>
      <c r="X216" s="369">
        <v>0</v>
      </c>
      <c r="Y216" s="369">
        <v>0</v>
      </c>
      <c r="Z216" s="252">
        <v>65</v>
      </c>
      <c r="AA216" s="253">
        <v>14766</v>
      </c>
      <c r="AB216" s="371">
        <v>71</v>
      </c>
      <c r="AC216" s="371">
        <v>14943</v>
      </c>
      <c r="AD216" s="252">
        <v>0</v>
      </c>
      <c r="AE216" s="253">
        <v>0</v>
      </c>
      <c r="AF216" s="372">
        <v>0</v>
      </c>
      <c r="AG216" s="372">
        <v>0</v>
      </c>
      <c r="AH216" s="252">
        <v>0</v>
      </c>
      <c r="AI216" s="253">
        <v>0</v>
      </c>
      <c r="AJ216" s="373">
        <v>0</v>
      </c>
      <c r="AK216" s="373">
        <v>0</v>
      </c>
      <c r="AL216" s="252">
        <v>0</v>
      </c>
      <c r="AM216" s="253">
        <v>0</v>
      </c>
      <c r="AN216" s="374">
        <v>0</v>
      </c>
      <c r="AO216" s="374">
        <v>0</v>
      </c>
      <c r="AP216" s="255">
        <f t="shared" si="40"/>
        <v>268</v>
      </c>
      <c r="AQ216" s="256">
        <f t="shared" si="41"/>
        <v>3631115</v>
      </c>
      <c r="AR216" s="257">
        <f t="shared" si="42"/>
        <v>262</v>
      </c>
      <c r="AS216" s="258">
        <f t="shared" si="43"/>
        <v>3275810</v>
      </c>
      <c r="AT216" s="259">
        <v>44</v>
      </c>
      <c r="AU216" s="253">
        <v>523539</v>
      </c>
      <c r="AV216" s="375">
        <v>30</v>
      </c>
      <c r="AW216" s="375">
        <v>330372</v>
      </c>
      <c r="AX216" s="252">
        <v>42</v>
      </c>
      <c r="AY216" s="253">
        <v>266365</v>
      </c>
      <c r="AZ216" s="376">
        <v>27</v>
      </c>
      <c r="BA216" s="376">
        <v>171764</v>
      </c>
      <c r="BB216" s="252">
        <v>0</v>
      </c>
      <c r="BC216" s="253">
        <v>0</v>
      </c>
      <c r="BD216" s="377"/>
      <c r="BE216" s="377"/>
      <c r="BF216" s="252">
        <v>0</v>
      </c>
      <c r="BG216" s="253">
        <v>0</v>
      </c>
      <c r="BH216" s="378">
        <v>0</v>
      </c>
      <c r="BI216" s="378">
        <v>0</v>
      </c>
      <c r="BJ216" s="252">
        <v>0</v>
      </c>
      <c r="BK216" s="253">
        <v>0</v>
      </c>
      <c r="BL216" s="379"/>
      <c r="BM216" s="379"/>
      <c r="BN216" s="252">
        <v>10</v>
      </c>
      <c r="BO216" s="253">
        <v>1776</v>
      </c>
      <c r="BP216" s="380">
        <v>8</v>
      </c>
      <c r="BQ216" s="380">
        <v>1711</v>
      </c>
      <c r="BR216" s="252">
        <v>0</v>
      </c>
      <c r="BS216" s="253">
        <v>0</v>
      </c>
      <c r="BT216" s="381">
        <v>0</v>
      </c>
      <c r="BU216" s="381">
        <v>0</v>
      </c>
      <c r="BV216" s="252">
        <v>0</v>
      </c>
      <c r="BW216" s="253">
        <v>0</v>
      </c>
      <c r="BX216" s="382">
        <v>0</v>
      </c>
      <c r="BY216" s="382">
        <v>0</v>
      </c>
      <c r="BZ216" s="252">
        <v>0</v>
      </c>
      <c r="CA216" s="253">
        <v>0</v>
      </c>
      <c r="CB216" s="383"/>
      <c r="CC216" s="383"/>
      <c r="CD216" s="255">
        <f t="shared" si="44"/>
        <v>44</v>
      </c>
      <c r="CE216" s="256">
        <f t="shared" si="45"/>
        <v>791680</v>
      </c>
      <c r="CF216" s="257">
        <f t="shared" si="46"/>
        <v>30</v>
      </c>
      <c r="CG216" s="261">
        <f t="shared" si="47"/>
        <v>503847</v>
      </c>
    </row>
    <row r="217" spans="1:85" s="263" customFormat="1" ht="12.75" customHeight="1">
      <c r="A217" s="363" t="s">
        <v>206</v>
      </c>
      <c r="B217" s="386" t="s">
        <v>814</v>
      </c>
      <c r="C217" s="498" t="s">
        <v>1232</v>
      </c>
      <c r="D217" s="387">
        <v>160630</v>
      </c>
      <c r="E217" s="388">
        <v>4</v>
      </c>
      <c r="F217" s="252">
        <v>86</v>
      </c>
      <c r="G217" s="253">
        <v>560204</v>
      </c>
      <c r="H217" s="367">
        <v>69</v>
      </c>
      <c r="I217" s="367">
        <v>572000</v>
      </c>
      <c r="J217" s="252">
        <v>53</v>
      </c>
      <c r="K217" s="253">
        <v>304644</v>
      </c>
      <c r="L217" s="368">
        <v>60</v>
      </c>
      <c r="M217" s="368">
        <v>27291</v>
      </c>
      <c r="N217" s="252">
        <v>0</v>
      </c>
      <c r="O217" s="253">
        <v>0</v>
      </c>
      <c r="P217" s="369">
        <v>0</v>
      </c>
      <c r="Q217" s="369">
        <v>0</v>
      </c>
      <c r="R217" s="252">
        <v>0</v>
      </c>
      <c r="S217" s="253">
        <v>0</v>
      </c>
      <c r="T217" s="370">
        <v>0</v>
      </c>
      <c r="U217" s="370">
        <v>0</v>
      </c>
      <c r="V217" s="252">
        <v>0</v>
      </c>
      <c r="W217" s="253">
        <v>0</v>
      </c>
      <c r="X217" s="369">
        <v>0</v>
      </c>
      <c r="Y217" s="369">
        <v>0</v>
      </c>
      <c r="Z217" s="252">
        <v>12</v>
      </c>
      <c r="AA217" s="253">
        <v>252</v>
      </c>
      <c r="AB217" s="371">
        <v>21</v>
      </c>
      <c r="AC217" s="371">
        <v>435</v>
      </c>
      <c r="AD217" s="252">
        <v>0</v>
      </c>
      <c r="AE217" s="253">
        <v>0</v>
      </c>
      <c r="AF217" s="372">
        <v>0</v>
      </c>
      <c r="AG217" s="372">
        <v>0</v>
      </c>
      <c r="AH217" s="252">
        <v>0</v>
      </c>
      <c r="AI217" s="253">
        <v>0</v>
      </c>
      <c r="AJ217" s="373">
        <v>0</v>
      </c>
      <c r="AK217" s="373">
        <v>0</v>
      </c>
      <c r="AL217" s="252">
        <v>0</v>
      </c>
      <c r="AM217" s="253">
        <v>0</v>
      </c>
      <c r="AN217" s="374">
        <v>0</v>
      </c>
      <c r="AO217" s="374">
        <v>0</v>
      </c>
      <c r="AP217" s="255">
        <f t="shared" si="40"/>
        <v>86</v>
      </c>
      <c r="AQ217" s="256">
        <f t="shared" si="41"/>
        <v>865100</v>
      </c>
      <c r="AR217" s="257">
        <f t="shared" si="42"/>
        <v>69</v>
      </c>
      <c r="AS217" s="258">
        <f t="shared" si="43"/>
        <v>599726</v>
      </c>
      <c r="AT217" s="259">
        <v>11</v>
      </c>
      <c r="AU217" s="253">
        <v>71654</v>
      </c>
      <c r="AV217" s="375">
        <v>0</v>
      </c>
      <c r="AW217" s="375">
        <v>0</v>
      </c>
      <c r="AX217" s="252">
        <v>6</v>
      </c>
      <c r="AY217" s="253">
        <v>34489</v>
      </c>
      <c r="AZ217" s="376">
        <v>0</v>
      </c>
      <c r="BA217" s="376">
        <v>0</v>
      </c>
      <c r="BB217" s="252">
        <v>0</v>
      </c>
      <c r="BC217" s="253">
        <v>0</v>
      </c>
      <c r="BD217" s="377"/>
      <c r="BE217" s="377"/>
      <c r="BF217" s="252">
        <v>0</v>
      </c>
      <c r="BG217" s="253">
        <v>0</v>
      </c>
      <c r="BH217" s="378">
        <v>0</v>
      </c>
      <c r="BI217" s="378">
        <v>0</v>
      </c>
      <c r="BJ217" s="252">
        <v>0</v>
      </c>
      <c r="BK217" s="253">
        <v>0</v>
      </c>
      <c r="BL217" s="379"/>
      <c r="BM217" s="379"/>
      <c r="BN217" s="252">
        <v>2</v>
      </c>
      <c r="BO217" s="253">
        <v>42</v>
      </c>
      <c r="BP217" s="380">
        <v>0</v>
      </c>
      <c r="BQ217" s="380">
        <v>0</v>
      </c>
      <c r="BR217" s="252">
        <v>0</v>
      </c>
      <c r="BS217" s="253">
        <v>0</v>
      </c>
      <c r="BT217" s="381">
        <v>0</v>
      </c>
      <c r="BU217" s="381">
        <v>0</v>
      </c>
      <c r="BV217" s="252">
        <v>0</v>
      </c>
      <c r="BW217" s="253">
        <v>0</v>
      </c>
      <c r="BX217" s="382">
        <v>0</v>
      </c>
      <c r="BY217" s="382">
        <v>0</v>
      </c>
      <c r="BZ217" s="252">
        <v>0</v>
      </c>
      <c r="CA217" s="253">
        <v>0</v>
      </c>
      <c r="CB217" s="383"/>
      <c r="CC217" s="383"/>
      <c r="CD217" s="255">
        <f t="shared" si="44"/>
        <v>11</v>
      </c>
      <c r="CE217" s="256">
        <f t="shared" si="45"/>
        <v>106185</v>
      </c>
      <c r="CF217" s="257">
        <f t="shared" si="46"/>
        <v>0</v>
      </c>
      <c r="CG217" s="261">
        <f t="shared" si="47"/>
        <v>0</v>
      </c>
    </row>
    <row r="218" spans="1:85" s="263" customFormat="1" ht="12.75" customHeight="1">
      <c r="A218" s="363" t="s">
        <v>206</v>
      </c>
      <c r="B218" s="386" t="s">
        <v>815</v>
      </c>
      <c r="C218" s="498" t="s">
        <v>1233</v>
      </c>
      <c r="D218" s="387">
        <v>159382</v>
      </c>
      <c r="E218" s="388">
        <v>7</v>
      </c>
      <c r="F218" s="252">
        <v>91</v>
      </c>
      <c r="G218" s="253">
        <v>561173</v>
      </c>
      <c r="H218" s="367">
        <v>88</v>
      </c>
      <c r="I218" s="367">
        <v>612729</v>
      </c>
      <c r="J218" s="252">
        <v>74</v>
      </c>
      <c r="K218" s="253">
        <v>405185</v>
      </c>
      <c r="L218" s="368">
        <v>74</v>
      </c>
      <c r="M218" s="368">
        <v>427416</v>
      </c>
      <c r="N218" s="252">
        <v>0</v>
      </c>
      <c r="O218" s="253">
        <v>0</v>
      </c>
      <c r="P218" s="369">
        <v>0</v>
      </c>
      <c r="Q218" s="369">
        <v>0</v>
      </c>
      <c r="R218" s="252">
        <v>94</v>
      </c>
      <c r="S218" s="253">
        <v>58712</v>
      </c>
      <c r="T218" s="370">
        <v>82</v>
      </c>
      <c r="U218" s="370">
        <v>55011</v>
      </c>
      <c r="V218" s="252">
        <v>0</v>
      </c>
      <c r="W218" s="253">
        <v>0</v>
      </c>
      <c r="X218" s="369">
        <v>0</v>
      </c>
      <c r="Y218" s="369">
        <v>0</v>
      </c>
      <c r="Z218" s="252">
        <v>22</v>
      </c>
      <c r="AA218" s="253">
        <v>6266</v>
      </c>
      <c r="AB218" s="371">
        <v>21</v>
      </c>
      <c r="AC218" s="371">
        <v>3296</v>
      </c>
      <c r="AD218" s="252">
        <v>0</v>
      </c>
      <c r="AE218" s="253">
        <v>0</v>
      </c>
      <c r="AF218" s="372">
        <v>0</v>
      </c>
      <c r="AG218" s="372">
        <v>0</v>
      </c>
      <c r="AH218" s="252">
        <v>0</v>
      </c>
      <c r="AI218" s="253">
        <v>0</v>
      </c>
      <c r="AJ218" s="373">
        <v>0</v>
      </c>
      <c r="AK218" s="373">
        <v>0</v>
      </c>
      <c r="AL218" s="252">
        <v>0</v>
      </c>
      <c r="AM218" s="253">
        <v>0</v>
      </c>
      <c r="AN218" s="374">
        <v>0</v>
      </c>
      <c r="AO218" s="374">
        <v>0</v>
      </c>
      <c r="AP218" s="255">
        <f t="shared" si="40"/>
        <v>94</v>
      </c>
      <c r="AQ218" s="256">
        <f t="shared" si="41"/>
        <v>1031336</v>
      </c>
      <c r="AR218" s="257">
        <f t="shared" si="42"/>
        <v>88</v>
      </c>
      <c r="AS218" s="258">
        <f t="shared" si="43"/>
        <v>1098452</v>
      </c>
      <c r="AT218" s="259">
        <v>14</v>
      </c>
      <c r="AU218" s="253">
        <v>117565</v>
      </c>
      <c r="AV218" s="375">
        <v>14</v>
      </c>
      <c r="AW218" s="375">
        <v>135477</v>
      </c>
      <c r="AX218" s="252">
        <v>13</v>
      </c>
      <c r="AY218" s="253">
        <v>71181</v>
      </c>
      <c r="AZ218" s="376">
        <v>13</v>
      </c>
      <c r="BA218" s="376">
        <v>69866</v>
      </c>
      <c r="BB218" s="252">
        <v>0</v>
      </c>
      <c r="BC218" s="253">
        <v>0</v>
      </c>
      <c r="BD218" s="377"/>
      <c r="BE218" s="377"/>
      <c r="BF218" s="252">
        <v>14</v>
      </c>
      <c r="BG218" s="253">
        <v>11892</v>
      </c>
      <c r="BH218" s="378">
        <v>7</v>
      </c>
      <c r="BI218" s="378">
        <v>11342</v>
      </c>
      <c r="BJ218" s="252">
        <v>0</v>
      </c>
      <c r="BK218" s="253">
        <v>0</v>
      </c>
      <c r="BL218" s="379"/>
      <c r="BM218" s="379"/>
      <c r="BN218" s="252">
        <v>5</v>
      </c>
      <c r="BO218" s="253">
        <v>1424</v>
      </c>
      <c r="BP218" s="380">
        <v>5</v>
      </c>
      <c r="BQ218" s="380">
        <v>1132</v>
      </c>
      <c r="BR218" s="252">
        <v>0</v>
      </c>
      <c r="BS218" s="253">
        <v>0</v>
      </c>
      <c r="BT218" s="381">
        <v>0</v>
      </c>
      <c r="BU218" s="381">
        <v>0</v>
      </c>
      <c r="BV218" s="252">
        <v>0</v>
      </c>
      <c r="BW218" s="253">
        <v>0</v>
      </c>
      <c r="BX218" s="382">
        <v>0</v>
      </c>
      <c r="BY218" s="382">
        <v>0</v>
      </c>
      <c r="BZ218" s="252">
        <v>0</v>
      </c>
      <c r="CA218" s="253">
        <v>0</v>
      </c>
      <c r="CB218" s="383"/>
      <c r="CC218" s="383"/>
      <c r="CD218" s="255">
        <f t="shared" si="44"/>
        <v>14</v>
      </c>
      <c r="CE218" s="256">
        <f t="shared" si="45"/>
        <v>202062</v>
      </c>
      <c r="CF218" s="257">
        <f t="shared" si="46"/>
        <v>14</v>
      </c>
      <c r="CG218" s="261">
        <f t="shared" si="47"/>
        <v>217817</v>
      </c>
    </row>
    <row r="219" spans="1:85" s="263" customFormat="1" ht="12.75" customHeight="1">
      <c r="A219" s="363" t="s">
        <v>206</v>
      </c>
      <c r="B219" s="392" t="s">
        <v>816</v>
      </c>
      <c r="C219" s="501" t="s">
        <v>1235</v>
      </c>
      <c r="D219" s="387">
        <v>158662</v>
      </c>
      <c r="E219" s="388">
        <v>8</v>
      </c>
      <c r="F219" s="252">
        <v>405</v>
      </c>
      <c r="G219" s="253">
        <v>2793965</v>
      </c>
      <c r="H219" s="367">
        <v>353</v>
      </c>
      <c r="I219" s="367">
        <v>2585605</v>
      </c>
      <c r="J219" s="252">
        <v>320</v>
      </c>
      <c r="K219" s="253">
        <v>1212265</v>
      </c>
      <c r="L219" s="368">
        <v>291</v>
      </c>
      <c r="M219" s="368">
        <v>781326</v>
      </c>
      <c r="N219" s="252">
        <v>0</v>
      </c>
      <c r="O219" s="253">
        <v>0</v>
      </c>
      <c r="P219" s="369">
        <v>0</v>
      </c>
      <c r="Q219" s="369">
        <v>0</v>
      </c>
      <c r="R219" s="252">
        <v>409</v>
      </c>
      <c r="S219" s="253">
        <v>265543</v>
      </c>
      <c r="T219" s="370">
        <v>332</v>
      </c>
      <c r="U219" s="370">
        <v>209431</v>
      </c>
      <c r="V219" s="252">
        <v>0</v>
      </c>
      <c r="W219" s="253">
        <v>0</v>
      </c>
      <c r="X219" s="369">
        <v>0</v>
      </c>
      <c r="Y219" s="369">
        <v>0</v>
      </c>
      <c r="Z219" s="252">
        <v>89</v>
      </c>
      <c r="AA219" s="253">
        <v>10519</v>
      </c>
      <c r="AB219" s="371">
        <v>120</v>
      </c>
      <c r="AC219" s="371">
        <v>11529</v>
      </c>
      <c r="AD219" s="252">
        <v>0</v>
      </c>
      <c r="AE219" s="253">
        <v>0</v>
      </c>
      <c r="AF219" s="372">
        <v>0</v>
      </c>
      <c r="AG219" s="372">
        <v>0</v>
      </c>
      <c r="AH219" s="252">
        <v>0</v>
      </c>
      <c r="AI219" s="253">
        <v>0</v>
      </c>
      <c r="AJ219" s="373">
        <v>0</v>
      </c>
      <c r="AK219" s="373">
        <v>0</v>
      </c>
      <c r="AL219" s="252">
        <v>0</v>
      </c>
      <c r="AM219" s="253">
        <v>0</v>
      </c>
      <c r="AN219" s="374">
        <v>0</v>
      </c>
      <c r="AO219" s="374">
        <v>0</v>
      </c>
      <c r="AP219" s="255">
        <f t="shared" si="40"/>
        <v>409</v>
      </c>
      <c r="AQ219" s="256">
        <f t="shared" si="41"/>
        <v>4282292</v>
      </c>
      <c r="AR219" s="257">
        <f t="shared" si="42"/>
        <v>353</v>
      </c>
      <c r="AS219" s="258">
        <f t="shared" si="43"/>
        <v>3587891</v>
      </c>
      <c r="AT219" s="259">
        <v>18</v>
      </c>
      <c r="AU219" s="253">
        <v>144157</v>
      </c>
      <c r="AV219" s="375">
        <v>24</v>
      </c>
      <c r="AW219" s="375">
        <v>208043</v>
      </c>
      <c r="AX219" s="252">
        <v>19</v>
      </c>
      <c r="AY219" s="253">
        <v>79949</v>
      </c>
      <c r="AZ219" s="376">
        <v>26</v>
      </c>
      <c r="BA219" s="376">
        <v>72756</v>
      </c>
      <c r="BB219" s="252">
        <v>0</v>
      </c>
      <c r="BC219" s="253">
        <v>0</v>
      </c>
      <c r="BD219" s="377"/>
      <c r="BE219" s="377"/>
      <c r="BF219" s="252">
        <v>19</v>
      </c>
      <c r="BG219" s="253">
        <v>15152</v>
      </c>
      <c r="BH219" s="378">
        <v>25</v>
      </c>
      <c r="BI219" s="378">
        <v>16644</v>
      </c>
      <c r="BJ219" s="252">
        <v>0</v>
      </c>
      <c r="BK219" s="253">
        <v>0</v>
      </c>
      <c r="BL219" s="379"/>
      <c r="BM219" s="379"/>
      <c r="BN219" s="252">
        <v>5</v>
      </c>
      <c r="BO219" s="253">
        <v>343</v>
      </c>
      <c r="BP219" s="380">
        <v>9</v>
      </c>
      <c r="BQ219" s="380">
        <v>689</v>
      </c>
      <c r="BR219" s="252">
        <v>0</v>
      </c>
      <c r="BS219" s="253">
        <v>0</v>
      </c>
      <c r="BT219" s="381">
        <v>0</v>
      </c>
      <c r="BU219" s="381">
        <v>0</v>
      </c>
      <c r="BV219" s="252">
        <v>0</v>
      </c>
      <c r="BW219" s="253">
        <v>0</v>
      </c>
      <c r="BX219" s="382">
        <v>0</v>
      </c>
      <c r="BY219" s="382">
        <v>0</v>
      </c>
      <c r="BZ219" s="252">
        <v>0</v>
      </c>
      <c r="CA219" s="253">
        <v>0</v>
      </c>
      <c r="CB219" s="383"/>
      <c r="CC219" s="383"/>
      <c r="CD219" s="255">
        <f t="shared" si="44"/>
        <v>19</v>
      </c>
      <c r="CE219" s="256">
        <f t="shared" si="45"/>
        <v>239601</v>
      </c>
      <c r="CF219" s="257">
        <f t="shared" si="46"/>
        <v>26</v>
      </c>
      <c r="CG219" s="261">
        <f t="shared" si="47"/>
        <v>298132</v>
      </c>
    </row>
    <row r="220" spans="1:85" s="263" customFormat="1" ht="12.75" customHeight="1">
      <c r="A220" s="363" t="s">
        <v>206</v>
      </c>
      <c r="B220" s="499" t="s">
        <v>817</v>
      </c>
      <c r="C220" s="500" t="s">
        <v>1234</v>
      </c>
      <c r="D220" s="387">
        <v>437103</v>
      </c>
      <c r="E220" s="388">
        <v>8</v>
      </c>
      <c r="F220" s="252">
        <v>96</v>
      </c>
      <c r="G220" s="253">
        <v>565856</v>
      </c>
      <c r="H220" s="367">
        <v>87</v>
      </c>
      <c r="I220" s="367">
        <v>507075</v>
      </c>
      <c r="J220" s="252">
        <v>110</v>
      </c>
      <c r="K220" s="253">
        <v>441108</v>
      </c>
      <c r="L220" s="368">
        <v>72</v>
      </c>
      <c r="M220" s="368">
        <v>230400</v>
      </c>
      <c r="N220" s="252">
        <v>0</v>
      </c>
      <c r="O220" s="253">
        <v>0</v>
      </c>
      <c r="P220" s="369">
        <v>0</v>
      </c>
      <c r="Q220" s="369">
        <v>0</v>
      </c>
      <c r="R220" s="252">
        <v>0</v>
      </c>
      <c r="S220" s="253">
        <v>0</v>
      </c>
      <c r="T220" s="370">
        <v>0</v>
      </c>
      <c r="U220" s="370">
        <v>0</v>
      </c>
      <c r="V220" s="252">
        <v>0</v>
      </c>
      <c r="W220" s="253">
        <v>0</v>
      </c>
      <c r="X220" s="369">
        <v>0</v>
      </c>
      <c r="Y220" s="369">
        <v>0</v>
      </c>
      <c r="Z220" s="252">
        <v>86</v>
      </c>
      <c r="AA220" s="253">
        <v>7472</v>
      </c>
      <c r="AB220" s="371">
        <v>24</v>
      </c>
      <c r="AC220" s="371">
        <v>3850</v>
      </c>
      <c r="AD220" s="252">
        <v>0</v>
      </c>
      <c r="AE220" s="253">
        <v>0</v>
      </c>
      <c r="AF220" s="372">
        <v>0</v>
      </c>
      <c r="AG220" s="372">
        <v>0</v>
      </c>
      <c r="AH220" s="252">
        <v>0</v>
      </c>
      <c r="AI220" s="253">
        <v>0</v>
      </c>
      <c r="AJ220" s="373">
        <v>0</v>
      </c>
      <c r="AK220" s="373">
        <v>0</v>
      </c>
      <c r="AL220" s="252">
        <v>0</v>
      </c>
      <c r="AM220" s="253">
        <v>0</v>
      </c>
      <c r="AN220" s="374">
        <v>0</v>
      </c>
      <c r="AO220" s="374">
        <v>0</v>
      </c>
      <c r="AP220" s="255">
        <f t="shared" si="40"/>
        <v>110</v>
      </c>
      <c r="AQ220" s="256">
        <f t="shared" si="41"/>
        <v>1014436</v>
      </c>
      <c r="AR220" s="257">
        <f t="shared" si="42"/>
        <v>87</v>
      </c>
      <c r="AS220" s="258">
        <f t="shared" si="43"/>
        <v>741325</v>
      </c>
      <c r="AT220" s="259"/>
      <c r="AU220" s="253"/>
      <c r="AV220" s="375">
        <v>0</v>
      </c>
      <c r="AW220" s="375">
        <v>0</v>
      </c>
      <c r="AX220" s="252"/>
      <c r="AY220" s="253"/>
      <c r="AZ220" s="376">
        <v>0</v>
      </c>
      <c r="BA220" s="376">
        <v>0</v>
      </c>
      <c r="BB220" s="252"/>
      <c r="BC220" s="253"/>
      <c r="BD220" s="377"/>
      <c r="BE220" s="377"/>
      <c r="BF220" s="252"/>
      <c r="BG220" s="253"/>
      <c r="BH220" s="378">
        <v>0</v>
      </c>
      <c r="BI220" s="378">
        <v>0</v>
      </c>
      <c r="BJ220" s="252"/>
      <c r="BK220" s="253"/>
      <c r="BL220" s="379"/>
      <c r="BM220" s="379"/>
      <c r="BN220" s="252"/>
      <c r="BO220" s="253"/>
      <c r="BP220" s="380"/>
      <c r="BQ220" s="380"/>
      <c r="BR220" s="252"/>
      <c r="BS220" s="253"/>
      <c r="BT220" s="381">
        <v>0</v>
      </c>
      <c r="BU220" s="381">
        <v>0</v>
      </c>
      <c r="BV220" s="252"/>
      <c r="BW220" s="253"/>
      <c r="BX220" s="382">
        <v>0</v>
      </c>
      <c r="BY220" s="382">
        <v>0</v>
      </c>
      <c r="BZ220" s="252"/>
      <c r="CA220" s="253"/>
      <c r="CB220" s="383"/>
      <c r="CC220" s="383"/>
      <c r="CD220" s="255">
        <f t="shared" si="44"/>
        <v>0</v>
      </c>
      <c r="CE220" s="256">
        <f t="shared" si="45"/>
        <v>0</v>
      </c>
      <c r="CF220" s="257">
        <f t="shared" si="46"/>
        <v>0</v>
      </c>
      <c r="CG220" s="261">
        <f t="shared" si="47"/>
        <v>0</v>
      </c>
    </row>
    <row r="221" spans="1:85" s="263" customFormat="1" ht="12.75" customHeight="1">
      <c r="A221" s="363" t="s">
        <v>206</v>
      </c>
      <c r="B221" s="386" t="s">
        <v>818</v>
      </c>
      <c r="C221" s="502" t="s">
        <v>1188</v>
      </c>
      <c r="D221" s="387">
        <v>158431</v>
      </c>
      <c r="E221" s="388">
        <v>9</v>
      </c>
      <c r="F221" s="252">
        <v>115</v>
      </c>
      <c r="G221" s="253">
        <v>727809</v>
      </c>
      <c r="H221" s="367">
        <v>105</v>
      </c>
      <c r="I221" s="367">
        <v>618117</v>
      </c>
      <c r="J221" s="252">
        <v>71</v>
      </c>
      <c r="K221" s="253">
        <v>318103</v>
      </c>
      <c r="L221" s="368">
        <v>61</v>
      </c>
      <c r="M221" s="368">
        <v>259986</v>
      </c>
      <c r="N221" s="252">
        <v>0</v>
      </c>
      <c r="O221" s="253">
        <v>0</v>
      </c>
      <c r="P221" s="369">
        <v>0</v>
      </c>
      <c r="Q221" s="369">
        <v>0</v>
      </c>
      <c r="R221" s="252">
        <v>0</v>
      </c>
      <c r="S221" s="253">
        <v>0</v>
      </c>
      <c r="T221" s="370">
        <v>0</v>
      </c>
      <c r="U221" s="370">
        <v>0</v>
      </c>
      <c r="V221" s="252">
        <v>0</v>
      </c>
      <c r="W221" s="253">
        <v>0</v>
      </c>
      <c r="X221" s="369">
        <v>0</v>
      </c>
      <c r="Y221" s="369">
        <v>0</v>
      </c>
      <c r="Z221" s="252">
        <v>47</v>
      </c>
      <c r="AA221" s="253">
        <v>8730</v>
      </c>
      <c r="AB221" s="371">
        <v>43</v>
      </c>
      <c r="AC221" s="371">
        <v>6347</v>
      </c>
      <c r="AD221" s="252">
        <v>0</v>
      </c>
      <c r="AE221" s="253">
        <v>0</v>
      </c>
      <c r="AF221" s="372">
        <v>0</v>
      </c>
      <c r="AG221" s="372">
        <v>0</v>
      </c>
      <c r="AH221" s="252">
        <v>4</v>
      </c>
      <c r="AI221" s="253">
        <v>1939</v>
      </c>
      <c r="AJ221" s="373">
        <v>2</v>
      </c>
      <c r="AK221" s="373">
        <v>702</v>
      </c>
      <c r="AL221" s="252">
        <v>0</v>
      </c>
      <c r="AM221" s="253">
        <v>0</v>
      </c>
      <c r="AN221" s="374">
        <v>0</v>
      </c>
      <c r="AO221" s="374">
        <v>0</v>
      </c>
      <c r="AP221" s="255">
        <f t="shared" si="40"/>
        <v>115</v>
      </c>
      <c r="AQ221" s="256">
        <f t="shared" si="41"/>
        <v>1056581</v>
      </c>
      <c r="AR221" s="257">
        <f t="shared" si="42"/>
        <v>105</v>
      </c>
      <c r="AS221" s="258">
        <f t="shared" si="43"/>
        <v>885152</v>
      </c>
      <c r="AT221" s="259"/>
      <c r="AU221" s="253"/>
      <c r="AV221" s="375">
        <v>3</v>
      </c>
      <c r="AW221" s="375">
        <v>16719</v>
      </c>
      <c r="AX221" s="252"/>
      <c r="AY221" s="253"/>
      <c r="AZ221" s="376">
        <v>2</v>
      </c>
      <c r="BA221" s="376">
        <v>5623</v>
      </c>
      <c r="BB221" s="252"/>
      <c r="BC221" s="253"/>
      <c r="BD221" s="377"/>
      <c r="BE221" s="377"/>
      <c r="BF221" s="252"/>
      <c r="BG221" s="253"/>
      <c r="BH221" s="378">
        <v>0</v>
      </c>
      <c r="BI221" s="378">
        <v>0</v>
      </c>
      <c r="BJ221" s="252"/>
      <c r="BK221" s="253"/>
      <c r="BL221" s="379"/>
      <c r="BM221" s="379"/>
      <c r="BN221" s="252"/>
      <c r="BO221" s="253"/>
      <c r="BP221" s="380"/>
      <c r="BQ221" s="380"/>
      <c r="BR221" s="252"/>
      <c r="BS221" s="253"/>
      <c r="BT221" s="381">
        <v>0</v>
      </c>
      <c r="BU221" s="381">
        <v>0</v>
      </c>
      <c r="BV221" s="252"/>
      <c r="BW221" s="253"/>
      <c r="BX221" s="382">
        <v>0</v>
      </c>
      <c r="BY221" s="382">
        <v>0</v>
      </c>
      <c r="BZ221" s="252"/>
      <c r="CA221" s="253"/>
      <c r="CB221" s="383"/>
      <c r="CC221" s="383"/>
      <c r="CD221" s="255">
        <f t="shared" si="44"/>
        <v>0</v>
      </c>
      <c r="CE221" s="256">
        <f t="shared" si="45"/>
        <v>0</v>
      </c>
      <c r="CF221" s="257">
        <f t="shared" si="46"/>
        <v>3</v>
      </c>
      <c r="CG221" s="261">
        <f t="shared" si="47"/>
        <v>22342</v>
      </c>
    </row>
    <row r="222" spans="1:85" s="263" customFormat="1" ht="12.75" customHeight="1">
      <c r="A222" s="363" t="s">
        <v>206</v>
      </c>
      <c r="B222" s="386" t="s">
        <v>819</v>
      </c>
      <c r="C222" s="502"/>
      <c r="D222" s="387">
        <v>159407</v>
      </c>
      <c r="E222" s="388">
        <v>9</v>
      </c>
      <c r="F222" s="252">
        <v>56</v>
      </c>
      <c r="G222" s="253">
        <v>440118</v>
      </c>
      <c r="H222" s="367">
        <v>61</v>
      </c>
      <c r="I222" s="367">
        <v>414450</v>
      </c>
      <c r="J222" s="252">
        <v>53</v>
      </c>
      <c r="K222" s="253">
        <v>285386</v>
      </c>
      <c r="L222" s="368">
        <v>50</v>
      </c>
      <c r="M222" s="368">
        <v>279984</v>
      </c>
      <c r="N222" s="252">
        <v>0</v>
      </c>
      <c r="O222" s="253">
        <v>0</v>
      </c>
      <c r="P222" s="369">
        <v>0</v>
      </c>
      <c r="Q222" s="369">
        <v>0</v>
      </c>
      <c r="R222" s="252">
        <v>51</v>
      </c>
      <c r="S222" s="253">
        <v>33205</v>
      </c>
      <c r="T222" s="370">
        <v>53</v>
      </c>
      <c r="U222" s="370">
        <v>31454</v>
      </c>
      <c r="V222" s="252">
        <v>0</v>
      </c>
      <c r="W222" s="253">
        <v>0</v>
      </c>
      <c r="X222" s="369">
        <v>0</v>
      </c>
      <c r="Y222" s="369">
        <v>0</v>
      </c>
      <c r="Z222" s="252">
        <v>7</v>
      </c>
      <c r="AA222" s="253">
        <v>1604</v>
      </c>
      <c r="AB222" s="371">
        <v>10</v>
      </c>
      <c r="AC222" s="371">
        <v>2721</v>
      </c>
      <c r="AD222" s="252">
        <v>57</v>
      </c>
      <c r="AE222" s="253">
        <v>21630</v>
      </c>
      <c r="AF222" s="372">
        <v>61</v>
      </c>
      <c r="AG222" s="372">
        <v>18094</v>
      </c>
      <c r="AH222" s="252">
        <v>0</v>
      </c>
      <c r="AI222" s="253">
        <v>0</v>
      </c>
      <c r="AJ222" s="373">
        <v>0</v>
      </c>
      <c r="AK222" s="373">
        <v>0</v>
      </c>
      <c r="AL222" s="252">
        <v>0</v>
      </c>
      <c r="AM222" s="253">
        <v>0</v>
      </c>
      <c r="AN222" s="374">
        <v>0</v>
      </c>
      <c r="AO222" s="374">
        <v>0</v>
      </c>
      <c r="AP222" s="255">
        <f t="shared" si="40"/>
        <v>57</v>
      </c>
      <c r="AQ222" s="256">
        <f t="shared" si="41"/>
        <v>781943</v>
      </c>
      <c r="AR222" s="257">
        <f t="shared" si="42"/>
        <v>61</v>
      </c>
      <c r="AS222" s="258">
        <f t="shared" si="43"/>
        <v>746703</v>
      </c>
      <c r="AT222" s="259">
        <v>9</v>
      </c>
      <c r="AU222" s="253">
        <v>92124</v>
      </c>
      <c r="AV222" s="375">
        <v>8</v>
      </c>
      <c r="AW222" s="375">
        <v>78724</v>
      </c>
      <c r="AX222" s="252">
        <v>5</v>
      </c>
      <c r="AY222" s="253">
        <v>34401</v>
      </c>
      <c r="AZ222" s="376">
        <v>6</v>
      </c>
      <c r="BA222" s="376">
        <v>39676</v>
      </c>
      <c r="BB222" s="252">
        <v>0</v>
      </c>
      <c r="BC222" s="253">
        <v>0</v>
      </c>
      <c r="BD222" s="377"/>
      <c r="BE222" s="377"/>
      <c r="BF222" s="252">
        <v>9</v>
      </c>
      <c r="BG222" s="253">
        <v>8046</v>
      </c>
      <c r="BH222" s="378">
        <v>8</v>
      </c>
      <c r="BI222" s="378">
        <v>7365</v>
      </c>
      <c r="BJ222" s="252">
        <v>0</v>
      </c>
      <c r="BK222" s="253">
        <v>0</v>
      </c>
      <c r="BL222" s="379"/>
      <c r="BM222" s="379"/>
      <c r="BN222" s="252">
        <v>0</v>
      </c>
      <c r="BO222" s="253">
        <v>0</v>
      </c>
      <c r="BP222" s="380">
        <v>1</v>
      </c>
      <c r="BQ222" s="380">
        <v>276</v>
      </c>
      <c r="BR222" s="252">
        <v>9</v>
      </c>
      <c r="BS222" s="253">
        <v>3414</v>
      </c>
      <c r="BT222" s="381">
        <v>8</v>
      </c>
      <c r="BU222" s="381">
        <v>2353</v>
      </c>
      <c r="BV222" s="252">
        <v>0</v>
      </c>
      <c r="BW222" s="253">
        <v>0</v>
      </c>
      <c r="BX222" s="382">
        <v>0</v>
      </c>
      <c r="BY222" s="382">
        <v>0</v>
      </c>
      <c r="BZ222" s="252">
        <v>0</v>
      </c>
      <c r="CA222" s="253">
        <v>0</v>
      </c>
      <c r="CB222" s="383"/>
      <c r="CC222" s="383"/>
      <c r="CD222" s="255">
        <f t="shared" si="44"/>
        <v>9</v>
      </c>
      <c r="CE222" s="256">
        <f t="shared" si="45"/>
        <v>137985</v>
      </c>
      <c r="CF222" s="257">
        <f t="shared" si="46"/>
        <v>8</v>
      </c>
      <c r="CG222" s="261">
        <f t="shared" si="47"/>
        <v>128394</v>
      </c>
    </row>
    <row r="223" spans="1:85" s="263" customFormat="1" ht="12.75" customHeight="1">
      <c r="A223" s="363" t="s">
        <v>206</v>
      </c>
      <c r="B223" s="386" t="s">
        <v>820</v>
      </c>
      <c r="C223" s="502" t="s">
        <v>1237</v>
      </c>
      <c r="D223" s="387">
        <v>440624</v>
      </c>
      <c r="E223" s="388">
        <v>10</v>
      </c>
      <c r="F223" s="252">
        <v>34</v>
      </c>
      <c r="G223" s="253">
        <v>229982</v>
      </c>
      <c r="H223" s="367">
        <v>25</v>
      </c>
      <c r="I223" s="367">
        <v>148905</v>
      </c>
      <c r="J223" s="252">
        <v>26</v>
      </c>
      <c r="K223" s="253">
        <v>162942</v>
      </c>
      <c r="L223" s="368">
        <v>18</v>
      </c>
      <c r="M223" s="368">
        <v>115530</v>
      </c>
      <c r="N223" s="252">
        <v>0</v>
      </c>
      <c r="O223" s="253">
        <v>0</v>
      </c>
      <c r="P223" s="369">
        <v>0</v>
      </c>
      <c r="Q223" s="369">
        <v>0</v>
      </c>
      <c r="R223" s="252">
        <v>0</v>
      </c>
      <c r="S223" s="253">
        <v>0</v>
      </c>
      <c r="T223" s="370">
        <v>0</v>
      </c>
      <c r="U223" s="370">
        <v>0</v>
      </c>
      <c r="V223" s="252">
        <v>0</v>
      </c>
      <c r="W223" s="253">
        <v>0</v>
      </c>
      <c r="X223" s="369">
        <v>0</v>
      </c>
      <c r="Y223" s="369">
        <v>0</v>
      </c>
      <c r="Z223" s="252">
        <v>6</v>
      </c>
      <c r="AA223" s="253">
        <v>1674</v>
      </c>
      <c r="AB223" s="371">
        <v>6</v>
      </c>
      <c r="AC223" s="371">
        <v>1730</v>
      </c>
      <c r="AD223" s="252">
        <v>0</v>
      </c>
      <c r="AE223" s="253">
        <v>0</v>
      </c>
      <c r="AF223" s="372">
        <v>0</v>
      </c>
      <c r="AG223" s="372">
        <v>0</v>
      </c>
      <c r="AH223" s="252">
        <v>0</v>
      </c>
      <c r="AI223" s="253">
        <v>0</v>
      </c>
      <c r="AJ223" s="373">
        <v>0</v>
      </c>
      <c r="AK223" s="373">
        <v>0</v>
      </c>
      <c r="AL223" s="252">
        <v>0</v>
      </c>
      <c r="AM223" s="253">
        <v>0</v>
      </c>
      <c r="AN223" s="374">
        <v>0</v>
      </c>
      <c r="AO223" s="374">
        <v>0</v>
      </c>
      <c r="AP223" s="255">
        <f t="shared" si="40"/>
        <v>34</v>
      </c>
      <c r="AQ223" s="256">
        <f t="shared" si="41"/>
        <v>394598</v>
      </c>
      <c r="AR223" s="257">
        <f t="shared" si="42"/>
        <v>25</v>
      </c>
      <c r="AS223" s="258">
        <f t="shared" si="43"/>
        <v>266165</v>
      </c>
      <c r="AT223" s="259">
        <v>3</v>
      </c>
      <c r="AU223" s="253">
        <v>25185</v>
      </c>
      <c r="AV223" s="375">
        <v>0</v>
      </c>
      <c r="AW223" s="375">
        <v>0</v>
      </c>
      <c r="AX223" s="252">
        <v>2</v>
      </c>
      <c r="AY223" s="253">
        <v>9640</v>
      </c>
      <c r="AZ223" s="376">
        <v>0</v>
      </c>
      <c r="BA223" s="376">
        <v>0</v>
      </c>
      <c r="BB223" s="252">
        <v>0</v>
      </c>
      <c r="BC223" s="253">
        <v>0</v>
      </c>
      <c r="BD223" s="377"/>
      <c r="BE223" s="377"/>
      <c r="BF223" s="252">
        <v>0</v>
      </c>
      <c r="BG223" s="253">
        <v>0</v>
      </c>
      <c r="BH223" s="378">
        <v>0</v>
      </c>
      <c r="BI223" s="378">
        <v>0</v>
      </c>
      <c r="BJ223" s="252">
        <v>0</v>
      </c>
      <c r="BK223" s="253">
        <v>0</v>
      </c>
      <c r="BL223" s="379"/>
      <c r="BM223" s="379"/>
      <c r="BN223" s="252">
        <v>2</v>
      </c>
      <c r="BO223" s="253">
        <v>640</v>
      </c>
      <c r="BP223" s="380">
        <v>0</v>
      </c>
      <c r="BQ223" s="380">
        <v>0</v>
      </c>
      <c r="BR223" s="252">
        <v>0</v>
      </c>
      <c r="BS223" s="253">
        <v>0</v>
      </c>
      <c r="BT223" s="381">
        <v>0</v>
      </c>
      <c r="BU223" s="381">
        <v>0</v>
      </c>
      <c r="BV223" s="252">
        <v>0</v>
      </c>
      <c r="BW223" s="253">
        <v>0</v>
      </c>
      <c r="BX223" s="382">
        <v>0</v>
      </c>
      <c r="BY223" s="382">
        <v>0</v>
      </c>
      <c r="BZ223" s="252">
        <v>0</v>
      </c>
      <c r="CA223" s="253">
        <v>0</v>
      </c>
      <c r="CB223" s="383"/>
      <c r="CC223" s="383"/>
      <c r="CD223" s="255">
        <f t="shared" si="44"/>
        <v>3</v>
      </c>
      <c r="CE223" s="256">
        <f t="shared" si="45"/>
        <v>35465</v>
      </c>
      <c r="CF223" s="257">
        <f t="shared" si="46"/>
        <v>0</v>
      </c>
      <c r="CG223" s="261">
        <f t="shared" si="47"/>
        <v>0</v>
      </c>
    </row>
    <row r="224" spans="1:85" s="263" customFormat="1" ht="12.75" customHeight="1">
      <c r="A224" s="363" t="s">
        <v>206</v>
      </c>
      <c r="B224" s="386" t="s">
        <v>821</v>
      </c>
      <c r="C224" s="502"/>
      <c r="D224" s="387">
        <v>158884</v>
      </c>
      <c r="E224" s="388">
        <v>10</v>
      </c>
      <c r="F224" s="252">
        <v>36</v>
      </c>
      <c r="G224" s="253">
        <v>270094</v>
      </c>
      <c r="H224" s="367">
        <v>33</v>
      </c>
      <c r="I224" s="367">
        <v>194645</v>
      </c>
      <c r="J224" s="252">
        <v>23</v>
      </c>
      <c r="K224" s="253">
        <v>123662</v>
      </c>
      <c r="L224" s="368">
        <v>27</v>
      </c>
      <c r="M224" s="368">
        <v>143399</v>
      </c>
      <c r="N224" s="252">
        <v>0</v>
      </c>
      <c r="O224" s="253">
        <v>0</v>
      </c>
      <c r="P224" s="369">
        <v>0</v>
      </c>
      <c r="Q224" s="369">
        <v>0</v>
      </c>
      <c r="R224" s="252">
        <v>35</v>
      </c>
      <c r="S224" s="253">
        <v>24577</v>
      </c>
      <c r="T224" s="370">
        <v>34</v>
      </c>
      <c r="U224" s="370">
        <v>18820</v>
      </c>
      <c r="V224" s="252">
        <v>0</v>
      </c>
      <c r="W224" s="253">
        <v>0</v>
      </c>
      <c r="X224" s="369">
        <v>0</v>
      </c>
      <c r="Y224" s="369">
        <v>0</v>
      </c>
      <c r="Z224" s="252">
        <v>13</v>
      </c>
      <c r="AA224" s="253">
        <v>2550</v>
      </c>
      <c r="AB224" s="371">
        <v>12</v>
      </c>
      <c r="AC224" s="371">
        <v>2329</v>
      </c>
      <c r="AD224" s="252">
        <v>0</v>
      </c>
      <c r="AE224" s="253">
        <v>0</v>
      </c>
      <c r="AF224" s="372">
        <v>0</v>
      </c>
      <c r="AG224" s="372">
        <v>0</v>
      </c>
      <c r="AH224" s="252">
        <v>0</v>
      </c>
      <c r="AI224" s="253">
        <v>0</v>
      </c>
      <c r="AJ224" s="373">
        <v>0</v>
      </c>
      <c r="AK224" s="373">
        <v>0</v>
      </c>
      <c r="AL224" s="252">
        <v>0</v>
      </c>
      <c r="AM224" s="253">
        <v>0</v>
      </c>
      <c r="AN224" s="374">
        <v>0</v>
      </c>
      <c r="AO224" s="374">
        <v>0</v>
      </c>
      <c r="AP224" s="255">
        <f t="shared" si="40"/>
        <v>36</v>
      </c>
      <c r="AQ224" s="256">
        <f t="shared" si="41"/>
        <v>420883</v>
      </c>
      <c r="AR224" s="257">
        <f t="shared" si="42"/>
        <v>34</v>
      </c>
      <c r="AS224" s="258">
        <f t="shared" si="43"/>
        <v>359193</v>
      </c>
      <c r="AT224" s="259">
        <v>2</v>
      </c>
      <c r="AU224" s="253">
        <v>22514</v>
      </c>
      <c r="AV224" s="375">
        <v>4</v>
      </c>
      <c r="AW224" s="375">
        <v>28946</v>
      </c>
      <c r="AX224" s="252">
        <v>1</v>
      </c>
      <c r="AY224" s="253">
        <v>4827</v>
      </c>
      <c r="AZ224" s="376">
        <v>1</v>
      </c>
      <c r="BA224" s="376">
        <v>4263</v>
      </c>
      <c r="BB224" s="252">
        <v>0</v>
      </c>
      <c r="BC224" s="253">
        <v>0</v>
      </c>
      <c r="BD224" s="377"/>
      <c r="BE224" s="377"/>
      <c r="BF224" s="252">
        <v>2</v>
      </c>
      <c r="BG224" s="253">
        <v>2064</v>
      </c>
      <c r="BH224" s="378">
        <v>4</v>
      </c>
      <c r="BI224" s="378">
        <v>2656</v>
      </c>
      <c r="BJ224" s="252">
        <v>0</v>
      </c>
      <c r="BK224" s="253">
        <v>0</v>
      </c>
      <c r="BL224" s="379"/>
      <c r="BM224" s="379"/>
      <c r="BN224" s="252">
        <v>1</v>
      </c>
      <c r="BO224" s="253">
        <v>300</v>
      </c>
      <c r="BP224" s="380">
        <v>2</v>
      </c>
      <c r="BQ224" s="380">
        <v>552</v>
      </c>
      <c r="BR224" s="252">
        <v>0</v>
      </c>
      <c r="BS224" s="253">
        <v>0</v>
      </c>
      <c r="BT224" s="381">
        <v>0</v>
      </c>
      <c r="BU224" s="381">
        <v>0</v>
      </c>
      <c r="BV224" s="252">
        <v>0</v>
      </c>
      <c r="BW224" s="253">
        <v>0</v>
      </c>
      <c r="BX224" s="382">
        <v>0</v>
      </c>
      <c r="BY224" s="382">
        <v>0</v>
      </c>
      <c r="BZ224" s="252">
        <v>0</v>
      </c>
      <c r="CA224" s="253">
        <v>0</v>
      </c>
      <c r="CB224" s="383"/>
      <c r="CC224" s="383"/>
      <c r="CD224" s="255">
        <f t="shared" si="44"/>
        <v>2</v>
      </c>
      <c r="CE224" s="256">
        <f t="shared" si="45"/>
        <v>29705</v>
      </c>
      <c r="CF224" s="257">
        <f t="shared" si="46"/>
        <v>4</v>
      </c>
      <c r="CG224" s="261">
        <f t="shared" si="47"/>
        <v>36417</v>
      </c>
    </row>
    <row r="225" spans="1:85" s="263" customFormat="1" ht="12.75" customHeight="1">
      <c r="A225" s="363" t="s">
        <v>206</v>
      </c>
      <c r="B225" s="392" t="s">
        <v>822</v>
      </c>
      <c r="C225" s="501" t="s">
        <v>1238</v>
      </c>
      <c r="D225" s="387">
        <v>436304</v>
      </c>
      <c r="E225" s="388">
        <v>10</v>
      </c>
      <c r="F225" s="252">
        <v>22</v>
      </c>
      <c r="G225" s="253">
        <v>135209</v>
      </c>
      <c r="H225" s="367">
        <v>18</v>
      </c>
      <c r="I225" s="367">
        <v>79672</v>
      </c>
      <c r="J225" s="252">
        <v>13</v>
      </c>
      <c r="K225" s="253">
        <v>55018</v>
      </c>
      <c r="L225" s="368">
        <v>6</v>
      </c>
      <c r="M225" s="368">
        <v>33728</v>
      </c>
      <c r="N225" s="252">
        <v>0</v>
      </c>
      <c r="O225" s="253">
        <v>0</v>
      </c>
      <c r="P225" s="369">
        <v>0</v>
      </c>
      <c r="Q225" s="369">
        <v>0</v>
      </c>
      <c r="R225" s="252">
        <v>0</v>
      </c>
      <c r="S225" s="253">
        <v>0</v>
      </c>
      <c r="T225" s="370">
        <v>0</v>
      </c>
      <c r="U225" s="370">
        <v>0</v>
      </c>
      <c r="V225" s="252">
        <v>0</v>
      </c>
      <c r="W225" s="253">
        <v>0</v>
      </c>
      <c r="X225" s="369">
        <v>0</v>
      </c>
      <c r="Y225" s="369">
        <v>0</v>
      </c>
      <c r="Z225" s="252">
        <v>7</v>
      </c>
      <c r="AA225" s="253">
        <v>1306</v>
      </c>
      <c r="AB225" s="371">
        <v>5</v>
      </c>
      <c r="AC225" s="371">
        <v>711</v>
      </c>
      <c r="AD225" s="252">
        <v>0</v>
      </c>
      <c r="AE225" s="253">
        <v>0</v>
      </c>
      <c r="AF225" s="372">
        <v>0</v>
      </c>
      <c r="AG225" s="372">
        <v>0</v>
      </c>
      <c r="AH225" s="252">
        <v>0</v>
      </c>
      <c r="AI225" s="253">
        <v>0</v>
      </c>
      <c r="AJ225" s="373">
        <v>0</v>
      </c>
      <c r="AK225" s="373">
        <v>0</v>
      </c>
      <c r="AL225" s="252">
        <v>0</v>
      </c>
      <c r="AM225" s="253">
        <v>0</v>
      </c>
      <c r="AN225" s="374">
        <v>0</v>
      </c>
      <c r="AO225" s="374">
        <v>0</v>
      </c>
      <c r="AP225" s="255">
        <f t="shared" si="40"/>
        <v>22</v>
      </c>
      <c r="AQ225" s="256">
        <f t="shared" si="41"/>
        <v>191533</v>
      </c>
      <c r="AR225" s="257">
        <f t="shared" si="42"/>
        <v>18</v>
      </c>
      <c r="AS225" s="258">
        <f t="shared" si="43"/>
        <v>114111</v>
      </c>
      <c r="AT225" s="259">
        <v>4</v>
      </c>
      <c r="AU225" s="253">
        <v>32956</v>
      </c>
      <c r="AV225" s="375">
        <v>3</v>
      </c>
      <c r="AW225" s="375">
        <v>12640</v>
      </c>
      <c r="AX225" s="252">
        <v>3</v>
      </c>
      <c r="AY225" s="253">
        <v>16045</v>
      </c>
      <c r="AZ225" s="376">
        <v>3</v>
      </c>
      <c r="BA225" s="376">
        <v>3270</v>
      </c>
      <c r="BB225" s="252">
        <v>0</v>
      </c>
      <c r="BC225" s="253">
        <v>0</v>
      </c>
      <c r="BD225" s="377"/>
      <c r="BE225" s="377"/>
      <c r="BF225" s="252">
        <v>0</v>
      </c>
      <c r="BG225" s="253">
        <v>0</v>
      </c>
      <c r="BH225" s="378">
        <v>0</v>
      </c>
      <c r="BI225" s="378">
        <v>0</v>
      </c>
      <c r="BJ225" s="252">
        <v>0</v>
      </c>
      <c r="BK225" s="253">
        <v>0</v>
      </c>
      <c r="BL225" s="379"/>
      <c r="BM225" s="379"/>
      <c r="BN225" s="252">
        <v>2</v>
      </c>
      <c r="BO225" s="253">
        <v>625</v>
      </c>
      <c r="BP225" s="380">
        <v>2</v>
      </c>
      <c r="BQ225" s="380">
        <v>299</v>
      </c>
      <c r="BR225" s="252">
        <v>0</v>
      </c>
      <c r="BS225" s="253">
        <v>0</v>
      </c>
      <c r="BT225" s="381">
        <v>0</v>
      </c>
      <c r="BU225" s="381">
        <v>0</v>
      </c>
      <c r="BV225" s="252">
        <v>0</v>
      </c>
      <c r="BW225" s="253">
        <v>0</v>
      </c>
      <c r="BX225" s="382">
        <v>0</v>
      </c>
      <c r="BY225" s="382">
        <v>0</v>
      </c>
      <c r="BZ225" s="252">
        <v>0</v>
      </c>
      <c r="CA225" s="253">
        <v>0</v>
      </c>
      <c r="CB225" s="383"/>
      <c r="CC225" s="383"/>
      <c r="CD225" s="255">
        <f t="shared" si="44"/>
        <v>4</v>
      </c>
      <c r="CE225" s="256">
        <f t="shared" si="45"/>
        <v>49626</v>
      </c>
      <c r="CF225" s="257">
        <f t="shared" si="46"/>
        <v>3</v>
      </c>
      <c r="CG225" s="261">
        <f t="shared" si="47"/>
        <v>16209</v>
      </c>
    </row>
    <row r="226" spans="1:85" s="263" customFormat="1" ht="12.75" customHeight="1">
      <c r="A226" s="363" t="s">
        <v>206</v>
      </c>
      <c r="B226" s="499" t="s">
        <v>823</v>
      </c>
      <c r="C226" s="500" t="s">
        <v>1236</v>
      </c>
      <c r="D226" s="387">
        <v>434061</v>
      </c>
      <c r="E226" s="388">
        <v>9</v>
      </c>
      <c r="F226" s="252">
        <v>36</v>
      </c>
      <c r="G226" s="253">
        <v>220221</v>
      </c>
      <c r="H226" s="367">
        <v>24</v>
      </c>
      <c r="I226" s="367">
        <v>140626</v>
      </c>
      <c r="J226" s="252">
        <v>30</v>
      </c>
      <c r="K226" s="253">
        <v>167191</v>
      </c>
      <c r="L226" s="368">
        <v>17</v>
      </c>
      <c r="M226" s="368">
        <v>92118</v>
      </c>
      <c r="N226" s="252">
        <v>0</v>
      </c>
      <c r="O226" s="253">
        <v>0</v>
      </c>
      <c r="P226" s="369">
        <v>0</v>
      </c>
      <c r="Q226" s="369">
        <v>0</v>
      </c>
      <c r="R226" s="252">
        <v>36</v>
      </c>
      <c r="S226" s="253">
        <v>102080</v>
      </c>
      <c r="T226" s="370">
        <v>25</v>
      </c>
      <c r="U226" s="370">
        <v>14432</v>
      </c>
      <c r="V226" s="252">
        <v>0</v>
      </c>
      <c r="W226" s="253">
        <v>0</v>
      </c>
      <c r="X226" s="369">
        <v>0</v>
      </c>
      <c r="Y226" s="369">
        <v>0</v>
      </c>
      <c r="Z226" s="252">
        <v>6</v>
      </c>
      <c r="AA226" s="253">
        <v>1368</v>
      </c>
      <c r="AB226" s="371">
        <v>6</v>
      </c>
      <c r="AC226" s="371">
        <v>1390</v>
      </c>
      <c r="AD226" s="252">
        <v>0</v>
      </c>
      <c r="AE226" s="253">
        <v>0</v>
      </c>
      <c r="AF226" s="372">
        <v>0</v>
      </c>
      <c r="AG226" s="372">
        <v>0</v>
      </c>
      <c r="AH226" s="252">
        <v>0</v>
      </c>
      <c r="AI226" s="253">
        <v>0</v>
      </c>
      <c r="AJ226" s="373">
        <v>0</v>
      </c>
      <c r="AK226" s="373">
        <v>0</v>
      </c>
      <c r="AL226" s="252">
        <v>0</v>
      </c>
      <c r="AM226" s="253">
        <v>0</v>
      </c>
      <c r="AN226" s="374">
        <v>0</v>
      </c>
      <c r="AO226" s="374">
        <v>0</v>
      </c>
      <c r="AP226" s="255">
        <f t="shared" si="40"/>
        <v>36</v>
      </c>
      <c r="AQ226" s="256">
        <f t="shared" si="41"/>
        <v>490860</v>
      </c>
      <c r="AR226" s="257">
        <f t="shared" si="42"/>
        <v>25</v>
      </c>
      <c r="AS226" s="258">
        <f t="shared" si="43"/>
        <v>248566</v>
      </c>
      <c r="AT226" s="259"/>
      <c r="AU226" s="253"/>
      <c r="AV226" s="375">
        <v>0</v>
      </c>
      <c r="AW226" s="375">
        <v>0</v>
      </c>
      <c r="AX226" s="252"/>
      <c r="AY226" s="253"/>
      <c r="AZ226" s="376">
        <v>0</v>
      </c>
      <c r="BA226" s="376">
        <v>0</v>
      </c>
      <c r="BB226" s="252"/>
      <c r="BC226" s="253"/>
      <c r="BD226" s="377"/>
      <c r="BE226" s="377"/>
      <c r="BF226" s="252"/>
      <c r="BG226" s="253"/>
      <c r="BH226" s="378">
        <v>0</v>
      </c>
      <c r="BI226" s="378">
        <v>0</v>
      </c>
      <c r="BJ226" s="252"/>
      <c r="BK226" s="253"/>
      <c r="BL226" s="379"/>
      <c r="BM226" s="379"/>
      <c r="BN226" s="252"/>
      <c r="BO226" s="253"/>
      <c r="BP226" s="380"/>
      <c r="BQ226" s="380"/>
      <c r="BR226" s="252"/>
      <c r="BS226" s="253"/>
      <c r="BT226" s="381">
        <v>0</v>
      </c>
      <c r="BU226" s="381">
        <v>0</v>
      </c>
      <c r="BV226" s="252"/>
      <c r="BW226" s="253"/>
      <c r="BX226" s="382">
        <v>0</v>
      </c>
      <c r="BY226" s="382">
        <v>0</v>
      </c>
      <c r="BZ226" s="252"/>
      <c r="CA226" s="253"/>
      <c r="CB226" s="383"/>
      <c r="CC226" s="383"/>
      <c r="CD226" s="255">
        <f t="shared" si="44"/>
        <v>0</v>
      </c>
      <c r="CE226" s="256">
        <f t="shared" si="45"/>
        <v>0</v>
      </c>
      <c r="CF226" s="257">
        <f t="shared" si="46"/>
        <v>0</v>
      </c>
      <c r="CG226" s="261">
        <f t="shared" si="47"/>
        <v>0</v>
      </c>
    </row>
    <row r="227" spans="1:85" s="263" customFormat="1" ht="12.75" customHeight="1">
      <c r="A227" s="363" t="s">
        <v>206</v>
      </c>
      <c r="B227" s="393" t="s">
        <v>824</v>
      </c>
      <c r="C227" s="503" t="s">
        <v>1189</v>
      </c>
      <c r="D227" s="387">
        <v>160649</v>
      </c>
      <c r="E227" s="388">
        <v>10</v>
      </c>
      <c r="F227" s="252">
        <v>55</v>
      </c>
      <c r="G227" s="253">
        <v>405741</v>
      </c>
      <c r="H227" s="367">
        <v>57</v>
      </c>
      <c r="I227" s="367">
        <v>412171</v>
      </c>
      <c r="J227" s="252">
        <v>42</v>
      </c>
      <c r="K227" s="253">
        <v>209381</v>
      </c>
      <c r="L227" s="368">
        <v>57</v>
      </c>
      <c r="M227" s="368">
        <v>225144</v>
      </c>
      <c r="N227" s="252">
        <v>0</v>
      </c>
      <c r="O227" s="253">
        <v>0</v>
      </c>
      <c r="P227" s="369">
        <v>0</v>
      </c>
      <c r="Q227" s="369">
        <v>0</v>
      </c>
      <c r="R227" s="252">
        <v>0</v>
      </c>
      <c r="S227" s="253">
        <v>0</v>
      </c>
      <c r="T227" s="370">
        <v>0</v>
      </c>
      <c r="U227" s="370">
        <v>0</v>
      </c>
      <c r="V227" s="252">
        <v>55</v>
      </c>
      <c r="W227" s="253">
        <v>47118</v>
      </c>
      <c r="X227" s="369">
        <v>57</v>
      </c>
      <c r="Y227" s="369">
        <v>9323</v>
      </c>
      <c r="Z227" s="252">
        <v>27</v>
      </c>
      <c r="AA227" s="253">
        <v>4370</v>
      </c>
      <c r="AB227" s="371">
        <v>57</v>
      </c>
      <c r="AC227" s="371">
        <v>4905</v>
      </c>
      <c r="AD227" s="252">
        <v>0</v>
      </c>
      <c r="AE227" s="253">
        <v>0</v>
      </c>
      <c r="AF227" s="372">
        <v>0</v>
      </c>
      <c r="AG227" s="372">
        <v>0</v>
      </c>
      <c r="AH227" s="252">
        <v>0</v>
      </c>
      <c r="AI227" s="253">
        <v>0</v>
      </c>
      <c r="AJ227" s="373">
        <v>0</v>
      </c>
      <c r="AK227" s="373">
        <v>0</v>
      </c>
      <c r="AL227" s="252">
        <v>0</v>
      </c>
      <c r="AM227" s="253">
        <v>0</v>
      </c>
      <c r="AN227" s="374">
        <v>0</v>
      </c>
      <c r="AO227" s="374">
        <v>0</v>
      </c>
      <c r="AP227" s="255">
        <f t="shared" si="40"/>
        <v>55</v>
      </c>
      <c r="AQ227" s="256">
        <f t="shared" si="41"/>
        <v>666610</v>
      </c>
      <c r="AR227" s="257">
        <f t="shared" si="42"/>
        <v>57</v>
      </c>
      <c r="AS227" s="258">
        <f t="shared" si="43"/>
        <v>651543</v>
      </c>
      <c r="AT227" s="259">
        <v>22</v>
      </c>
      <c r="AU227" s="253">
        <v>218847</v>
      </c>
      <c r="AV227" s="375">
        <v>24</v>
      </c>
      <c r="AW227" s="375">
        <v>260412</v>
      </c>
      <c r="AX227" s="252">
        <v>16</v>
      </c>
      <c r="AY227" s="253">
        <v>103817</v>
      </c>
      <c r="AZ227" s="376">
        <v>24</v>
      </c>
      <c r="BA227" s="376">
        <v>110760</v>
      </c>
      <c r="BB227" s="252">
        <v>0</v>
      </c>
      <c r="BC227" s="253">
        <v>0</v>
      </c>
      <c r="BD227" s="377"/>
      <c r="BE227" s="377"/>
      <c r="BF227" s="252">
        <v>0</v>
      </c>
      <c r="BG227" s="253">
        <v>0</v>
      </c>
      <c r="BH227" s="378">
        <v>0</v>
      </c>
      <c r="BI227" s="378">
        <v>0</v>
      </c>
      <c r="BJ227" s="252">
        <v>22</v>
      </c>
      <c r="BK227" s="253">
        <v>25415</v>
      </c>
      <c r="BL227" s="379">
        <v>24</v>
      </c>
      <c r="BM227" s="379">
        <v>6609</v>
      </c>
      <c r="BN227" s="252">
        <v>10</v>
      </c>
      <c r="BO227" s="253">
        <v>2460</v>
      </c>
      <c r="BP227" s="380">
        <v>12</v>
      </c>
      <c r="BQ227" s="380">
        <v>2755</v>
      </c>
      <c r="BR227" s="252">
        <v>0</v>
      </c>
      <c r="BS227" s="253">
        <v>0</v>
      </c>
      <c r="BT227" s="381">
        <v>0</v>
      </c>
      <c r="BU227" s="381">
        <v>0</v>
      </c>
      <c r="BV227" s="252">
        <v>0</v>
      </c>
      <c r="BW227" s="253">
        <v>0</v>
      </c>
      <c r="BX227" s="382">
        <v>0</v>
      </c>
      <c r="BY227" s="382">
        <v>0</v>
      </c>
      <c r="BZ227" s="252">
        <v>0</v>
      </c>
      <c r="CA227" s="253">
        <v>0</v>
      </c>
      <c r="CB227" s="383"/>
      <c r="CC227" s="383"/>
      <c r="CD227" s="255">
        <f t="shared" si="44"/>
        <v>22</v>
      </c>
      <c r="CE227" s="256">
        <f t="shared" si="45"/>
        <v>350539</v>
      </c>
      <c r="CF227" s="257">
        <f t="shared" si="46"/>
        <v>24</v>
      </c>
      <c r="CG227" s="261">
        <f t="shared" si="47"/>
        <v>380536</v>
      </c>
    </row>
    <row r="228" spans="1:85" s="263" customFormat="1" ht="12.75" customHeight="1">
      <c r="A228" s="363" t="s">
        <v>206</v>
      </c>
      <c r="B228" s="364" t="s">
        <v>825</v>
      </c>
      <c r="C228" s="364"/>
      <c r="D228" s="365">
        <v>160579</v>
      </c>
      <c r="E228" s="366">
        <v>12</v>
      </c>
      <c r="F228" s="252">
        <v>28</v>
      </c>
      <c r="G228" s="253">
        <v>156557</v>
      </c>
      <c r="H228" s="367">
        <v>11</v>
      </c>
      <c r="I228" s="367">
        <v>59369</v>
      </c>
      <c r="J228" s="252">
        <v>20</v>
      </c>
      <c r="K228" s="253">
        <v>127878</v>
      </c>
      <c r="L228" s="368">
        <v>6</v>
      </c>
      <c r="M228" s="368">
        <v>29368</v>
      </c>
      <c r="N228" s="252">
        <v>0</v>
      </c>
      <c r="O228" s="253">
        <v>0</v>
      </c>
      <c r="P228" s="369">
        <v>0</v>
      </c>
      <c r="Q228" s="369">
        <v>0</v>
      </c>
      <c r="R228" s="252">
        <v>0</v>
      </c>
      <c r="S228" s="253">
        <v>0</v>
      </c>
      <c r="T228" s="370">
        <v>0</v>
      </c>
      <c r="U228" s="370">
        <v>0</v>
      </c>
      <c r="V228" s="252">
        <v>0</v>
      </c>
      <c r="W228" s="253">
        <v>0</v>
      </c>
      <c r="X228" s="369">
        <v>0</v>
      </c>
      <c r="Y228" s="369">
        <v>0</v>
      </c>
      <c r="Z228" s="252">
        <v>12</v>
      </c>
      <c r="AA228" s="253">
        <v>2778</v>
      </c>
      <c r="AB228" s="371">
        <v>4</v>
      </c>
      <c r="AC228" s="371">
        <v>859</v>
      </c>
      <c r="AD228" s="252">
        <v>0</v>
      </c>
      <c r="AE228" s="253">
        <v>0</v>
      </c>
      <c r="AF228" s="372">
        <v>0</v>
      </c>
      <c r="AG228" s="372">
        <v>0</v>
      </c>
      <c r="AH228" s="252">
        <v>0</v>
      </c>
      <c r="AI228" s="253">
        <v>0</v>
      </c>
      <c r="AJ228" s="373">
        <v>0</v>
      </c>
      <c r="AK228" s="373">
        <v>0</v>
      </c>
      <c r="AL228" s="252">
        <v>0</v>
      </c>
      <c r="AM228" s="253">
        <v>0</v>
      </c>
      <c r="AN228" s="374">
        <v>0</v>
      </c>
      <c r="AO228" s="374">
        <v>0</v>
      </c>
      <c r="AP228" s="255">
        <f t="shared" si="40"/>
        <v>28</v>
      </c>
      <c r="AQ228" s="256">
        <f t="shared" si="41"/>
        <v>287213</v>
      </c>
      <c r="AR228" s="257">
        <f t="shared" si="42"/>
        <v>11</v>
      </c>
      <c r="AS228" s="258">
        <f t="shared" si="43"/>
        <v>89596</v>
      </c>
      <c r="AT228" s="259">
        <v>40</v>
      </c>
      <c r="AU228" s="253">
        <v>329753</v>
      </c>
      <c r="AV228" s="375">
        <v>50</v>
      </c>
      <c r="AW228" s="375">
        <v>380822</v>
      </c>
      <c r="AX228" s="252">
        <v>33</v>
      </c>
      <c r="AY228" s="253">
        <v>210167</v>
      </c>
      <c r="AZ228" s="376">
        <v>42</v>
      </c>
      <c r="BA228" s="376">
        <v>253240</v>
      </c>
      <c r="BB228" s="252">
        <v>0</v>
      </c>
      <c r="BC228" s="253">
        <v>0</v>
      </c>
      <c r="BD228" s="377"/>
      <c r="BE228" s="377"/>
      <c r="BF228" s="252">
        <v>0</v>
      </c>
      <c r="BG228" s="253">
        <v>0</v>
      </c>
      <c r="BH228" s="378">
        <v>0</v>
      </c>
      <c r="BI228" s="378">
        <v>0</v>
      </c>
      <c r="BJ228" s="252">
        <v>0</v>
      </c>
      <c r="BK228" s="253">
        <v>0</v>
      </c>
      <c r="BL228" s="379"/>
      <c r="BM228" s="379"/>
      <c r="BN228" s="252">
        <v>23</v>
      </c>
      <c r="BO228" s="253">
        <v>6282</v>
      </c>
      <c r="BP228" s="380">
        <v>30</v>
      </c>
      <c r="BQ228" s="380">
        <v>8026</v>
      </c>
      <c r="BR228" s="252">
        <v>0</v>
      </c>
      <c r="BS228" s="253">
        <v>0</v>
      </c>
      <c r="BT228" s="381">
        <v>0</v>
      </c>
      <c r="BU228" s="381">
        <v>0</v>
      </c>
      <c r="BV228" s="252">
        <v>0</v>
      </c>
      <c r="BW228" s="253">
        <v>0</v>
      </c>
      <c r="BX228" s="382">
        <v>0</v>
      </c>
      <c r="BY228" s="382">
        <v>0</v>
      </c>
      <c r="BZ228" s="252">
        <v>0</v>
      </c>
      <c r="CA228" s="253">
        <v>0</v>
      </c>
      <c r="CB228" s="383"/>
      <c r="CC228" s="383"/>
      <c r="CD228" s="255">
        <f t="shared" si="44"/>
        <v>40</v>
      </c>
      <c r="CE228" s="256">
        <f t="shared" si="45"/>
        <v>546202</v>
      </c>
      <c r="CF228" s="257">
        <f t="shared" si="46"/>
        <v>50</v>
      </c>
      <c r="CG228" s="261">
        <f t="shared" si="47"/>
        <v>642088</v>
      </c>
    </row>
    <row r="229" spans="1:85" s="263" customFormat="1" ht="12.75" customHeight="1">
      <c r="A229" s="363" t="s">
        <v>206</v>
      </c>
      <c r="B229" s="386" t="s">
        <v>826</v>
      </c>
      <c r="C229" s="386"/>
      <c r="D229" s="365">
        <v>160481</v>
      </c>
      <c r="E229" s="366">
        <v>13</v>
      </c>
      <c r="F229" s="252">
        <v>23</v>
      </c>
      <c r="G229" s="253">
        <v>120362</v>
      </c>
      <c r="H229" s="367">
        <v>22</v>
      </c>
      <c r="I229" s="367">
        <v>107341</v>
      </c>
      <c r="J229" s="252">
        <v>14</v>
      </c>
      <c r="K229" s="253">
        <v>90382</v>
      </c>
      <c r="L229" s="368">
        <v>14</v>
      </c>
      <c r="M229" s="368">
        <v>81434</v>
      </c>
      <c r="N229" s="252">
        <v>0</v>
      </c>
      <c r="O229" s="253">
        <v>0</v>
      </c>
      <c r="P229" s="369">
        <v>0</v>
      </c>
      <c r="Q229" s="369">
        <v>0</v>
      </c>
      <c r="R229" s="252">
        <v>24</v>
      </c>
      <c r="S229" s="253">
        <v>11792</v>
      </c>
      <c r="T229" s="370">
        <v>22</v>
      </c>
      <c r="U229" s="370">
        <v>9851</v>
      </c>
      <c r="V229" s="252">
        <v>0</v>
      </c>
      <c r="W229" s="253">
        <v>0</v>
      </c>
      <c r="X229" s="369">
        <v>0</v>
      </c>
      <c r="Y229" s="369">
        <v>0</v>
      </c>
      <c r="Z229" s="252">
        <v>10</v>
      </c>
      <c r="AA229" s="253">
        <v>2118</v>
      </c>
      <c r="AB229" s="371">
        <v>10</v>
      </c>
      <c r="AC229" s="371">
        <v>1833</v>
      </c>
      <c r="AD229" s="252">
        <v>0</v>
      </c>
      <c r="AE229" s="253">
        <v>0</v>
      </c>
      <c r="AF229" s="372">
        <v>0</v>
      </c>
      <c r="AG229" s="372">
        <v>0</v>
      </c>
      <c r="AH229" s="252">
        <v>0</v>
      </c>
      <c r="AI229" s="253">
        <v>0</v>
      </c>
      <c r="AJ229" s="373">
        <v>0</v>
      </c>
      <c r="AK229" s="373">
        <v>0</v>
      </c>
      <c r="AL229" s="252">
        <v>0</v>
      </c>
      <c r="AM229" s="253">
        <v>0</v>
      </c>
      <c r="AN229" s="374">
        <v>0</v>
      </c>
      <c r="AO229" s="374">
        <v>0</v>
      </c>
      <c r="AP229" s="255">
        <f t="shared" si="40"/>
        <v>24</v>
      </c>
      <c r="AQ229" s="256">
        <f t="shared" si="41"/>
        <v>224654</v>
      </c>
      <c r="AR229" s="257">
        <f t="shared" si="42"/>
        <v>22</v>
      </c>
      <c r="AS229" s="258">
        <f t="shared" si="43"/>
        <v>200459</v>
      </c>
      <c r="AT229" s="259">
        <v>17</v>
      </c>
      <c r="AU229" s="253">
        <v>138466</v>
      </c>
      <c r="AV229" s="375">
        <v>20</v>
      </c>
      <c r="AW229" s="375">
        <v>151699</v>
      </c>
      <c r="AX229" s="252">
        <v>11</v>
      </c>
      <c r="AY229" s="253">
        <v>70764</v>
      </c>
      <c r="AZ229" s="376">
        <v>15</v>
      </c>
      <c r="BA229" s="376">
        <v>93145</v>
      </c>
      <c r="BB229" s="252">
        <v>0</v>
      </c>
      <c r="BC229" s="253">
        <v>0</v>
      </c>
      <c r="BD229" s="377"/>
      <c r="BE229" s="377"/>
      <c r="BF229" s="252">
        <v>15</v>
      </c>
      <c r="BG229" s="253">
        <v>11334</v>
      </c>
      <c r="BH229" s="378">
        <v>18</v>
      </c>
      <c r="BI229" s="378">
        <v>12474</v>
      </c>
      <c r="BJ229" s="252">
        <v>0</v>
      </c>
      <c r="BK229" s="253">
        <v>0</v>
      </c>
      <c r="BL229" s="379"/>
      <c r="BM229" s="379"/>
      <c r="BN229" s="252">
        <v>8</v>
      </c>
      <c r="BO229" s="253">
        <v>1860</v>
      </c>
      <c r="BP229" s="380">
        <v>9</v>
      </c>
      <c r="BQ229" s="380">
        <v>2169</v>
      </c>
      <c r="BR229" s="252">
        <v>0</v>
      </c>
      <c r="BS229" s="253">
        <v>0</v>
      </c>
      <c r="BT229" s="381">
        <v>0</v>
      </c>
      <c r="BU229" s="381">
        <v>0</v>
      </c>
      <c r="BV229" s="252">
        <v>0</v>
      </c>
      <c r="BW229" s="253">
        <v>0</v>
      </c>
      <c r="BX229" s="382">
        <v>0</v>
      </c>
      <c r="BY229" s="382">
        <v>0</v>
      </c>
      <c r="BZ229" s="252">
        <v>0</v>
      </c>
      <c r="CA229" s="253">
        <v>0</v>
      </c>
      <c r="CB229" s="383"/>
      <c r="CC229" s="383"/>
      <c r="CD229" s="255">
        <f t="shared" si="44"/>
        <v>17</v>
      </c>
      <c r="CE229" s="256">
        <f t="shared" si="45"/>
        <v>222424</v>
      </c>
      <c r="CF229" s="257">
        <f t="shared" si="46"/>
        <v>20</v>
      </c>
      <c r="CG229" s="261">
        <f t="shared" si="47"/>
        <v>259487</v>
      </c>
    </row>
    <row r="230" spans="1:85" s="263" customFormat="1" ht="12.75" customHeight="1">
      <c r="A230" s="394" t="s">
        <v>206</v>
      </c>
      <c r="B230" s="395" t="s">
        <v>1167</v>
      </c>
      <c r="C230" s="395"/>
      <c r="D230" s="396" t="s">
        <v>1168</v>
      </c>
      <c r="E230" s="397">
        <v>14</v>
      </c>
      <c r="F230" s="252">
        <v>73</v>
      </c>
      <c r="G230" s="253">
        <v>431983</v>
      </c>
      <c r="H230" s="367">
        <v>64</v>
      </c>
      <c r="I230" s="367">
        <v>460660</v>
      </c>
      <c r="J230" s="252">
        <v>45</v>
      </c>
      <c r="K230" s="253">
        <v>259374</v>
      </c>
      <c r="L230" s="368">
        <v>37</v>
      </c>
      <c r="M230" s="368">
        <v>211745</v>
      </c>
      <c r="N230" s="252">
        <v>0</v>
      </c>
      <c r="O230" s="253">
        <v>0</v>
      </c>
      <c r="P230" s="369">
        <v>0</v>
      </c>
      <c r="Q230" s="369">
        <v>0</v>
      </c>
      <c r="R230" s="252"/>
      <c r="S230" s="253"/>
      <c r="T230" s="267">
        <v>16</v>
      </c>
      <c r="U230" s="268">
        <v>8380</v>
      </c>
      <c r="V230" s="252">
        <v>0</v>
      </c>
      <c r="W230" s="253">
        <v>0</v>
      </c>
      <c r="X230" s="369">
        <v>0</v>
      </c>
      <c r="Y230" s="369">
        <v>0</v>
      </c>
      <c r="Z230" s="252">
        <v>15</v>
      </c>
      <c r="AA230" s="253">
        <v>3814</v>
      </c>
      <c r="AB230" s="371">
        <v>11</v>
      </c>
      <c r="AC230" s="371">
        <v>2075</v>
      </c>
      <c r="AD230" s="252">
        <v>0</v>
      </c>
      <c r="AE230" s="253">
        <v>0</v>
      </c>
      <c r="AF230" s="372">
        <v>0</v>
      </c>
      <c r="AG230" s="372">
        <v>0</v>
      </c>
      <c r="AH230" s="252">
        <v>0</v>
      </c>
      <c r="AI230" s="253">
        <v>0</v>
      </c>
      <c r="AJ230" s="373">
        <v>0</v>
      </c>
      <c r="AK230" s="373">
        <v>0</v>
      </c>
      <c r="AL230" s="252">
        <v>0</v>
      </c>
      <c r="AM230" s="253">
        <v>0</v>
      </c>
      <c r="AN230" s="374">
        <v>0</v>
      </c>
      <c r="AO230" s="374">
        <v>0</v>
      </c>
      <c r="AP230" s="255">
        <f t="shared" si="40"/>
        <v>73</v>
      </c>
      <c r="AQ230" s="256">
        <f t="shared" si="41"/>
        <v>695171</v>
      </c>
      <c r="AR230" s="257">
        <f t="shared" si="42"/>
        <v>64</v>
      </c>
      <c r="AS230" s="258">
        <f t="shared" si="43"/>
        <v>682860</v>
      </c>
      <c r="AT230" s="259">
        <v>403</v>
      </c>
      <c r="AU230" s="253">
        <v>3181090</v>
      </c>
      <c r="AV230" s="375">
        <v>425</v>
      </c>
      <c r="AW230" s="375">
        <v>3054617</v>
      </c>
      <c r="AX230" s="252">
        <v>328</v>
      </c>
      <c r="AY230" s="253">
        <v>2294347</v>
      </c>
      <c r="AZ230" s="376">
        <v>324</v>
      </c>
      <c r="BA230" s="376">
        <v>1914471</v>
      </c>
      <c r="BB230" s="252">
        <v>0</v>
      </c>
      <c r="BC230" s="253">
        <v>0</v>
      </c>
      <c r="BD230" s="377"/>
      <c r="BE230" s="377"/>
      <c r="BF230" s="252">
        <v>80</v>
      </c>
      <c r="BG230" s="253">
        <v>58126</v>
      </c>
      <c r="BH230" s="378">
        <v>194</v>
      </c>
      <c r="BI230" s="378">
        <v>126003</v>
      </c>
      <c r="BJ230" s="252">
        <v>0</v>
      </c>
      <c r="BK230" s="253">
        <v>0</v>
      </c>
      <c r="BL230" s="379"/>
      <c r="BM230" s="379"/>
      <c r="BN230" s="252">
        <v>166</v>
      </c>
      <c r="BO230" s="253">
        <v>45576</v>
      </c>
      <c r="BP230" s="380">
        <v>193</v>
      </c>
      <c r="BQ230" s="380">
        <v>57959</v>
      </c>
      <c r="BR230" s="252">
        <v>0</v>
      </c>
      <c r="BS230" s="253">
        <v>0</v>
      </c>
      <c r="BT230" s="381">
        <v>14</v>
      </c>
      <c r="BU230" s="381">
        <v>2212</v>
      </c>
      <c r="BV230" s="252">
        <v>0</v>
      </c>
      <c r="BW230" s="253">
        <v>0</v>
      </c>
      <c r="BX230" s="382">
        <v>0</v>
      </c>
      <c r="BY230" s="382">
        <v>0</v>
      </c>
      <c r="BZ230" s="252">
        <v>0</v>
      </c>
      <c r="CA230" s="253">
        <v>0</v>
      </c>
      <c r="CB230" s="383"/>
      <c r="CC230" s="383"/>
      <c r="CD230" s="255">
        <f t="shared" si="44"/>
        <v>403</v>
      </c>
      <c r="CE230" s="256">
        <f t="shared" si="45"/>
        <v>5579139</v>
      </c>
      <c r="CF230" s="257">
        <f t="shared" si="46"/>
        <v>425</v>
      </c>
      <c r="CG230" s="261">
        <f t="shared" si="47"/>
        <v>5155262</v>
      </c>
    </row>
    <row r="231" spans="1:85" s="263" customFormat="1" ht="12.75" customHeight="1">
      <c r="A231" s="389" t="s">
        <v>206</v>
      </c>
      <c r="B231" s="466" t="s">
        <v>1169</v>
      </c>
      <c r="C231" s="504" t="s">
        <v>1239</v>
      </c>
      <c r="D231" s="390"/>
      <c r="E231" s="391">
        <v>12</v>
      </c>
      <c r="F231" s="252"/>
      <c r="G231" s="253"/>
      <c r="H231" s="367"/>
      <c r="I231" s="367"/>
      <c r="J231" s="252"/>
      <c r="K231" s="253"/>
      <c r="L231" s="368"/>
      <c r="M231" s="368"/>
      <c r="N231" s="252"/>
      <c r="O231" s="253"/>
      <c r="P231" s="385"/>
      <c r="Q231" s="385"/>
      <c r="R231" s="252"/>
      <c r="S231" s="253"/>
      <c r="T231" s="267"/>
      <c r="U231" s="268"/>
      <c r="V231" s="252"/>
      <c r="W231" s="253"/>
      <c r="X231" s="369"/>
      <c r="Y231" s="369"/>
      <c r="Z231" s="252"/>
      <c r="AA231" s="253"/>
      <c r="AB231" s="371"/>
      <c r="AC231" s="371"/>
      <c r="AD231" s="252"/>
      <c r="AE231" s="253"/>
      <c r="AF231" s="372"/>
      <c r="AG231" s="372"/>
      <c r="AH231" s="252"/>
      <c r="AI231" s="253"/>
      <c r="AJ231" s="373"/>
      <c r="AK231" s="373"/>
      <c r="AL231" s="252"/>
      <c r="AM231" s="253"/>
      <c r="AN231" s="374"/>
      <c r="AO231" s="374"/>
      <c r="AP231" s="255">
        <f t="shared" si="40"/>
        <v>0</v>
      </c>
      <c r="AQ231" s="256">
        <f t="shared" si="41"/>
        <v>0</v>
      </c>
      <c r="AR231" s="257">
        <f t="shared" si="42"/>
        <v>0</v>
      </c>
      <c r="AS231" s="258">
        <f t="shared" si="43"/>
        <v>0</v>
      </c>
      <c r="AT231" s="259"/>
      <c r="AU231" s="253"/>
      <c r="AV231" s="375"/>
      <c r="AW231" s="375"/>
      <c r="AX231" s="252"/>
      <c r="AY231" s="253"/>
      <c r="AZ231" s="376"/>
      <c r="BA231" s="376"/>
      <c r="BB231" s="252"/>
      <c r="BC231" s="253"/>
      <c r="BD231" s="377"/>
      <c r="BE231" s="377"/>
      <c r="BF231" s="252"/>
      <c r="BG231" s="253"/>
      <c r="BH231" s="378"/>
      <c r="BI231" s="378"/>
      <c r="BJ231" s="252"/>
      <c r="BK231" s="253"/>
      <c r="BL231" s="379"/>
      <c r="BM231" s="379"/>
      <c r="BN231" s="252"/>
      <c r="BO231" s="253"/>
      <c r="BP231" s="380"/>
      <c r="BQ231" s="380"/>
      <c r="BR231" s="252"/>
      <c r="BS231" s="253"/>
      <c r="BT231" s="381"/>
      <c r="BU231" s="381"/>
      <c r="BV231" s="252"/>
      <c r="BW231" s="253"/>
      <c r="BX231" s="382"/>
      <c r="BY231" s="382"/>
      <c r="BZ231" s="252"/>
      <c r="CA231" s="253"/>
      <c r="CB231" s="383"/>
      <c r="CC231" s="383"/>
      <c r="CD231" s="255">
        <f t="shared" si="44"/>
        <v>0</v>
      </c>
      <c r="CE231" s="256">
        <f t="shared" si="45"/>
        <v>0</v>
      </c>
      <c r="CF231" s="257">
        <f t="shared" si="46"/>
        <v>0</v>
      </c>
      <c r="CG231" s="261">
        <f t="shared" si="47"/>
        <v>0</v>
      </c>
    </row>
    <row r="232" spans="1:85" s="263" customFormat="1" ht="12.75" customHeight="1">
      <c r="A232" s="389" t="s">
        <v>206</v>
      </c>
      <c r="B232" s="466" t="s">
        <v>1170</v>
      </c>
      <c r="C232" s="504" t="s">
        <v>1240</v>
      </c>
      <c r="D232" s="390"/>
      <c r="E232" s="391">
        <v>12</v>
      </c>
      <c r="F232" s="252"/>
      <c r="G232" s="253"/>
      <c r="H232" s="367"/>
      <c r="I232" s="367"/>
      <c r="J232" s="252"/>
      <c r="K232" s="253"/>
      <c r="L232" s="368"/>
      <c r="M232" s="368"/>
      <c r="N232" s="252"/>
      <c r="O232" s="253"/>
      <c r="P232" s="385"/>
      <c r="Q232" s="385"/>
      <c r="R232" s="252"/>
      <c r="S232" s="253"/>
      <c r="T232" s="267"/>
      <c r="U232" s="268"/>
      <c r="V232" s="252"/>
      <c r="W232" s="253"/>
      <c r="X232" s="369"/>
      <c r="Y232" s="369"/>
      <c r="Z232" s="252"/>
      <c r="AA232" s="253"/>
      <c r="AB232" s="371"/>
      <c r="AC232" s="371"/>
      <c r="AD232" s="252"/>
      <c r="AE232" s="253"/>
      <c r="AF232" s="372"/>
      <c r="AG232" s="372"/>
      <c r="AH232" s="252"/>
      <c r="AI232" s="253"/>
      <c r="AJ232" s="373"/>
      <c r="AK232" s="373"/>
      <c r="AL232" s="252"/>
      <c r="AM232" s="253"/>
      <c r="AN232" s="374"/>
      <c r="AO232" s="374"/>
      <c r="AP232" s="255">
        <f t="shared" si="40"/>
        <v>0</v>
      </c>
      <c r="AQ232" s="256">
        <f t="shared" si="41"/>
        <v>0</v>
      </c>
      <c r="AR232" s="257">
        <f t="shared" si="42"/>
        <v>0</v>
      </c>
      <c r="AS232" s="258">
        <f t="shared" si="43"/>
        <v>0</v>
      </c>
      <c r="AT232" s="259"/>
      <c r="AU232" s="253"/>
      <c r="AV232" s="375"/>
      <c r="AW232" s="375"/>
      <c r="AX232" s="252"/>
      <c r="AY232" s="253"/>
      <c r="AZ232" s="376"/>
      <c r="BA232" s="376"/>
      <c r="BB232" s="252"/>
      <c r="BC232" s="253"/>
      <c r="BD232" s="377"/>
      <c r="BE232" s="377"/>
      <c r="BF232" s="252"/>
      <c r="BG232" s="253"/>
      <c r="BH232" s="378"/>
      <c r="BI232" s="378"/>
      <c r="BJ232" s="252"/>
      <c r="BK232" s="253"/>
      <c r="BL232" s="379"/>
      <c r="BM232" s="379"/>
      <c r="BN232" s="252"/>
      <c r="BO232" s="253"/>
      <c r="BP232" s="380"/>
      <c r="BQ232" s="380"/>
      <c r="BR232" s="252"/>
      <c r="BS232" s="253"/>
      <c r="BT232" s="381"/>
      <c r="BU232" s="381"/>
      <c r="BV232" s="252"/>
      <c r="BW232" s="253"/>
      <c r="BX232" s="382"/>
      <c r="BY232" s="382"/>
      <c r="BZ232" s="252"/>
      <c r="CA232" s="253"/>
      <c r="CB232" s="383"/>
      <c r="CC232" s="383"/>
      <c r="CD232" s="255">
        <f t="shared" si="44"/>
        <v>0</v>
      </c>
      <c r="CE232" s="256">
        <f t="shared" si="45"/>
        <v>0</v>
      </c>
      <c r="CF232" s="257">
        <f t="shared" si="46"/>
        <v>0</v>
      </c>
      <c r="CG232" s="261">
        <f t="shared" si="47"/>
        <v>0</v>
      </c>
    </row>
    <row r="233" spans="1:85" s="263" customFormat="1" ht="12.75" customHeight="1">
      <c r="A233" s="389" t="s">
        <v>206</v>
      </c>
      <c r="B233" s="466" t="s">
        <v>1171</v>
      </c>
      <c r="C233" s="504" t="s">
        <v>1241</v>
      </c>
      <c r="D233" s="390"/>
      <c r="E233" s="391">
        <v>12</v>
      </c>
      <c r="F233" s="252"/>
      <c r="G233" s="253"/>
      <c r="H233" s="367"/>
      <c r="I233" s="367"/>
      <c r="J233" s="252"/>
      <c r="K233" s="253"/>
      <c r="L233" s="368"/>
      <c r="M233" s="368"/>
      <c r="N233" s="252"/>
      <c r="O233" s="253"/>
      <c r="P233" s="385"/>
      <c r="Q233" s="385"/>
      <c r="R233" s="252"/>
      <c r="S233" s="253"/>
      <c r="T233" s="267"/>
      <c r="U233" s="268"/>
      <c r="V233" s="252"/>
      <c r="W233" s="253"/>
      <c r="X233" s="369"/>
      <c r="Y233" s="369"/>
      <c r="Z233" s="252"/>
      <c r="AA233" s="253"/>
      <c r="AB233" s="371"/>
      <c r="AC233" s="371"/>
      <c r="AD233" s="252"/>
      <c r="AE233" s="253"/>
      <c r="AF233" s="372"/>
      <c r="AG233" s="372"/>
      <c r="AH233" s="252"/>
      <c r="AI233" s="253"/>
      <c r="AJ233" s="373"/>
      <c r="AK233" s="373"/>
      <c r="AL233" s="252"/>
      <c r="AM233" s="253"/>
      <c r="AN233" s="374"/>
      <c r="AO233" s="374"/>
      <c r="AP233" s="255">
        <f t="shared" si="40"/>
        <v>0</v>
      </c>
      <c r="AQ233" s="256">
        <f t="shared" si="41"/>
        <v>0</v>
      </c>
      <c r="AR233" s="257">
        <f t="shared" si="42"/>
        <v>0</v>
      </c>
      <c r="AS233" s="258">
        <f t="shared" si="43"/>
        <v>0</v>
      </c>
      <c r="AT233" s="259"/>
      <c r="AU233" s="253"/>
      <c r="AV233" s="375"/>
      <c r="AW233" s="375"/>
      <c r="AX233" s="252"/>
      <c r="AY233" s="253"/>
      <c r="AZ233" s="376"/>
      <c r="BA233" s="376"/>
      <c r="BB233" s="252"/>
      <c r="BC233" s="253"/>
      <c r="BD233" s="377"/>
      <c r="BE233" s="377"/>
      <c r="BF233" s="252"/>
      <c r="BG233" s="253"/>
      <c r="BH233" s="378"/>
      <c r="BI233" s="378"/>
      <c r="BJ233" s="252"/>
      <c r="BK233" s="253"/>
      <c r="BL233" s="379"/>
      <c r="BM233" s="379"/>
      <c r="BN233" s="252"/>
      <c r="BO233" s="253"/>
      <c r="BP233" s="380"/>
      <c r="BQ233" s="380"/>
      <c r="BR233" s="252"/>
      <c r="BS233" s="253"/>
      <c r="BT233" s="381"/>
      <c r="BU233" s="381"/>
      <c r="BV233" s="252"/>
      <c r="BW233" s="253"/>
      <c r="BX233" s="382"/>
      <c r="BY233" s="382"/>
      <c r="BZ233" s="252"/>
      <c r="CA233" s="253"/>
      <c r="CB233" s="383"/>
      <c r="CC233" s="383"/>
      <c r="CD233" s="255">
        <f t="shared" si="44"/>
        <v>0</v>
      </c>
      <c r="CE233" s="256">
        <f t="shared" si="45"/>
        <v>0</v>
      </c>
      <c r="CF233" s="257">
        <f t="shared" si="46"/>
        <v>0</v>
      </c>
      <c r="CG233" s="261">
        <f t="shared" si="47"/>
        <v>0</v>
      </c>
    </row>
    <row r="234" spans="1:85" s="263" customFormat="1" ht="12.75" customHeight="1">
      <c r="A234" s="389" t="s">
        <v>206</v>
      </c>
      <c r="B234" s="466" t="s">
        <v>1172</v>
      </c>
      <c r="C234" s="504" t="s">
        <v>1242</v>
      </c>
      <c r="D234" s="390"/>
      <c r="E234" s="391">
        <v>12</v>
      </c>
      <c r="F234" s="252"/>
      <c r="G234" s="253"/>
      <c r="H234" s="367"/>
      <c r="I234" s="367"/>
      <c r="J234" s="252"/>
      <c r="K234" s="253"/>
      <c r="L234" s="368"/>
      <c r="M234" s="368"/>
      <c r="N234" s="252"/>
      <c r="O234" s="253"/>
      <c r="P234" s="385"/>
      <c r="Q234" s="385"/>
      <c r="R234" s="252"/>
      <c r="S234" s="253"/>
      <c r="T234" s="267"/>
      <c r="U234" s="268"/>
      <c r="V234" s="252"/>
      <c r="W234" s="253"/>
      <c r="X234" s="369"/>
      <c r="Y234" s="369"/>
      <c r="Z234" s="252"/>
      <c r="AA234" s="253"/>
      <c r="AB234" s="371"/>
      <c r="AC234" s="371"/>
      <c r="AD234" s="252"/>
      <c r="AE234" s="253"/>
      <c r="AF234" s="372"/>
      <c r="AG234" s="372"/>
      <c r="AH234" s="252"/>
      <c r="AI234" s="253"/>
      <c r="AJ234" s="373"/>
      <c r="AK234" s="373"/>
      <c r="AL234" s="252"/>
      <c r="AM234" s="253"/>
      <c r="AN234" s="374"/>
      <c r="AO234" s="374"/>
      <c r="AP234" s="255">
        <f t="shared" ref="AP234:AP280" si="48">MAX(AL234,AH234,AD234,Z234,V234,R234,N234,J234,F234)</f>
        <v>0</v>
      </c>
      <c r="AQ234" s="256">
        <f t="shared" ref="AQ234:AQ280" si="49">SUM(AM234,AI234,AE234,AA234,W234,S234,O234,K234,G234)</f>
        <v>0</v>
      </c>
      <c r="AR234" s="257">
        <f t="shared" ref="AR234:AR280" si="50">MAX(AN234,AJ234,AF234,AB234,X234,T234,P234,L234,H234)</f>
        <v>0</v>
      </c>
      <c r="AS234" s="258">
        <f t="shared" ref="AS234:AS280" si="51">SUM(AO234,AK234,AG234,AC234,Y234,U234,Q234,M234,I234)</f>
        <v>0</v>
      </c>
      <c r="AT234" s="259"/>
      <c r="AU234" s="253"/>
      <c r="AV234" s="375"/>
      <c r="AW234" s="375"/>
      <c r="AX234" s="252"/>
      <c r="AY234" s="253"/>
      <c r="AZ234" s="376"/>
      <c r="BA234" s="376"/>
      <c r="BB234" s="252"/>
      <c r="BC234" s="253"/>
      <c r="BD234" s="377"/>
      <c r="BE234" s="377"/>
      <c r="BF234" s="252"/>
      <c r="BG234" s="253"/>
      <c r="BH234" s="378"/>
      <c r="BI234" s="378"/>
      <c r="BJ234" s="252"/>
      <c r="BK234" s="253"/>
      <c r="BL234" s="379"/>
      <c r="BM234" s="379"/>
      <c r="BN234" s="252"/>
      <c r="BO234" s="253"/>
      <c r="BP234" s="380"/>
      <c r="BQ234" s="380"/>
      <c r="BR234" s="252"/>
      <c r="BS234" s="253"/>
      <c r="BT234" s="381"/>
      <c r="BU234" s="381"/>
      <c r="BV234" s="252"/>
      <c r="BW234" s="253"/>
      <c r="BX234" s="382"/>
      <c r="BY234" s="382"/>
      <c r="BZ234" s="252"/>
      <c r="CA234" s="253"/>
      <c r="CB234" s="383"/>
      <c r="CC234" s="383"/>
      <c r="CD234" s="255">
        <f t="shared" ref="CD234:CD280" si="52">MAX(BZ234,BV234,BR234,BN234,BJ234,BF234,BB234,AX234,AT234)</f>
        <v>0</v>
      </c>
      <c r="CE234" s="256">
        <f t="shared" ref="CE234:CE280" si="53">SUM(CA234,BW234,BS234,BO234,BK234,BG234,BC234,AY234,AU234)</f>
        <v>0</v>
      </c>
      <c r="CF234" s="257">
        <f t="shared" ref="CF234:CF280" si="54">MAX(CB234,BX234,BT234,BP234,BL234,BH234,BD234,AZ234,AV234)</f>
        <v>0</v>
      </c>
      <c r="CG234" s="261">
        <f t="shared" ref="CG234:CG280" si="55">SUM(CC234,BY234,BU234,BQ234,BM234,BI234,BE234,BA234,AW234)</f>
        <v>0</v>
      </c>
    </row>
    <row r="235" spans="1:85" s="263" customFormat="1" ht="12.75" customHeight="1">
      <c r="A235" s="389" t="s">
        <v>206</v>
      </c>
      <c r="B235" s="466" t="s">
        <v>1173</v>
      </c>
      <c r="C235" s="504" t="s">
        <v>1243</v>
      </c>
      <c r="D235" s="390"/>
      <c r="E235" s="391">
        <v>12</v>
      </c>
      <c r="F235" s="252"/>
      <c r="G235" s="253"/>
      <c r="H235" s="367"/>
      <c r="I235" s="367"/>
      <c r="J235" s="252"/>
      <c r="K235" s="253"/>
      <c r="L235" s="368"/>
      <c r="M235" s="368"/>
      <c r="N235" s="252"/>
      <c r="O235" s="253"/>
      <c r="P235" s="385"/>
      <c r="Q235" s="385"/>
      <c r="R235" s="252"/>
      <c r="S235" s="253"/>
      <c r="T235" s="267"/>
      <c r="U235" s="268"/>
      <c r="V235" s="252"/>
      <c r="W235" s="253"/>
      <c r="X235" s="369"/>
      <c r="Y235" s="369"/>
      <c r="Z235" s="252"/>
      <c r="AA235" s="253"/>
      <c r="AB235" s="371"/>
      <c r="AC235" s="371"/>
      <c r="AD235" s="252"/>
      <c r="AE235" s="253"/>
      <c r="AF235" s="372"/>
      <c r="AG235" s="372"/>
      <c r="AH235" s="252"/>
      <c r="AI235" s="253"/>
      <c r="AJ235" s="373"/>
      <c r="AK235" s="373"/>
      <c r="AL235" s="252"/>
      <c r="AM235" s="253"/>
      <c r="AN235" s="374"/>
      <c r="AO235" s="374"/>
      <c r="AP235" s="255">
        <f t="shared" si="48"/>
        <v>0</v>
      </c>
      <c r="AQ235" s="256">
        <f t="shared" si="49"/>
        <v>0</v>
      </c>
      <c r="AR235" s="257">
        <f t="shared" si="50"/>
        <v>0</v>
      </c>
      <c r="AS235" s="258">
        <f t="shared" si="51"/>
        <v>0</v>
      </c>
      <c r="AT235" s="259"/>
      <c r="AU235" s="253"/>
      <c r="AV235" s="375"/>
      <c r="AW235" s="375"/>
      <c r="AX235" s="252"/>
      <c r="AY235" s="253"/>
      <c r="AZ235" s="376"/>
      <c r="BA235" s="376"/>
      <c r="BB235" s="252"/>
      <c r="BC235" s="253"/>
      <c r="BD235" s="377"/>
      <c r="BE235" s="377"/>
      <c r="BF235" s="252"/>
      <c r="BG235" s="253"/>
      <c r="BH235" s="378"/>
      <c r="BI235" s="378"/>
      <c r="BJ235" s="252"/>
      <c r="BK235" s="253"/>
      <c r="BL235" s="379"/>
      <c r="BM235" s="379"/>
      <c r="BN235" s="252"/>
      <c r="BO235" s="253"/>
      <c r="BP235" s="380"/>
      <c r="BQ235" s="380"/>
      <c r="BR235" s="252"/>
      <c r="BS235" s="253"/>
      <c r="BT235" s="381"/>
      <c r="BU235" s="381"/>
      <c r="BV235" s="252"/>
      <c r="BW235" s="253"/>
      <c r="BX235" s="382"/>
      <c r="BY235" s="382"/>
      <c r="BZ235" s="252"/>
      <c r="CA235" s="253"/>
      <c r="CB235" s="383"/>
      <c r="CC235" s="383"/>
      <c r="CD235" s="255">
        <f t="shared" si="52"/>
        <v>0</v>
      </c>
      <c r="CE235" s="256">
        <f t="shared" si="53"/>
        <v>0</v>
      </c>
      <c r="CF235" s="257">
        <f t="shared" si="54"/>
        <v>0</v>
      </c>
      <c r="CG235" s="261">
        <f t="shared" si="55"/>
        <v>0</v>
      </c>
    </row>
    <row r="236" spans="1:85" s="263" customFormat="1" ht="12.75" customHeight="1">
      <c r="A236" s="389" t="s">
        <v>206</v>
      </c>
      <c r="B236" s="466" t="s">
        <v>1174</v>
      </c>
      <c r="C236" s="504" t="s">
        <v>1244</v>
      </c>
      <c r="D236" s="390"/>
      <c r="E236" s="391">
        <v>12</v>
      </c>
      <c r="F236" s="252"/>
      <c r="G236" s="253"/>
      <c r="H236" s="367"/>
      <c r="I236" s="367"/>
      <c r="J236" s="252"/>
      <c r="K236" s="253"/>
      <c r="L236" s="368"/>
      <c r="M236" s="368"/>
      <c r="N236" s="252"/>
      <c r="O236" s="253"/>
      <c r="P236" s="385"/>
      <c r="Q236" s="385"/>
      <c r="R236" s="252"/>
      <c r="S236" s="253"/>
      <c r="T236" s="267"/>
      <c r="U236" s="268"/>
      <c r="V236" s="252"/>
      <c r="W236" s="253"/>
      <c r="X236" s="369"/>
      <c r="Y236" s="369"/>
      <c r="Z236" s="252"/>
      <c r="AA236" s="253"/>
      <c r="AB236" s="371"/>
      <c r="AC236" s="371"/>
      <c r="AD236" s="252"/>
      <c r="AE236" s="253"/>
      <c r="AF236" s="372"/>
      <c r="AG236" s="372"/>
      <c r="AH236" s="252"/>
      <c r="AI236" s="253"/>
      <c r="AJ236" s="373"/>
      <c r="AK236" s="373"/>
      <c r="AL236" s="252"/>
      <c r="AM236" s="253"/>
      <c r="AN236" s="374"/>
      <c r="AO236" s="374"/>
      <c r="AP236" s="255">
        <f t="shared" si="48"/>
        <v>0</v>
      </c>
      <c r="AQ236" s="256">
        <f t="shared" si="49"/>
        <v>0</v>
      </c>
      <c r="AR236" s="257">
        <f t="shared" si="50"/>
        <v>0</v>
      </c>
      <c r="AS236" s="258">
        <f t="shared" si="51"/>
        <v>0</v>
      </c>
      <c r="AT236" s="259"/>
      <c r="AU236" s="253"/>
      <c r="AV236" s="375"/>
      <c r="AW236" s="375"/>
      <c r="AX236" s="252"/>
      <c r="AY236" s="253"/>
      <c r="AZ236" s="376"/>
      <c r="BA236" s="376"/>
      <c r="BB236" s="252"/>
      <c r="BC236" s="253"/>
      <c r="BD236" s="377"/>
      <c r="BE236" s="377"/>
      <c r="BF236" s="252"/>
      <c r="BG236" s="253"/>
      <c r="BH236" s="378"/>
      <c r="BI236" s="378"/>
      <c r="BJ236" s="252"/>
      <c r="BK236" s="253"/>
      <c r="BL236" s="379"/>
      <c r="BM236" s="379"/>
      <c r="BN236" s="252"/>
      <c r="BO236" s="253"/>
      <c r="BP236" s="380"/>
      <c r="BQ236" s="380"/>
      <c r="BR236" s="252"/>
      <c r="BS236" s="253"/>
      <c r="BT236" s="381"/>
      <c r="BU236" s="381"/>
      <c r="BV236" s="252"/>
      <c r="BW236" s="253"/>
      <c r="BX236" s="382"/>
      <c r="BY236" s="382"/>
      <c r="BZ236" s="252"/>
      <c r="CA236" s="253"/>
      <c r="CB236" s="383"/>
      <c r="CC236" s="383"/>
      <c r="CD236" s="255">
        <f t="shared" si="52"/>
        <v>0</v>
      </c>
      <c r="CE236" s="256">
        <f t="shared" si="53"/>
        <v>0</v>
      </c>
      <c r="CF236" s="257">
        <f t="shared" si="54"/>
        <v>0</v>
      </c>
      <c r="CG236" s="261">
        <f t="shared" si="55"/>
        <v>0</v>
      </c>
    </row>
    <row r="237" spans="1:85" s="263" customFormat="1" ht="12.75" customHeight="1">
      <c r="A237" s="389" t="s">
        <v>206</v>
      </c>
      <c r="B237" s="466" t="s">
        <v>1175</v>
      </c>
      <c r="C237" s="504" t="s">
        <v>1245</v>
      </c>
      <c r="D237" s="390"/>
      <c r="E237" s="391">
        <v>12</v>
      </c>
      <c r="F237" s="252"/>
      <c r="G237" s="253"/>
      <c r="H237" s="367"/>
      <c r="I237" s="367"/>
      <c r="J237" s="252"/>
      <c r="K237" s="253"/>
      <c r="L237" s="368"/>
      <c r="M237" s="368"/>
      <c r="N237" s="252"/>
      <c r="O237" s="253"/>
      <c r="P237" s="385"/>
      <c r="Q237" s="385"/>
      <c r="R237" s="252"/>
      <c r="S237" s="253"/>
      <c r="T237" s="267"/>
      <c r="U237" s="268"/>
      <c r="V237" s="252"/>
      <c r="W237" s="253"/>
      <c r="X237" s="369"/>
      <c r="Y237" s="369"/>
      <c r="Z237" s="252"/>
      <c r="AA237" s="253"/>
      <c r="AB237" s="371"/>
      <c r="AC237" s="371"/>
      <c r="AD237" s="252"/>
      <c r="AE237" s="253"/>
      <c r="AF237" s="372"/>
      <c r="AG237" s="372"/>
      <c r="AH237" s="252"/>
      <c r="AI237" s="253"/>
      <c r="AJ237" s="373"/>
      <c r="AK237" s="373"/>
      <c r="AL237" s="252"/>
      <c r="AM237" s="253"/>
      <c r="AN237" s="374"/>
      <c r="AO237" s="374"/>
      <c r="AP237" s="255">
        <f t="shared" si="48"/>
        <v>0</v>
      </c>
      <c r="AQ237" s="256">
        <f t="shared" si="49"/>
        <v>0</v>
      </c>
      <c r="AR237" s="257">
        <f t="shared" si="50"/>
        <v>0</v>
      </c>
      <c r="AS237" s="258">
        <f t="shared" si="51"/>
        <v>0</v>
      </c>
      <c r="AT237" s="259"/>
      <c r="AU237" s="253"/>
      <c r="AV237" s="375"/>
      <c r="AW237" s="375"/>
      <c r="AX237" s="252"/>
      <c r="AY237" s="253"/>
      <c r="AZ237" s="376"/>
      <c r="BA237" s="376"/>
      <c r="BB237" s="252"/>
      <c r="BC237" s="253"/>
      <c r="BD237" s="377"/>
      <c r="BE237" s="377"/>
      <c r="BF237" s="252"/>
      <c r="BG237" s="253"/>
      <c r="BH237" s="378"/>
      <c r="BI237" s="378"/>
      <c r="BJ237" s="252"/>
      <c r="BK237" s="253"/>
      <c r="BL237" s="379"/>
      <c r="BM237" s="379"/>
      <c r="BN237" s="252"/>
      <c r="BO237" s="253"/>
      <c r="BP237" s="380"/>
      <c r="BQ237" s="380"/>
      <c r="BR237" s="252"/>
      <c r="BS237" s="253"/>
      <c r="BT237" s="381"/>
      <c r="BU237" s="381"/>
      <c r="BV237" s="252"/>
      <c r="BW237" s="253"/>
      <c r="BX237" s="382"/>
      <c r="BY237" s="382"/>
      <c r="BZ237" s="252"/>
      <c r="CA237" s="253"/>
      <c r="CB237" s="383"/>
      <c r="CC237" s="383"/>
      <c r="CD237" s="255">
        <f t="shared" si="52"/>
        <v>0</v>
      </c>
      <c r="CE237" s="256">
        <f t="shared" si="53"/>
        <v>0</v>
      </c>
      <c r="CF237" s="257">
        <f t="shared" si="54"/>
        <v>0</v>
      </c>
      <c r="CG237" s="261">
        <f t="shared" si="55"/>
        <v>0</v>
      </c>
    </row>
    <row r="238" spans="1:85" s="263" customFormat="1" ht="12.75" customHeight="1">
      <c r="A238" s="398" t="s">
        <v>213</v>
      </c>
      <c r="B238" s="399" t="s">
        <v>214</v>
      </c>
      <c r="C238" s="399"/>
      <c r="D238" s="400">
        <v>163286</v>
      </c>
      <c r="E238" s="401">
        <v>1</v>
      </c>
      <c r="F238" s="252">
        <v>1136</v>
      </c>
      <c r="G238" s="253">
        <v>8683200</v>
      </c>
      <c r="H238" s="367">
        <v>1142</v>
      </c>
      <c r="I238" s="367">
        <v>8627905</v>
      </c>
      <c r="J238" s="252">
        <v>1143</v>
      </c>
      <c r="K238" s="253">
        <v>10562435</v>
      </c>
      <c r="L238" s="368">
        <v>1147</v>
      </c>
      <c r="M238" s="368">
        <v>10567311</v>
      </c>
      <c r="N238" s="252"/>
      <c r="O238" s="253"/>
      <c r="P238" s="385"/>
      <c r="Q238" s="385"/>
      <c r="R238" s="252">
        <v>1143</v>
      </c>
      <c r="S238" s="253">
        <v>7459349</v>
      </c>
      <c r="T238" s="267">
        <v>1147</v>
      </c>
      <c r="U238" s="268">
        <v>7406224</v>
      </c>
      <c r="V238" s="252">
        <v>1143</v>
      </c>
      <c r="W238" s="253">
        <v>112723</v>
      </c>
      <c r="X238" s="369">
        <v>1147</v>
      </c>
      <c r="Y238" s="369">
        <v>111514</v>
      </c>
      <c r="Z238" s="252"/>
      <c r="AA238" s="253"/>
      <c r="AB238" s="371"/>
      <c r="AC238" s="371"/>
      <c r="AD238" s="252">
        <v>1143</v>
      </c>
      <c r="AE238" s="253">
        <v>349440</v>
      </c>
      <c r="AF238" s="372">
        <v>1147</v>
      </c>
      <c r="AG238" s="372">
        <v>345693</v>
      </c>
      <c r="AH238" s="252">
        <v>286</v>
      </c>
      <c r="AI238" s="253">
        <v>1359136</v>
      </c>
      <c r="AJ238" s="373">
        <v>320</v>
      </c>
      <c r="AK238" s="373">
        <v>1460535</v>
      </c>
      <c r="AL238" s="252"/>
      <c r="AM238" s="253"/>
      <c r="AN238" s="374"/>
      <c r="AO238" s="374"/>
      <c r="AP238" s="255">
        <f t="shared" si="48"/>
        <v>1143</v>
      </c>
      <c r="AQ238" s="256">
        <f t="shared" si="49"/>
        <v>28526283</v>
      </c>
      <c r="AR238" s="257">
        <f t="shared" si="50"/>
        <v>1147</v>
      </c>
      <c r="AS238" s="258">
        <f t="shared" si="51"/>
        <v>28519182</v>
      </c>
      <c r="AT238" s="259">
        <v>474</v>
      </c>
      <c r="AU238" s="253">
        <v>5494262</v>
      </c>
      <c r="AV238" s="375">
        <v>465</v>
      </c>
      <c r="AW238" s="375">
        <v>5393911</v>
      </c>
      <c r="AX238" s="252">
        <v>475</v>
      </c>
      <c r="AY238" s="253">
        <v>4376175</v>
      </c>
      <c r="AZ238" s="376">
        <v>466</v>
      </c>
      <c r="BA238" s="376">
        <v>4293258</v>
      </c>
      <c r="BB238" s="252"/>
      <c r="BC238" s="253"/>
      <c r="BD238" s="377"/>
      <c r="BE238" s="377"/>
      <c r="BF238" s="252">
        <v>475</v>
      </c>
      <c r="BG238" s="253">
        <v>3891263</v>
      </c>
      <c r="BH238" s="378">
        <v>466</v>
      </c>
      <c r="BI238" s="378">
        <v>3824342</v>
      </c>
      <c r="BJ238" s="252">
        <v>475</v>
      </c>
      <c r="BK238" s="253">
        <v>67133</v>
      </c>
      <c r="BL238" s="379">
        <v>466</v>
      </c>
      <c r="BM238" s="379">
        <v>66345</v>
      </c>
      <c r="BN238" s="252"/>
      <c r="BO238" s="253"/>
      <c r="BP238" s="380"/>
      <c r="BQ238" s="380"/>
      <c r="BR238" s="252">
        <v>475</v>
      </c>
      <c r="BS238" s="253">
        <v>208384</v>
      </c>
      <c r="BT238" s="381">
        <v>466</v>
      </c>
      <c r="BU238" s="381">
        <v>205668</v>
      </c>
      <c r="BV238" s="252">
        <v>119</v>
      </c>
      <c r="BW238" s="253">
        <v>564820</v>
      </c>
      <c r="BX238" s="382">
        <v>142</v>
      </c>
      <c r="BY238" s="382">
        <v>626059</v>
      </c>
      <c r="BZ238" s="252"/>
      <c r="CA238" s="253"/>
      <c r="CB238" s="383"/>
      <c r="CC238" s="383"/>
      <c r="CD238" s="255">
        <f t="shared" si="52"/>
        <v>475</v>
      </c>
      <c r="CE238" s="256">
        <f t="shared" si="53"/>
        <v>14602037</v>
      </c>
      <c r="CF238" s="257">
        <f t="shared" si="54"/>
        <v>466</v>
      </c>
      <c r="CG238" s="261">
        <f t="shared" si="55"/>
        <v>14409583</v>
      </c>
    </row>
    <row r="239" spans="1:85" s="263" customFormat="1" ht="12.75" customHeight="1">
      <c r="A239" s="398" t="s">
        <v>213</v>
      </c>
      <c r="B239" s="399" t="s">
        <v>1000</v>
      </c>
      <c r="C239" s="399"/>
      <c r="D239" s="400">
        <v>163268</v>
      </c>
      <c r="E239" s="401">
        <v>2</v>
      </c>
      <c r="F239" s="252">
        <v>399</v>
      </c>
      <c r="G239" s="253">
        <v>2498593</v>
      </c>
      <c r="H239" s="367">
        <v>401</v>
      </c>
      <c r="I239" s="367">
        <v>2563963</v>
      </c>
      <c r="J239" s="252">
        <v>399</v>
      </c>
      <c r="K239" s="253">
        <v>3581025</v>
      </c>
      <c r="L239" s="368">
        <v>401</v>
      </c>
      <c r="M239" s="368">
        <v>3758573</v>
      </c>
      <c r="N239" s="252"/>
      <c r="O239" s="253"/>
      <c r="P239" s="385"/>
      <c r="Q239" s="385"/>
      <c r="R239" s="252">
        <v>399</v>
      </c>
      <c r="S239" s="253">
        <v>2227344</v>
      </c>
      <c r="T239" s="267">
        <v>401</v>
      </c>
      <c r="U239" s="268">
        <v>2241177</v>
      </c>
      <c r="V239" s="252">
        <v>399</v>
      </c>
      <c r="W239" s="253">
        <v>30975</v>
      </c>
      <c r="X239" s="369">
        <v>401</v>
      </c>
      <c r="Y239" s="369">
        <v>86517</v>
      </c>
      <c r="Z239" s="252"/>
      <c r="AA239" s="253"/>
      <c r="AB239" s="371"/>
      <c r="AC239" s="371"/>
      <c r="AD239" s="252">
        <v>399</v>
      </c>
      <c r="AE239" s="253">
        <v>96023</v>
      </c>
      <c r="AF239" s="372">
        <v>401</v>
      </c>
      <c r="AG239" s="372">
        <v>95787</v>
      </c>
      <c r="AH239" s="252"/>
      <c r="AI239" s="253"/>
      <c r="AJ239" s="373"/>
      <c r="AK239" s="373"/>
      <c r="AL239" s="252"/>
      <c r="AM239" s="253"/>
      <c r="AN239" s="374"/>
      <c r="AO239" s="374"/>
      <c r="AP239" s="255">
        <f t="shared" si="48"/>
        <v>399</v>
      </c>
      <c r="AQ239" s="256">
        <f t="shared" si="49"/>
        <v>8433960</v>
      </c>
      <c r="AR239" s="257">
        <f t="shared" si="50"/>
        <v>401</v>
      </c>
      <c r="AS239" s="258">
        <f t="shared" si="51"/>
        <v>8746017</v>
      </c>
      <c r="AT239" s="259">
        <v>81</v>
      </c>
      <c r="AU239" s="253">
        <v>796396</v>
      </c>
      <c r="AV239" s="375">
        <v>80</v>
      </c>
      <c r="AW239" s="375">
        <v>766751</v>
      </c>
      <c r="AX239" s="252">
        <v>81</v>
      </c>
      <c r="AY239" s="253">
        <v>726975</v>
      </c>
      <c r="AZ239" s="376">
        <v>80</v>
      </c>
      <c r="BA239" s="376">
        <v>749840</v>
      </c>
      <c r="BB239" s="252"/>
      <c r="BC239" s="253"/>
      <c r="BD239" s="377"/>
      <c r="BE239" s="377"/>
      <c r="BF239" s="252">
        <v>81</v>
      </c>
      <c r="BG239" s="253">
        <v>627862</v>
      </c>
      <c r="BH239" s="378">
        <v>80</v>
      </c>
      <c r="BI239" s="378">
        <v>637094</v>
      </c>
      <c r="BJ239" s="252">
        <v>81</v>
      </c>
      <c r="BK239" s="253">
        <v>10291</v>
      </c>
      <c r="BL239" s="379">
        <v>80</v>
      </c>
      <c r="BM239" s="379">
        <v>28872</v>
      </c>
      <c r="BN239" s="252"/>
      <c r="BO239" s="253"/>
      <c r="BP239" s="380"/>
      <c r="BQ239" s="380"/>
      <c r="BR239" s="252">
        <v>81</v>
      </c>
      <c r="BS239" s="253">
        <v>31903</v>
      </c>
      <c r="BT239" s="381">
        <v>80</v>
      </c>
      <c r="BU239" s="381">
        <v>31966</v>
      </c>
      <c r="BV239" s="252"/>
      <c r="BW239" s="253"/>
      <c r="BX239" s="382"/>
      <c r="BY239" s="382"/>
      <c r="BZ239" s="252"/>
      <c r="CA239" s="253"/>
      <c r="CB239" s="383"/>
      <c r="CC239" s="383"/>
      <c r="CD239" s="255">
        <f t="shared" si="52"/>
        <v>81</v>
      </c>
      <c r="CE239" s="256">
        <f t="shared" si="53"/>
        <v>2193427</v>
      </c>
      <c r="CF239" s="257">
        <f t="shared" si="54"/>
        <v>80</v>
      </c>
      <c r="CG239" s="261">
        <f t="shared" si="55"/>
        <v>2214523</v>
      </c>
    </row>
    <row r="240" spans="1:85" s="263" customFormat="1" ht="12.75" customHeight="1">
      <c r="A240" s="398" t="s">
        <v>213</v>
      </c>
      <c r="B240" s="441" t="s">
        <v>218</v>
      </c>
      <c r="C240" s="505" t="s">
        <v>1246</v>
      </c>
      <c r="D240" s="400">
        <v>163453</v>
      </c>
      <c r="E240" s="401">
        <v>3</v>
      </c>
      <c r="F240" s="252">
        <v>275</v>
      </c>
      <c r="G240" s="253">
        <v>1634575</v>
      </c>
      <c r="H240" s="367">
        <v>268</v>
      </c>
      <c r="I240" s="367">
        <v>1813019</v>
      </c>
      <c r="J240" s="252">
        <v>275</v>
      </c>
      <c r="K240" s="253">
        <v>2212742</v>
      </c>
      <c r="L240" s="368">
        <v>268</v>
      </c>
      <c r="M240" s="368">
        <v>2270496</v>
      </c>
      <c r="N240" s="252"/>
      <c r="O240" s="253"/>
      <c r="P240" s="385"/>
      <c r="Q240" s="385"/>
      <c r="R240" s="252">
        <v>275</v>
      </c>
      <c r="S240" s="253">
        <v>1534802</v>
      </c>
      <c r="T240" s="267">
        <v>268</v>
      </c>
      <c r="U240" s="268">
        <v>1492010</v>
      </c>
      <c r="V240" s="252">
        <v>275</v>
      </c>
      <c r="W240" s="253">
        <v>33676</v>
      </c>
      <c r="X240" s="369">
        <v>268</v>
      </c>
      <c r="Y240" s="369">
        <v>19582</v>
      </c>
      <c r="Z240" s="252"/>
      <c r="AA240" s="253"/>
      <c r="AB240" s="371"/>
      <c r="AC240" s="371"/>
      <c r="AD240" s="252">
        <v>275</v>
      </c>
      <c r="AE240" s="253">
        <v>43615</v>
      </c>
      <c r="AF240" s="372">
        <v>268</v>
      </c>
      <c r="AG240" s="372">
        <v>42504</v>
      </c>
      <c r="AH240" s="252">
        <v>41</v>
      </c>
      <c r="AI240" s="253">
        <v>83460</v>
      </c>
      <c r="AJ240" s="373">
        <v>23</v>
      </c>
      <c r="AK240" s="373">
        <v>50692</v>
      </c>
      <c r="AL240" s="252"/>
      <c r="AM240" s="253"/>
      <c r="AN240" s="374"/>
      <c r="AO240" s="374"/>
      <c r="AP240" s="255">
        <f t="shared" si="48"/>
        <v>275</v>
      </c>
      <c r="AQ240" s="256">
        <f t="shared" si="49"/>
        <v>5542870</v>
      </c>
      <c r="AR240" s="257">
        <f t="shared" si="50"/>
        <v>268</v>
      </c>
      <c r="AS240" s="258">
        <f t="shared" si="51"/>
        <v>5688303</v>
      </c>
      <c r="AT240" s="259">
        <v>45</v>
      </c>
      <c r="AU240" s="253">
        <v>443388</v>
      </c>
      <c r="AV240" s="375">
        <v>53</v>
      </c>
      <c r="AW240" s="375">
        <v>547700</v>
      </c>
      <c r="AX240" s="252">
        <v>45</v>
      </c>
      <c r="AY240" s="253">
        <v>433368</v>
      </c>
      <c r="AZ240" s="376">
        <v>53</v>
      </c>
      <c r="BA240" s="376">
        <v>546384</v>
      </c>
      <c r="BB240" s="252"/>
      <c r="BC240" s="253"/>
      <c r="BD240" s="377"/>
      <c r="BE240" s="377"/>
      <c r="BF240" s="252">
        <v>45</v>
      </c>
      <c r="BG240" s="253">
        <v>390055</v>
      </c>
      <c r="BH240" s="378">
        <v>53</v>
      </c>
      <c r="BI240" s="378">
        <v>442877</v>
      </c>
      <c r="BJ240" s="252">
        <v>45</v>
      </c>
      <c r="BK240" s="253">
        <v>5511</v>
      </c>
      <c r="BL240" s="379">
        <v>53</v>
      </c>
      <c r="BM240" s="379">
        <v>5931</v>
      </c>
      <c r="BN240" s="252"/>
      <c r="BO240" s="253"/>
      <c r="BP240" s="380"/>
      <c r="BQ240" s="380"/>
      <c r="BR240" s="252">
        <v>45</v>
      </c>
      <c r="BS240" s="253">
        <v>7137</v>
      </c>
      <c r="BT240" s="381">
        <v>53</v>
      </c>
      <c r="BU240" s="381">
        <v>8405</v>
      </c>
      <c r="BV240" s="252"/>
      <c r="BW240" s="253"/>
      <c r="BX240" s="382"/>
      <c r="BY240" s="382"/>
      <c r="BZ240" s="252"/>
      <c r="CA240" s="253"/>
      <c r="CB240" s="383"/>
      <c r="CC240" s="383"/>
      <c r="CD240" s="255">
        <f t="shared" si="52"/>
        <v>45</v>
      </c>
      <c r="CE240" s="256">
        <f t="shared" si="53"/>
        <v>1279459</v>
      </c>
      <c r="CF240" s="257">
        <f t="shared" si="54"/>
        <v>53</v>
      </c>
      <c r="CG240" s="261">
        <f t="shared" si="55"/>
        <v>1551297</v>
      </c>
    </row>
    <row r="241" spans="1:85" s="263" customFormat="1" ht="12.75" customHeight="1">
      <c r="A241" s="398" t="s">
        <v>213</v>
      </c>
      <c r="B241" s="399" t="s">
        <v>215</v>
      </c>
      <c r="C241" s="399"/>
      <c r="D241" s="400">
        <v>164076</v>
      </c>
      <c r="E241" s="401">
        <v>3</v>
      </c>
      <c r="F241" s="252">
        <v>777</v>
      </c>
      <c r="G241" s="253">
        <v>4034533</v>
      </c>
      <c r="H241" s="367">
        <v>787</v>
      </c>
      <c r="I241" s="367">
        <v>4311892</v>
      </c>
      <c r="J241" s="252">
        <v>777</v>
      </c>
      <c r="K241" s="253">
        <v>6667702</v>
      </c>
      <c r="L241" s="368">
        <v>787</v>
      </c>
      <c r="M241" s="368">
        <v>7748324</v>
      </c>
      <c r="N241" s="252"/>
      <c r="O241" s="253"/>
      <c r="P241" s="385"/>
      <c r="Q241" s="385"/>
      <c r="R241" s="252">
        <v>777</v>
      </c>
      <c r="S241" s="253">
        <v>3710374</v>
      </c>
      <c r="T241" s="267">
        <v>787</v>
      </c>
      <c r="U241" s="268">
        <v>3708127</v>
      </c>
      <c r="V241" s="252">
        <v>777</v>
      </c>
      <c r="W241" s="253">
        <v>44884</v>
      </c>
      <c r="X241" s="369">
        <v>787</v>
      </c>
      <c r="Y241" s="369">
        <v>75470</v>
      </c>
      <c r="Z241" s="252"/>
      <c r="AA241" s="253"/>
      <c r="AB241" s="371"/>
      <c r="AC241" s="371"/>
      <c r="AD241" s="252">
        <v>777</v>
      </c>
      <c r="AE241" s="253">
        <v>324159</v>
      </c>
      <c r="AF241" s="372">
        <v>787</v>
      </c>
      <c r="AG241" s="372">
        <v>161004</v>
      </c>
      <c r="AH241" s="252">
        <v>56</v>
      </c>
      <c r="AI241" s="253">
        <v>250433</v>
      </c>
      <c r="AJ241" s="373">
        <v>60</v>
      </c>
      <c r="AK241" s="373">
        <v>279050</v>
      </c>
      <c r="AL241" s="252"/>
      <c r="AM241" s="253"/>
      <c r="AN241" s="374"/>
      <c r="AO241" s="374"/>
      <c r="AP241" s="255">
        <f t="shared" si="48"/>
        <v>777</v>
      </c>
      <c r="AQ241" s="256">
        <f t="shared" si="49"/>
        <v>15032085</v>
      </c>
      <c r="AR241" s="257">
        <f t="shared" si="50"/>
        <v>787</v>
      </c>
      <c r="AS241" s="258">
        <f t="shared" si="51"/>
        <v>16283867</v>
      </c>
      <c r="AT241" s="259">
        <v>45</v>
      </c>
      <c r="AU241" s="253">
        <v>381632</v>
      </c>
      <c r="AV241" s="375">
        <v>43</v>
      </c>
      <c r="AW241" s="375">
        <v>394158</v>
      </c>
      <c r="AX241" s="252">
        <v>45</v>
      </c>
      <c r="AY241" s="253">
        <v>630706</v>
      </c>
      <c r="AZ241" s="376">
        <v>43</v>
      </c>
      <c r="BA241" s="376">
        <v>708289</v>
      </c>
      <c r="BB241" s="252"/>
      <c r="BC241" s="253"/>
      <c r="BD241" s="377"/>
      <c r="BE241" s="377"/>
      <c r="BF241" s="252"/>
      <c r="BG241" s="253"/>
      <c r="BH241" s="378"/>
      <c r="BI241" s="378"/>
      <c r="BJ241" s="252">
        <v>45</v>
      </c>
      <c r="BK241" s="253">
        <v>4246</v>
      </c>
      <c r="BL241" s="379">
        <v>43</v>
      </c>
      <c r="BM241" s="379">
        <v>6899</v>
      </c>
      <c r="BN241" s="252"/>
      <c r="BO241" s="253"/>
      <c r="BP241" s="380"/>
      <c r="BQ241" s="380"/>
      <c r="BR241" s="252">
        <v>45</v>
      </c>
      <c r="BS241" s="253">
        <v>30664</v>
      </c>
      <c r="BT241" s="381">
        <v>43</v>
      </c>
      <c r="BU241" s="381">
        <v>14718</v>
      </c>
      <c r="BV241" s="252">
        <v>3</v>
      </c>
      <c r="BW241" s="253">
        <v>5855</v>
      </c>
      <c r="BX241" s="382">
        <v>3</v>
      </c>
      <c r="BY241" s="382">
        <v>6546</v>
      </c>
      <c r="BZ241" s="252"/>
      <c r="CA241" s="253"/>
      <c r="CB241" s="383"/>
      <c r="CC241" s="383"/>
      <c r="CD241" s="255">
        <f t="shared" si="52"/>
        <v>45</v>
      </c>
      <c r="CE241" s="256">
        <f t="shared" si="53"/>
        <v>1053103</v>
      </c>
      <c r="CF241" s="257">
        <f t="shared" si="54"/>
        <v>43</v>
      </c>
      <c r="CG241" s="261">
        <f t="shared" si="55"/>
        <v>1130610</v>
      </c>
    </row>
    <row r="242" spans="1:85" s="263" customFormat="1" ht="12.75" customHeight="1">
      <c r="A242" s="398" t="s">
        <v>213</v>
      </c>
      <c r="B242" s="399" t="s">
        <v>216</v>
      </c>
      <c r="C242" s="399"/>
      <c r="D242" s="400">
        <v>162007</v>
      </c>
      <c r="E242" s="401">
        <v>4</v>
      </c>
      <c r="F242" s="252">
        <v>214</v>
      </c>
      <c r="G242" s="253">
        <v>1619565</v>
      </c>
      <c r="H242" s="367">
        <v>211</v>
      </c>
      <c r="I242" s="367">
        <v>1586376</v>
      </c>
      <c r="J242" s="252">
        <v>214</v>
      </c>
      <c r="K242" s="253">
        <v>968971</v>
      </c>
      <c r="L242" s="368">
        <v>211</v>
      </c>
      <c r="M242" s="368">
        <v>905144</v>
      </c>
      <c r="N242" s="252"/>
      <c r="O242" s="253"/>
      <c r="P242" s="385"/>
      <c r="Q242" s="385"/>
      <c r="R242" s="252">
        <v>214</v>
      </c>
      <c r="S242" s="253">
        <v>1011882</v>
      </c>
      <c r="T242" s="267">
        <v>211</v>
      </c>
      <c r="U242" s="268">
        <v>944708</v>
      </c>
      <c r="V242" s="252">
        <v>214</v>
      </c>
      <c r="W242" s="253">
        <v>13842</v>
      </c>
      <c r="X242" s="369">
        <v>211</v>
      </c>
      <c r="Y242" s="369">
        <v>37997</v>
      </c>
      <c r="Z242" s="252"/>
      <c r="AA242" s="253"/>
      <c r="AB242" s="371"/>
      <c r="AC242" s="371"/>
      <c r="AD242" s="252">
        <v>214</v>
      </c>
      <c r="AE242" s="253">
        <v>42912</v>
      </c>
      <c r="AF242" s="372">
        <v>211</v>
      </c>
      <c r="AG242" s="372">
        <v>69570</v>
      </c>
      <c r="AH242" s="252">
        <v>19</v>
      </c>
      <c r="AI242" s="253">
        <v>160427</v>
      </c>
      <c r="AJ242" s="373">
        <v>20</v>
      </c>
      <c r="AK242" s="373">
        <v>120472</v>
      </c>
      <c r="AL242" s="252"/>
      <c r="AM242" s="253"/>
      <c r="AN242" s="374"/>
      <c r="AO242" s="374"/>
      <c r="AP242" s="255">
        <f t="shared" si="48"/>
        <v>214</v>
      </c>
      <c r="AQ242" s="256">
        <f t="shared" si="49"/>
        <v>3817599</v>
      </c>
      <c r="AR242" s="257">
        <f t="shared" si="50"/>
        <v>211</v>
      </c>
      <c r="AS242" s="258">
        <f t="shared" si="51"/>
        <v>3664267</v>
      </c>
      <c r="AT242" s="259">
        <v>16</v>
      </c>
      <c r="AU242" s="253">
        <v>178778</v>
      </c>
      <c r="AV242" s="375">
        <v>16</v>
      </c>
      <c r="AW242" s="375">
        <v>180165</v>
      </c>
      <c r="AX242" s="252">
        <v>16</v>
      </c>
      <c r="AY242" s="253">
        <v>106961</v>
      </c>
      <c r="AZ242" s="376">
        <v>16</v>
      </c>
      <c r="BA242" s="376">
        <v>102798</v>
      </c>
      <c r="BB242" s="252"/>
      <c r="BC242" s="253"/>
      <c r="BD242" s="377"/>
      <c r="BE242" s="377"/>
      <c r="BF242" s="252">
        <v>16</v>
      </c>
      <c r="BG242" s="253">
        <v>111698</v>
      </c>
      <c r="BH242" s="378">
        <v>16</v>
      </c>
      <c r="BI242" s="378">
        <v>112969</v>
      </c>
      <c r="BJ242" s="252">
        <v>16</v>
      </c>
      <c r="BK242" s="253">
        <v>1528</v>
      </c>
      <c r="BL242" s="379">
        <v>16</v>
      </c>
      <c r="BM242" s="379">
        <v>4315</v>
      </c>
      <c r="BN242" s="252"/>
      <c r="BO242" s="253"/>
      <c r="BP242" s="380"/>
      <c r="BQ242" s="380"/>
      <c r="BR242" s="252">
        <v>16</v>
      </c>
      <c r="BS242" s="253">
        <v>2444</v>
      </c>
      <c r="BT242" s="381">
        <v>16</v>
      </c>
      <c r="BU242" s="381">
        <v>3087</v>
      </c>
      <c r="BV242" s="252">
        <v>16</v>
      </c>
      <c r="BW242" s="253">
        <v>11995</v>
      </c>
      <c r="BX242" s="382">
        <v>8</v>
      </c>
      <c r="BY242" s="382">
        <v>7636</v>
      </c>
      <c r="BZ242" s="252"/>
      <c r="CA242" s="253"/>
      <c r="CB242" s="383"/>
      <c r="CC242" s="383"/>
      <c r="CD242" s="255">
        <f t="shared" si="52"/>
        <v>16</v>
      </c>
      <c r="CE242" s="256">
        <f t="shared" si="53"/>
        <v>413404</v>
      </c>
      <c r="CF242" s="257">
        <f t="shared" si="54"/>
        <v>16</v>
      </c>
      <c r="CG242" s="261">
        <f t="shared" si="55"/>
        <v>410970</v>
      </c>
    </row>
    <row r="243" spans="1:85" s="263" customFormat="1" ht="12.75" customHeight="1">
      <c r="A243" s="398" t="s">
        <v>213</v>
      </c>
      <c r="B243" s="441" t="s">
        <v>222</v>
      </c>
      <c r="C243" s="505" t="s">
        <v>1193</v>
      </c>
      <c r="D243" s="400">
        <v>162283</v>
      </c>
      <c r="E243" s="401">
        <v>4</v>
      </c>
      <c r="F243" s="252">
        <v>126</v>
      </c>
      <c r="G243" s="253">
        <v>946791</v>
      </c>
      <c r="H243" s="367">
        <v>124</v>
      </c>
      <c r="I243" s="367">
        <v>1050125</v>
      </c>
      <c r="J243" s="252">
        <v>126</v>
      </c>
      <c r="K243" s="253">
        <v>1289778</v>
      </c>
      <c r="L243" s="368">
        <v>107</v>
      </c>
      <c r="M243" s="368">
        <v>1171392</v>
      </c>
      <c r="N243" s="252"/>
      <c r="O243" s="253"/>
      <c r="P243" s="385"/>
      <c r="Q243" s="385"/>
      <c r="R243" s="252">
        <v>141</v>
      </c>
      <c r="S243" s="253">
        <v>717512</v>
      </c>
      <c r="T243" s="267">
        <v>140</v>
      </c>
      <c r="U243" s="268">
        <v>688456</v>
      </c>
      <c r="V243" s="252">
        <v>141</v>
      </c>
      <c r="W243" s="253">
        <v>9295</v>
      </c>
      <c r="X243" s="369">
        <v>140</v>
      </c>
      <c r="Y243" s="369">
        <v>25198</v>
      </c>
      <c r="Z243" s="252"/>
      <c r="AA243" s="253"/>
      <c r="AB243" s="371"/>
      <c r="AC243" s="371"/>
      <c r="AD243" s="252"/>
      <c r="AE243" s="253"/>
      <c r="AF243" s="372"/>
      <c r="AG243" s="372"/>
      <c r="AH243" s="252"/>
      <c r="AI243" s="253"/>
      <c r="AJ243" s="373"/>
      <c r="AK243" s="373"/>
      <c r="AL243" s="252"/>
      <c r="AM243" s="253"/>
      <c r="AN243" s="374"/>
      <c r="AO243" s="374"/>
      <c r="AP243" s="255">
        <f t="shared" si="48"/>
        <v>141</v>
      </c>
      <c r="AQ243" s="256">
        <f t="shared" si="49"/>
        <v>2963376</v>
      </c>
      <c r="AR243" s="257">
        <f t="shared" si="50"/>
        <v>140</v>
      </c>
      <c r="AS243" s="258">
        <f t="shared" si="51"/>
        <v>2935171</v>
      </c>
      <c r="AT243" s="259">
        <v>15</v>
      </c>
      <c r="AU243" s="253">
        <v>145256</v>
      </c>
      <c r="AV243" s="375">
        <v>12</v>
      </c>
      <c r="AW243" s="375">
        <v>126781</v>
      </c>
      <c r="AX243" s="252">
        <v>14</v>
      </c>
      <c r="AY243" s="253">
        <v>154661</v>
      </c>
      <c r="AZ243" s="376">
        <v>11</v>
      </c>
      <c r="BA243" s="376">
        <v>121274</v>
      </c>
      <c r="BB243" s="252"/>
      <c r="BC243" s="253"/>
      <c r="BD243" s="377"/>
      <c r="BE243" s="377"/>
      <c r="BF243" s="252">
        <v>15</v>
      </c>
      <c r="BG243" s="253">
        <v>94484</v>
      </c>
      <c r="BH243" s="378">
        <v>12</v>
      </c>
      <c r="BI243" s="378">
        <v>77618</v>
      </c>
      <c r="BJ243" s="252">
        <v>15</v>
      </c>
      <c r="BK243" s="253">
        <v>1319</v>
      </c>
      <c r="BL243" s="379">
        <v>12</v>
      </c>
      <c r="BM243" s="379">
        <v>3009</v>
      </c>
      <c r="BN243" s="252"/>
      <c r="BO243" s="253"/>
      <c r="BP243" s="380"/>
      <c r="BQ243" s="380"/>
      <c r="BR243" s="252"/>
      <c r="BS243" s="253"/>
      <c r="BT243" s="381"/>
      <c r="BU243" s="381"/>
      <c r="BV243" s="252"/>
      <c r="BW243" s="253"/>
      <c r="BX243" s="382"/>
      <c r="BY243" s="382"/>
      <c r="BZ243" s="252"/>
      <c r="CA243" s="253"/>
      <c r="CB243" s="383"/>
      <c r="CC243" s="383"/>
      <c r="CD243" s="255">
        <f t="shared" si="52"/>
        <v>15</v>
      </c>
      <c r="CE243" s="256">
        <f t="shared" si="53"/>
        <v>395720</v>
      </c>
      <c r="CF243" s="257">
        <f t="shared" si="54"/>
        <v>12</v>
      </c>
      <c r="CG243" s="261">
        <f t="shared" si="55"/>
        <v>328682</v>
      </c>
    </row>
    <row r="244" spans="1:85" s="263" customFormat="1" ht="12.75" customHeight="1">
      <c r="A244" s="398" t="s">
        <v>213</v>
      </c>
      <c r="B244" s="399" t="s">
        <v>217</v>
      </c>
      <c r="C244" s="399"/>
      <c r="D244" s="400">
        <v>162584</v>
      </c>
      <c r="E244" s="401">
        <v>4</v>
      </c>
      <c r="F244" s="252">
        <v>216</v>
      </c>
      <c r="G244" s="253">
        <v>1431282</v>
      </c>
      <c r="H244" s="367">
        <v>214</v>
      </c>
      <c r="I244" s="367">
        <v>1429760</v>
      </c>
      <c r="J244" s="252">
        <v>223</v>
      </c>
      <c r="K244" s="253">
        <v>1097424</v>
      </c>
      <c r="L244" s="368">
        <v>224</v>
      </c>
      <c r="M244" s="368">
        <v>1035479</v>
      </c>
      <c r="N244" s="252"/>
      <c r="O244" s="253"/>
      <c r="P244" s="385"/>
      <c r="Q244" s="385"/>
      <c r="R244" s="252">
        <v>240</v>
      </c>
      <c r="S244" s="253">
        <v>1182674</v>
      </c>
      <c r="T244" s="267">
        <v>242</v>
      </c>
      <c r="U244" s="268">
        <v>1171327</v>
      </c>
      <c r="V244" s="252">
        <v>240</v>
      </c>
      <c r="W244" s="253">
        <v>16179</v>
      </c>
      <c r="X244" s="369">
        <v>242</v>
      </c>
      <c r="Y244" s="369">
        <v>44744</v>
      </c>
      <c r="Z244" s="252"/>
      <c r="AA244" s="253"/>
      <c r="AB244" s="371"/>
      <c r="AC244" s="371"/>
      <c r="AD244" s="252">
        <v>240</v>
      </c>
      <c r="AE244" s="253">
        <v>50154</v>
      </c>
      <c r="AF244" s="372">
        <v>242</v>
      </c>
      <c r="AG244" s="372">
        <v>49538</v>
      </c>
      <c r="AH244" s="252">
        <v>29</v>
      </c>
      <c r="AI244" s="253">
        <v>115363</v>
      </c>
      <c r="AJ244" s="373">
        <v>28</v>
      </c>
      <c r="AK244" s="373">
        <v>109717</v>
      </c>
      <c r="AL244" s="252"/>
      <c r="AM244" s="253"/>
      <c r="AN244" s="374"/>
      <c r="AO244" s="374"/>
      <c r="AP244" s="255">
        <f t="shared" si="48"/>
        <v>240</v>
      </c>
      <c r="AQ244" s="256">
        <f t="shared" si="49"/>
        <v>3893076</v>
      </c>
      <c r="AR244" s="257">
        <f t="shared" si="50"/>
        <v>242</v>
      </c>
      <c r="AS244" s="258">
        <f t="shared" si="51"/>
        <v>3840565</v>
      </c>
      <c r="AT244" s="259"/>
      <c r="AU244" s="253"/>
      <c r="AV244" s="375"/>
      <c r="AW244" s="375"/>
      <c r="AX244" s="252"/>
      <c r="AY244" s="253"/>
      <c r="AZ244" s="376"/>
      <c r="BA244" s="376"/>
      <c r="BB244" s="252"/>
      <c r="BC244" s="253"/>
      <c r="BD244" s="377"/>
      <c r="BE244" s="377"/>
      <c r="BF244" s="252"/>
      <c r="BG244" s="253"/>
      <c r="BH244" s="378">
        <v>1</v>
      </c>
      <c r="BI244" s="378">
        <v>4618</v>
      </c>
      <c r="BJ244" s="252"/>
      <c r="BK244" s="253"/>
      <c r="BL244" s="379">
        <v>1</v>
      </c>
      <c r="BM244" s="379">
        <v>176</v>
      </c>
      <c r="BN244" s="252"/>
      <c r="BO244" s="253"/>
      <c r="BP244" s="380"/>
      <c r="BQ244" s="380"/>
      <c r="BR244" s="252"/>
      <c r="BS244" s="253"/>
      <c r="BT244" s="381">
        <v>1</v>
      </c>
      <c r="BU244" s="381">
        <v>242</v>
      </c>
      <c r="BV244" s="252"/>
      <c r="BW244" s="253"/>
      <c r="BX244" s="382"/>
      <c r="BY244" s="382"/>
      <c r="BZ244" s="252"/>
      <c r="CA244" s="253"/>
      <c r="CB244" s="383"/>
      <c r="CC244" s="383"/>
      <c r="CD244" s="255">
        <f t="shared" si="52"/>
        <v>0</v>
      </c>
      <c r="CE244" s="256">
        <f t="shared" si="53"/>
        <v>0</v>
      </c>
      <c r="CF244" s="257">
        <f t="shared" si="54"/>
        <v>1</v>
      </c>
      <c r="CG244" s="261">
        <f t="shared" si="55"/>
        <v>5036</v>
      </c>
    </row>
    <row r="245" spans="1:85" s="263" customFormat="1" ht="12.75" customHeight="1">
      <c r="A245" s="398" t="s">
        <v>213</v>
      </c>
      <c r="B245" s="399" t="s">
        <v>219</v>
      </c>
      <c r="C245" s="399"/>
      <c r="D245" s="400">
        <v>163851</v>
      </c>
      <c r="E245" s="401">
        <v>4</v>
      </c>
      <c r="F245" s="252">
        <v>325</v>
      </c>
      <c r="G245" s="253">
        <v>1969723</v>
      </c>
      <c r="H245" s="367">
        <v>328</v>
      </c>
      <c r="I245" s="367">
        <v>2045424</v>
      </c>
      <c r="J245" s="252">
        <v>295</v>
      </c>
      <c r="K245" s="253">
        <v>2819580</v>
      </c>
      <c r="L245" s="368">
        <v>307</v>
      </c>
      <c r="M245" s="368">
        <v>2953658</v>
      </c>
      <c r="N245" s="252"/>
      <c r="O245" s="253"/>
      <c r="P245" s="385"/>
      <c r="Q245" s="385"/>
      <c r="R245" s="252">
        <v>371</v>
      </c>
      <c r="S245" s="253">
        <v>1856856</v>
      </c>
      <c r="T245" s="267">
        <v>377</v>
      </c>
      <c r="U245" s="268">
        <v>1878515</v>
      </c>
      <c r="V245" s="252">
        <v>371</v>
      </c>
      <c r="W245" s="253">
        <v>24444</v>
      </c>
      <c r="X245" s="369">
        <v>377</v>
      </c>
      <c r="Y245" s="369">
        <v>63361</v>
      </c>
      <c r="Z245" s="252"/>
      <c r="AA245" s="253"/>
      <c r="AB245" s="371"/>
      <c r="AC245" s="371"/>
      <c r="AD245" s="252"/>
      <c r="AE245" s="253"/>
      <c r="AF245" s="372"/>
      <c r="AG245" s="372"/>
      <c r="AH245" s="252">
        <v>26</v>
      </c>
      <c r="AI245" s="253">
        <v>109188</v>
      </c>
      <c r="AJ245" s="373">
        <v>35</v>
      </c>
      <c r="AK245" s="373">
        <v>134566</v>
      </c>
      <c r="AL245" s="252"/>
      <c r="AM245" s="253"/>
      <c r="AN245" s="374"/>
      <c r="AO245" s="374"/>
      <c r="AP245" s="255">
        <f t="shared" si="48"/>
        <v>371</v>
      </c>
      <c r="AQ245" s="256">
        <f t="shared" si="49"/>
        <v>6779791</v>
      </c>
      <c r="AR245" s="257">
        <f t="shared" si="50"/>
        <v>377</v>
      </c>
      <c r="AS245" s="258">
        <f t="shared" si="51"/>
        <v>7075524</v>
      </c>
      <c r="AT245" s="259">
        <v>5</v>
      </c>
      <c r="AU245" s="253">
        <v>46486</v>
      </c>
      <c r="AV245" s="375">
        <v>6</v>
      </c>
      <c r="AW245" s="375">
        <v>56166</v>
      </c>
      <c r="AX245" s="252">
        <v>5</v>
      </c>
      <c r="AY245" s="253">
        <v>56706</v>
      </c>
      <c r="AZ245" s="376">
        <v>8</v>
      </c>
      <c r="BA245" s="376">
        <v>88246</v>
      </c>
      <c r="BB245" s="252"/>
      <c r="BC245" s="253"/>
      <c r="BD245" s="377"/>
      <c r="BE245" s="377"/>
      <c r="BF245" s="252">
        <v>9</v>
      </c>
      <c r="BG245" s="253">
        <v>51481</v>
      </c>
      <c r="BH245" s="378">
        <v>11</v>
      </c>
      <c r="BI245" s="378">
        <v>61434</v>
      </c>
      <c r="BJ245" s="252">
        <v>9</v>
      </c>
      <c r="BK245" s="253">
        <v>690</v>
      </c>
      <c r="BL245" s="379">
        <v>11</v>
      </c>
      <c r="BM245" s="379">
        <v>1733</v>
      </c>
      <c r="BN245" s="252"/>
      <c r="BO245" s="253"/>
      <c r="BP245" s="380"/>
      <c r="BQ245" s="380"/>
      <c r="BR245" s="252"/>
      <c r="BS245" s="253"/>
      <c r="BT245" s="381"/>
      <c r="BU245" s="381"/>
      <c r="BV245" s="252">
        <v>1</v>
      </c>
      <c r="BW245" s="253">
        <v>2400</v>
      </c>
      <c r="BX245" s="382"/>
      <c r="BY245" s="382"/>
      <c r="BZ245" s="252"/>
      <c r="CA245" s="253"/>
      <c r="CB245" s="383"/>
      <c r="CC245" s="383"/>
      <c r="CD245" s="255">
        <f t="shared" si="52"/>
        <v>9</v>
      </c>
      <c r="CE245" s="256">
        <f t="shared" si="53"/>
        <v>157763</v>
      </c>
      <c r="CF245" s="257">
        <f t="shared" si="54"/>
        <v>11</v>
      </c>
      <c r="CG245" s="261">
        <f t="shared" si="55"/>
        <v>207579</v>
      </c>
    </row>
    <row r="246" spans="1:85" s="263" customFormat="1" ht="12.75" customHeight="1">
      <c r="A246" s="398" t="s">
        <v>213</v>
      </c>
      <c r="B246" s="399" t="s">
        <v>220</v>
      </c>
      <c r="C246" s="399"/>
      <c r="D246" s="400">
        <v>161873</v>
      </c>
      <c r="E246" s="401">
        <v>4</v>
      </c>
      <c r="F246" s="252">
        <v>166</v>
      </c>
      <c r="G246" s="253">
        <v>1363811</v>
      </c>
      <c r="H246" s="367">
        <v>171</v>
      </c>
      <c r="I246" s="367">
        <v>1418245</v>
      </c>
      <c r="J246" s="252">
        <v>166</v>
      </c>
      <c r="K246" s="253">
        <v>1165058</v>
      </c>
      <c r="L246" s="368">
        <v>171</v>
      </c>
      <c r="M246" s="368">
        <v>1179335</v>
      </c>
      <c r="N246" s="252"/>
      <c r="O246" s="253"/>
      <c r="P246" s="385"/>
      <c r="Q246" s="385"/>
      <c r="R246" s="252">
        <v>166</v>
      </c>
      <c r="S246" s="253">
        <v>740381</v>
      </c>
      <c r="T246" s="267">
        <v>171</v>
      </c>
      <c r="U246" s="268">
        <v>991458</v>
      </c>
      <c r="V246" s="252">
        <v>166</v>
      </c>
      <c r="W246" s="253">
        <v>323965</v>
      </c>
      <c r="X246" s="369">
        <v>171</v>
      </c>
      <c r="Y246" s="369">
        <v>259100</v>
      </c>
      <c r="Z246" s="252"/>
      <c r="AA246" s="253"/>
      <c r="AB246" s="371"/>
      <c r="AC246" s="371"/>
      <c r="AD246" s="252">
        <v>166</v>
      </c>
      <c r="AE246" s="253">
        <v>318879</v>
      </c>
      <c r="AF246" s="372">
        <v>171</v>
      </c>
      <c r="AG246" s="372">
        <v>330375</v>
      </c>
      <c r="AH246" s="252">
        <v>16</v>
      </c>
      <c r="AI246" s="253">
        <v>80000</v>
      </c>
      <c r="AJ246" s="373"/>
      <c r="AK246" s="373"/>
      <c r="AL246" s="252"/>
      <c r="AM246" s="253"/>
      <c r="AN246" s="374"/>
      <c r="AO246" s="374"/>
      <c r="AP246" s="255">
        <f t="shared" si="48"/>
        <v>166</v>
      </c>
      <c r="AQ246" s="256">
        <f t="shared" si="49"/>
        <v>3992094</v>
      </c>
      <c r="AR246" s="257">
        <f t="shared" si="50"/>
        <v>171</v>
      </c>
      <c r="AS246" s="258">
        <f t="shared" si="51"/>
        <v>4178513</v>
      </c>
      <c r="AT246" s="259">
        <v>12</v>
      </c>
      <c r="AU246" s="253">
        <v>90317</v>
      </c>
      <c r="AV246" s="375">
        <v>11</v>
      </c>
      <c r="AW246" s="375">
        <v>71393</v>
      </c>
      <c r="AX246" s="252">
        <v>12</v>
      </c>
      <c r="AY246" s="253">
        <v>105525</v>
      </c>
      <c r="AZ246" s="376">
        <v>11</v>
      </c>
      <c r="BA246" s="376">
        <v>67767</v>
      </c>
      <c r="BB246" s="252"/>
      <c r="BC246" s="253"/>
      <c r="BD246" s="377"/>
      <c r="BE246" s="377"/>
      <c r="BF246" s="252">
        <v>12</v>
      </c>
      <c r="BG246" s="253">
        <v>60652</v>
      </c>
      <c r="BH246" s="378">
        <v>11</v>
      </c>
      <c r="BI246" s="378">
        <v>70784</v>
      </c>
      <c r="BJ246" s="252">
        <v>12</v>
      </c>
      <c r="BK246" s="253">
        <v>31265</v>
      </c>
      <c r="BL246" s="379">
        <v>11</v>
      </c>
      <c r="BM246" s="379">
        <v>29650</v>
      </c>
      <c r="BN246" s="252"/>
      <c r="BO246" s="253"/>
      <c r="BP246" s="380"/>
      <c r="BQ246" s="380"/>
      <c r="BR246" s="252">
        <v>12</v>
      </c>
      <c r="BS246" s="253">
        <v>33454</v>
      </c>
      <c r="BT246" s="381">
        <v>11</v>
      </c>
      <c r="BU246" s="381">
        <v>29993</v>
      </c>
      <c r="BV246" s="252">
        <v>4</v>
      </c>
      <c r="BW246" s="253">
        <v>24589</v>
      </c>
      <c r="BX246" s="382"/>
      <c r="BY246" s="382"/>
      <c r="BZ246" s="252"/>
      <c r="CA246" s="253"/>
      <c r="CB246" s="383"/>
      <c r="CC246" s="383"/>
      <c r="CD246" s="255">
        <f t="shared" si="52"/>
        <v>12</v>
      </c>
      <c r="CE246" s="256">
        <f t="shared" si="53"/>
        <v>345802</v>
      </c>
      <c r="CF246" s="257">
        <f t="shared" si="54"/>
        <v>11</v>
      </c>
      <c r="CG246" s="261">
        <f t="shared" si="55"/>
        <v>269587</v>
      </c>
    </row>
    <row r="247" spans="1:85" s="263" customFormat="1" ht="12.75" customHeight="1">
      <c r="A247" s="398" t="s">
        <v>213</v>
      </c>
      <c r="B247" s="399" t="s">
        <v>221</v>
      </c>
      <c r="C247" s="399"/>
      <c r="D247" s="400">
        <v>163338</v>
      </c>
      <c r="E247" s="401">
        <v>4</v>
      </c>
      <c r="F247" s="252">
        <v>134</v>
      </c>
      <c r="G247" s="253">
        <v>659201</v>
      </c>
      <c r="H247" s="367">
        <v>140</v>
      </c>
      <c r="I247" s="367">
        <v>1039813</v>
      </c>
      <c r="J247" s="252">
        <v>134</v>
      </c>
      <c r="K247" s="253">
        <v>1202650</v>
      </c>
      <c r="L247" s="368">
        <v>140</v>
      </c>
      <c r="M247" s="368">
        <v>1312220</v>
      </c>
      <c r="N247" s="252"/>
      <c r="O247" s="253"/>
      <c r="P247" s="385"/>
      <c r="Q247" s="385"/>
      <c r="R247" s="252">
        <v>134</v>
      </c>
      <c r="S247" s="253">
        <v>595991</v>
      </c>
      <c r="T247" s="267">
        <v>140</v>
      </c>
      <c r="U247" s="268">
        <v>752396</v>
      </c>
      <c r="V247" s="252">
        <v>134</v>
      </c>
      <c r="W247" s="253">
        <v>8153</v>
      </c>
      <c r="X247" s="369">
        <v>140</v>
      </c>
      <c r="Y247" s="369">
        <v>24019</v>
      </c>
      <c r="Z247" s="252"/>
      <c r="AA247" s="253"/>
      <c r="AB247" s="371"/>
      <c r="AC247" s="371"/>
      <c r="AD247" s="252">
        <v>134</v>
      </c>
      <c r="AE247" s="253">
        <v>25275</v>
      </c>
      <c r="AF247" s="372">
        <v>140</v>
      </c>
      <c r="AG247" s="372">
        <v>26626</v>
      </c>
      <c r="AH247" s="252"/>
      <c r="AI247" s="253"/>
      <c r="AJ247" s="373"/>
      <c r="AK247" s="373"/>
      <c r="AL247" s="252"/>
      <c r="AM247" s="253"/>
      <c r="AN247" s="374"/>
      <c r="AO247" s="374"/>
      <c r="AP247" s="255">
        <f t="shared" si="48"/>
        <v>134</v>
      </c>
      <c r="AQ247" s="256">
        <f t="shared" si="49"/>
        <v>2491270</v>
      </c>
      <c r="AR247" s="257">
        <f t="shared" si="50"/>
        <v>140</v>
      </c>
      <c r="AS247" s="258">
        <f t="shared" si="51"/>
        <v>3155074</v>
      </c>
      <c r="AT247" s="259">
        <v>42</v>
      </c>
      <c r="AU247" s="253">
        <v>328594</v>
      </c>
      <c r="AV247" s="375">
        <v>55</v>
      </c>
      <c r="AW247" s="375">
        <v>613748</v>
      </c>
      <c r="AX247" s="252">
        <v>42</v>
      </c>
      <c r="AY247" s="253">
        <v>376950</v>
      </c>
      <c r="AZ247" s="376">
        <v>55</v>
      </c>
      <c r="BA247" s="376">
        <v>515515</v>
      </c>
      <c r="BB247" s="252"/>
      <c r="BC247" s="253"/>
      <c r="BD247" s="377"/>
      <c r="BE247" s="377"/>
      <c r="BF247" s="252">
        <v>42</v>
      </c>
      <c r="BG247" s="253">
        <v>264569</v>
      </c>
      <c r="BH247" s="378">
        <v>55</v>
      </c>
      <c r="BI247" s="378">
        <v>433659</v>
      </c>
      <c r="BJ247" s="252">
        <v>42</v>
      </c>
      <c r="BK247" s="253">
        <v>3663</v>
      </c>
      <c r="BL247" s="379">
        <v>55</v>
      </c>
      <c r="BM247" s="379">
        <v>13884</v>
      </c>
      <c r="BN247" s="252"/>
      <c r="BO247" s="253"/>
      <c r="BP247" s="380"/>
      <c r="BQ247" s="380"/>
      <c r="BR247" s="252">
        <v>42</v>
      </c>
      <c r="BS247" s="253">
        <v>11355</v>
      </c>
      <c r="BT247" s="381">
        <v>55</v>
      </c>
      <c r="BU247" s="381">
        <v>15372</v>
      </c>
      <c r="BV247" s="252"/>
      <c r="BW247" s="253"/>
      <c r="BX247" s="382"/>
      <c r="BY247" s="382"/>
      <c r="BZ247" s="252"/>
      <c r="CA247" s="253"/>
      <c r="CB247" s="383"/>
      <c r="CC247" s="383"/>
      <c r="CD247" s="255">
        <f t="shared" si="52"/>
        <v>42</v>
      </c>
      <c r="CE247" s="256">
        <f t="shared" si="53"/>
        <v>985131</v>
      </c>
      <c r="CF247" s="257">
        <f t="shared" si="54"/>
        <v>55</v>
      </c>
      <c r="CG247" s="261">
        <f t="shared" si="55"/>
        <v>1592178</v>
      </c>
    </row>
    <row r="248" spans="1:85" s="263" customFormat="1" ht="12.75" customHeight="1">
      <c r="A248" s="398" t="s">
        <v>213</v>
      </c>
      <c r="B248" s="441" t="s">
        <v>223</v>
      </c>
      <c r="C248" s="505" t="s">
        <v>1193</v>
      </c>
      <c r="D248" s="400">
        <v>163912</v>
      </c>
      <c r="E248" s="401">
        <v>6</v>
      </c>
      <c r="F248" s="252">
        <v>137</v>
      </c>
      <c r="G248" s="253">
        <v>798526</v>
      </c>
      <c r="H248" s="367"/>
      <c r="I248" s="367"/>
      <c r="J248" s="252">
        <v>129</v>
      </c>
      <c r="K248" s="253">
        <v>1394498</v>
      </c>
      <c r="L248" s="368"/>
      <c r="M248" s="368"/>
      <c r="N248" s="252"/>
      <c r="O248" s="253"/>
      <c r="P248" s="385"/>
      <c r="Q248" s="385"/>
      <c r="R248" s="252">
        <v>143</v>
      </c>
      <c r="S248" s="253">
        <v>676640</v>
      </c>
      <c r="T248" s="267"/>
      <c r="U248" s="268"/>
      <c r="V248" s="252">
        <v>143</v>
      </c>
      <c r="W248" s="253">
        <v>9696</v>
      </c>
      <c r="X248" s="369"/>
      <c r="Y248" s="369"/>
      <c r="Z248" s="252"/>
      <c r="AA248" s="253"/>
      <c r="AB248" s="371"/>
      <c r="AC248" s="371"/>
      <c r="AD248" s="252"/>
      <c r="AE248" s="253"/>
      <c r="AF248" s="372"/>
      <c r="AG248" s="372"/>
      <c r="AH248" s="252">
        <v>3</v>
      </c>
      <c r="AI248" s="253">
        <v>32985</v>
      </c>
      <c r="AJ248" s="373"/>
      <c r="AK248" s="373"/>
      <c r="AL248" s="252"/>
      <c r="AM248" s="253"/>
      <c r="AN248" s="374"/>
      <c r="AO248" s="374"/>
      <c r="AP248" s="255">
        <f t="shared" si="48"/>
        <v>143</v>
      </c>
      <c r="AQ248" s="256">
        <f t="shared" si="49"/>
        <v>2912345</v>
      </c>
      <c r="AR248" s="257">
        <f t="shared" si="50"/>
        <v>0</v>
      </c>
      <c r="AS248" s="258">
        <f t="shared" si="51"/>
        <v>0</v>
      </c>
      <c r="AT248" s="259"/>
      <c r="AU248" s="253"/>
      <c r="AV248" s="375"/>
      <c r="AW248" s="375"/>
      <c r="AX248" s="252"/>
      <c r="AY248" s="253"/>
      <c r="AZ248" s="376"/>
      <c r="BA248" s="376"/>
      <c r="BB248" s="252"/>
      <c r="BC248" s="253"/>
      <c r="BD248" s="377"/>
      <c r="BE248" s="377"/>
      <c r="BF248" s="252"/>
      <c r="BG248" s="253"/>
      <c r="BH248" s="378"/>
      <c r="BI248" s="378"/>
      <c r="BJ248" s="252"/>
      <c r="BK248" s="253"/>
      <c r="BL248" s="379"/>
      <c r="BM248" s="379"/>
      <c r="BN248" s="252"/>
      <c r="BO248" s="253"/>
      <c r="BP248" s="380"/>
      <c r="BQ248" s="380"/>
      <c r="BR248" s="252"/>
      <c r="BS248" s="253"/>
      <c r="BT248" s="381"/>
      <c r="BU248" s="381"/>
      <c r="BV248" s="252"/>
      <c r="BW248" s="253"/>
      <c r="BX248" s="382"/>
      <c r="BY248" s="382"/>
      <c r="BZ248" s="252"/>
      <c r="CA248" s="253"/>
      <c r="CB248" s="383"/>
      <c r="CC248" s="383"/>
      <c r="CD248" s="255">
        <f t="shared" si="52"/>
        <v>0</v>
      </c>
      <c r="CE248" s="256">
        <f t="shared" si="53"/>
        <v>0</v>
      </c>
      <c r="CF248" s="257">
        <f t="shared" si="54"/>
        <v>0</v>
      </c>
      <c r="CG248" s="261">
        <f t="shared" si="55"/>
        <v>0</v>
      </c>
    </row>
    <row r="249" spans="1:85" s="263" customFormat="1" ht="12.75" customHeight="1">
      <c r="A249" s="398" t="s">
        <v>213</v>
      </c>
      <c r="B249" s="399" t="s">
        <v>224</v>
      </c>
      <c r="C249" s="399"/>
      <c r="D249" s="400">
        <v>161767</v>
      </c>
      <c r="E249" s="401">
        <v>8</v>
      </c>
      <c r="F249" s="252">
        <v>168</v>
      </c>
      <c r="G249" s="253">
        <v>811913</v>
      </c>
      <c r="H249" s="367">
        <v>174</v>
      </c>
      <c r="I249" s="367">
        <v>809415</v>
      </c>
      <c r="J249" s="252">
        <v>251</v>
      </c>
      <c r="K249" s="253">
        <v>2061808</v>
      </c>
      <c r="L249" s="368">
        <v>252</v>
      </c>
      <c r="M249" s="368">
        <v>2269351</v>
      </c>
      <c r="N249" s="252">
        <v>251</v>
      </c>
      <c r="O249" s="253">
        <v>40561</v>
      </c>
      <c r="P249" s="385">
        <v>252</v>
      </c>
      <c r="Q249" s="385">
        <v>39052</v>
      </c>
      <c r="R249" s="252">
        <v>251</v>
      </c>
      <c r="S249" s="253">
        <v>1439152</v>
      </c>
      <c r="T249" s="267">
        <v>252</v>
      </c>
      <c r="U249" s="268">
        <v>1414125</v>
      </c>
      <c r="V249" s="252"/>
      <c r="W249" s="253"/>
      <c r="X249" s="369"/>
      <c r="Y249" s="369"/>
      <c r="Z249" s="252">
        <v>215</v>
      </c>
      <c r="AA249" s="253">
        <v>47900</v>
      </c>
      <c r="AB249" s="371">
        <v>218</v>
      </c>
      <c r="AC249" s="371">
        <v>46163</v>
      </c>
      <c r="AD249" s="252"/>
      <c r="AE249" s="253"/>
      <c r="AF249" s="372"/>
      <c r="AG249" s="372"/>
      <c r="AH249" s="252"/>
      <c r="AI249" s="253"/>
      <c r="AJ249" s="373"/>
      <c r="AK249" s="373"/>
      <c r="AL249" s="252"/>
      <c r="AM249" s="253"/>
      <c r="AN249" s="374"/>
      <c r="AO249" s="374"/>
      <c r="AP249" s="255">
        <f t="shared" si="48"/>
        <v>251</v>
      </c>
      <c r="AQ249" s="256">
        <f t="shared" si="49"/>
        <v>4401334</v>
      </c>
      <c r="AR249" s="257">
        <f t="shared" si="50"/>
        <v>252</v>
      </c>
      <c r="AS249" s="258">
        <f t="shared" si="51"/>
        <v>4578106</v>
      </c>
      <c r="AT249" s="259">
        <v>7</v>
      </c>
      <c r="AU249" s="253">
        <v>38408</v>
      </c>
      <c r="AV249" s="375">
        <v>8</v>
      </c>
      <c r="AW249" s="375">
        <v>40645</v>
      </c>
      <c r="AX249" s="252">
        <v>11</v>
      </c>
      <c r="AY249" s="253">
        <v>84926</v>
      </c>
      <c r="AZ249" s="376">
        <v>12</v>
      </c>
      <c r="BA249" s="376">
        <v>2795</v>
      </c>
      <c r="BB249" s="252">
        <v>11</v>
      </c>
      <c r="BC249" s="253">
        <v>1944</v>
      </c>
      <c r="BD249" s="377">
        <v>13</v>
      </c>
      <c r="BE249" s="377">
        <v>2256</v>
      </c>
      <c r="BF249" s="252">
        <v>11</v>
      </c>
      <c r="BG249" s="253">
        <v>62665</v>
      </c>
      <c r="BH249" s="378">
        <v>13</v>
      </c>
      <c r="BI249" s="378">
        <v>76577</v>
      </c>
      <c r="BJ249" s="252"/>
      <c r="BK249" s="253"/>
      <c r="BL249" s="379"/>
      <c r="BM249" s="379"/>
      <c r="BN249" s="252">
        <v>11</v>
      </c>
      <c r="BO249" s="253">
        <v>2601</v>
      </c>
      <c r="BP249" s="380">
        <v>12</v>
      </c>
      <c r="BQ249" s="380">
        <v>2795</v>
      </c>
      <c r="BR249" s="252"/>
      <c r="BS249" s="253"/>
      <c r="BT249" s="381"/>
      <c r="BU249" s="381"/>
      <c r="BV249" s="252"/>
      <c r="BW249" s="253"/>
      <c r="BX249" s="382"/>
      <c r="BY249" s="382"/>
      <c r="BZ249" s="252"/>
      <c r="CA249" s="253"/>
      <c r="CB249" s="383"/>
      <c r="CC249" s="383"/>
      <c r="CD249" s="255">
        <f t="shared" si="52"/>
        <v>11</v>
      </c>
      <c r="CE249" s="256">
        <f t="shared" si="53"/>
        <v>190544</v>
      </c>
      <c r="CF249" s="257">
        <f t="shared" si="54"/>
        <v>13</v>
      </c>
      <c r="CG249" s="261">
        <f t="shared" si="55"/>
        <v>125068</v>
      </c>
    </row>
    <row r="250" spans="1:85" s="263" customFormat="1" ht="12.75" customHeight="1">
      <c r="A250" s="398" t="s">
        <v>213</v>
      </c>
      <c r="B250" s="399" t="s">
        <v>1001</v>
      </c>
      <c r="C250" s="399"/>
      <c r="D250" s="400">
        <v>434672</v>
      </c>
      <c r="E250" s="401">
        <v>8</v>
      </c>
      <c r="F250" s="252">
        <v>329</v>
      </c>
      <c r="G250" s="253">
        <v>1961104</v>
      </c>
      <c r="H250" s="367">
        <v>328</v>
      </c>
      <c r="I250" s="367">
        <v>2121163</v>
      </c>
      <c r="J250" s="252">
        <v>259</v>
      </c>
      <c r="K250" s="253">
        <v>2923890</v>
      </c>
      <c r="L250" s="368">
        <v>268</v>
      </c>
      <c r="M250" s="368">
        <v>3002826</v>
      </c>
      <c r="N250" s="252"/>
      <c r="O250" s="253"/>
      <c r="P250" s="385"/>
      <c r="Q250" s="385"/>
      <c r="R250" s="252">
        <v>338</v>
      </c>
      <c r="S250" s="253">
        <v>1591838</v>
      </c>
      <c r="T250" s="267">
        <v>337</v>
      </c>
      <c r="U250" s="268">
        <v>1624730</v>
      </c>
      <c r="V250" s="252"/>
      <c r="W250" s="253"/>
      <c r="X250" s="369"/>
      <c r="Y250" s="369"/>
      <c r="Z250" s="252">
        <v>271</v>
      </c>
      <c r="AA250" s="253">
        <v>67208</v>
      </c>
      <c r="AB250" s="371">
        <v>271</v>
      </c>
      <c r="AC250" s="371">
        <v>60293</v>
      </c>
      <c r="AD250" s="252">
        <v>338</v>
      </c>
      <c r="AE250" s="253">
        <v>93638</v>
      </c>
      <c r="AF250" s="372">
        <v>337</v>
      </c>
      <c r="AG250" s="372">
        <v>95572</v>
      </c>
      <c r="AH250" s="252"/>
      <c r="AI250" s="253"/>
      <c r="AJ250" s="373"/>
      <c r="AK250" s="373"/>
      <c r="AL250" s="252"/>
      <c r="AM250" s="253"/>
      <c r="AN250" s="374"/>
      <c r="AO250" s="374"/>
      <c r="AP250" s="255">
        <f t="shared" si="48"/>
        <v>338</v>
      </c>
      <c r="AQ250" s="256">
        <f t="shared" si="49"/>
        <v>6637678</v>
      </c>
      <c r="AR250" s="257">
        <f t="shared" si="50"/>
        <v>337</v>
      </c>
      <c r="AS250" s="258">
        <f t="shared" si="51"/>
        <v>6904584</v>
      </c>
      <c r="AT250" s="259">
        <v>64</v>
      </c>
      <c r="AU250" s="253">
        <v>489315</v>
      </c>
      <c r="AV250" s="375">
        <v>77</v>
      </c>
      <c r="AW250" s="375">
        <v>634309</v>
      </c>
      <c r="AX250" s="252">
        <v>48</v>
      </c>
      <c r="AY250" s="253">
        <v>615065</v>
      </c>
      <c r="AZ250" s="376">
        <v>63</v>
      </c>
      <c r="BA250" s="376">
        <v>814524</v>
      </c>
      <c r="BB250" s="252"/>
      <c r="BC250" s="253"/>
      <c r="BD250" s="377"/>
      <c r="BE250" s="377"/>
      <c r="BF250" s="252">
        <v>65</v>
      </c>
      <c r="BG250" s="253">
        <v>372736</v>
      </c>
      <c r="BH250" s="378">
        <v>78</v>
      </c>
      <c r="BI250" s="378">
        <v>463274</v>
      </c>
      <c r="BJ250" s="252"/>
      <c r="BK250" s="253"/>
      <c r="BL250" s="379"/>
      <c r="BM250" s="379"/>
      <c r="BN250" s="252">
        <v>59</v>
      </c>
      <c r="BO250" s="253">
        <v>14632</v>
      </c>
      <c r="BP250" s="380">
        <v>70</v>
      </c>
      <c r="BQ250" s="380">
        <v>15573</v>
      </c>
      <c r="BR250" s="252">
        <v>65</v>
      </c>
      <c r="BS250" s="253">
        <v>22010</v>
      </c>
      <c r="BT250" s="381">
        <v>78</v>
      </c>
      <c r="BU250" s="381">
        <v>27447</v>
      </c>
      <c r="BV250" s="252"/>
      <c r="BW250" s="253"/>
      <c r="BX250" s="382"/>
      <c r="BY250" s="382"/>
      <c r="BZ250" s="252"/>
      <c r="CA250" s="253"/>
      <c r="CB250" s="383"/>
      <c r="CC250" s="383"/>
      <c r="CD250" s="255">
        <f t="shared" si="52"/>
        <v>65</v>
      </c>
      <c r="CE250" s="256">
        <f t="shared" si="53"/>
        <v>1513758</v>
      </c>
      <c r="CF250" s="257">
        <f t="shared" si="54"/>
        <v>78</v>
      </c>
      <c r="CG250" s="261">
        <f t="shared" si="55"/>
        <v>1955127</v>
      </c>
    </row>
    <row r="251" spans="1:85" s="263" customFormat="1" ht="12.75" customHeight="1">
      <c r="A251" s="398" t="s">
        <v>213</v>
      </c>
      <c r="B251" s="399" t="s">
        <v>1002</v>
      </c>
      <c r="C251" s="399"/>
      <c r="D251" s="400">
        <v>163426</v>
      </c>
      <c r="E251" s="401">
        <v>8</v>
      </c>
      <c r="F251" s="252">
        <v>500</v>
      </c>
      <c r="G251" s="253">
        <v>3118858</v>
      </c>
      <c r="H251" s="367">
        <v>510</v>
      </c>
      <c r="I251" s="367">
        <v>3182292</v>
      </c>
      <c r="J251" s="252">
        <v>386</v>
      </c>
      <c r="K251" s="253">
        <v>2878537</v>
      </c>
      <c r="L251" s="368">
        <v>443</v>
      </c>
      <c r="M251" s="368">
        <v>73801</v>
      </c>
      <c r="N251" s="252">
        <v>410</v>
      </c>
      <c r="O251" s="253">
        <v>53848</v>
      </c>
      <c r="P251" s="385">
        <v>415</v>
      </c>
      <c r="Q251" s="385">
        <v>54210</v>
      </c>
      <c r="R251" s="252">
        <v>500</v>
      </c>
      <c r="S251" s="253">
        <v>3004189</v>
      </c>
      <c r="T251" s="267">
        <v>513</v>
      </c>
      <c r="U251" s="268">
        <v>3053094</v>
      </c>
      <c r="V251" s="252"/>
      <c r="W251" s="253"/>
      <c r="X251" s="369"/>
      <c r="Y251" s="369"/>
      <c r="Z251" s="252">
        <v>431</v>
      </c>
      <c r="AA251" s="253">
        <v>71774</v>
      </c>
      <c r="AB251" s="371">
        <v>443</v>
      </c>
      <c r="AC251" s="371">
        <v>73801</v>
      </c>
      <c r="AD251" s="252"/>
      <c r="AE251" s="253"/>
      <c r="AF251" s="372"/>
      <c r="AG251" s="372"/>
      <c r="AH251" s="252"/>
      <c r="AI251" s="253"/>
      <c r="AJ251" s="373"/>
      <c r="AK251" s="373"/>
      <c r="AL251" s="252"/>
      <c r="AM251" s="253"/>
      <c r="AN251" s="374"/>
      <c r="AO251" s="374"/>
      <c r="AP251" s="255">
        <f t="shared" si="48"/>
        <v>500</v>
      </c>
      <c r="AQ251" s="256">
        <f t="shared" si="49"/>
        <v>9127206</v>
      </c>
      <c r="AR251" s="257">
        <f t="shared" si="50"/>
        <v>513</v>
      </c>
      <c r="AS251" s="258">
        <f t="shared" si="51"/>
        <v>6437198</v>
      </c>
      <c r="AT251" s="259"/>
      <c r="AU251" s="253"/>
      <c r="AV251" s="375"/>
      <c r="AW251" s="375"/>
      <c r="AX251" s="252"/>
      <c r="AY251" s="253"/>
      <c r="AZ251" s="376"/>
      <c r="BA251" s="376"/>
      <c r="BB251" s="252"/>
      <c r="BC251" s="253"/>
      <c r="BD251" s="377"/>
      <c r="BE251" s="377"/>
      <c r="BF251" s="252"/>
      <c r="BG251" s="253"/>
      <c r="BH251" s="378"/>
      <c r="BI251" s="378"/>
      <c r="BJ251" s="252"/>
      <c r="BK251" s="253"/>
      <c r="BL251" s="379"/>
      <c r="BM251" s="379"/>
      <c r="BN251" s="252"/>
      <c r="BO251" s="253"/>
      <c r="BP251" s="380"/>
      <c r="BQ251" s="380"/>
      <c r="BR251" s="252"/>
      <c r="BS251" s="253"/>
      <c r="BT251" s="381"/>
      <c r="BU251" s="381"/>
      <c r="BV251" s="252"/>
      <c r="BW251" s="253"/>
      <c r="BX251" s="382"/>
      <c r="BY251" s="382"/>
      <c r="BZ251" s="252"/>
      <c r="CA251" s="253"/>
      <c r="CB251" s="383"/>
      <c r="CC251" s="383"/>
      <c r="CD251" s="255">
        <f t="shared" si="52"/>
        <v>0</v>
      </c>
      <c r="CE251" s="256">
        <f t="shared" si="53"/>
        <v>0</v>
      </c>
      <c r="CF251" s="257">
        <f t="shared" si="54"/>
        <v>0</v>
      </c>
      <c r="CG251" s="261">
        <f t="shared" si="55"/>
        <v>0</v>
      </c>
    </row>
    <row r="252" spans="1:85" s="263" customFormat="1" ht="12.75" customHeight="1">
      <c r="A252" s="398" t="s">
        <v>213</v>
      </c>
      <c r="B252" s="399" t="s">
        <v>225</v>
      </c>
      <c r="C252" s="399"/>
      <c r="D252" s="400">
        <v>163657</v>
      </c>
      <c r="E252" s="401">
        <v>8</v>
      </c>
      <c r="F252" s="252">
        <v>103</v>
      </c>
      <c r="G252" s="253">
        <v>444450</v>
      </c>
      <c r="H252" s="367">
        <v>106</v>
      </c>
      <c r="I252" s="367">
        <v>444633</v>
      </c>
      <c r="J252" s="252">
        <v>179</v>
      </c>
      <c r="K252" s="253">
        <v>1402073</v>
      </c>
      <c r="L252" s="368">
        <v>183</v>
      </c>
      <c r="M252" s="368">
        <v>1438827</v>
      </c>
      <c r="N252" s="252">
        <v>227</v>
      </c>
      <c r="O252" s="253">
        <v>283482</v>
      </c>
      <c r="P252" s="385">
        <v>231</v>
      </c>
      <c r="Q252" s="385">
        <v>286076</v>
      </c>
      <c r="R252" s="252">
        <v>227</v>
      </c>
      <c r="S252" s="253">
        <v>910258</v>
      </c>
      <c r="T252" s="267">
        <v>231</v>
      </c>
      <c r="U252" s="268">
        <v>938787</v>
      </c>
      <c r="V252" s="252"/>
      <c r="W252" s="253"/>
      <c r="X252" s="369"/>
      <c r="Y252" s="369"/>
      <c r="Z252" s="252">
        <v>225</v>
      </c>
      <c r="AA252" s="253">
        <v>119065</v>
      </c>
      <c r="AB252" s="371">
        <v>231</v>
      </c>
      <c r="AC252" s="371">
        <v>89511</v>
      </c>
      <c r="AD252" s="252"/>
      <c r="AE252" s="253"/>
      <c r="AF252" s="372"/>
      <c r="AG252" s="372"/>
      <c r="AH252" s="252"/>
      <c r="AI252" s="253"/>
      <c r="AJ252" s="373"/>
      <c r="AK252" s="373"/>
      <c r="AL252" s="252"/>
      <c r="AM252" s="253"/>
      <c r="AN252" s="374"/>
      <c r="AO252" s="374"/>
      <c r="AP252" s="255">
        <f t="shared" si="48"/>
        <v>227</v>
      </c>
      <c r="AQ252" s="256">
        <f t="shared" si="49"/>
        <v>3159328</v>
      </c>
      <c r="AR252" s="257">
        <f t="shared" si="50"/>
        <v>231</v>
      </c>
      <c r="AS252" s="258">
        <f t="shared" si="51"/>
        <v>3197834</v>
      </c>
      <c r="AT252" s="259">
        <v>1</v>
      </c>
      <c r="AU252" s="253">
        <v>5508</v>
      </c>
      <c r="AV252" s="375">
        <v>2</v>
      </c>
      <c r="AW252" s="375">
        <v>10830</v>
      </c>
      <c r="AX252" s="252">
        <v>6</v>
      </c>
      <c r="AY252" s="253">
        <v>44292</v>
      </c>
      <c r="AZ252" s="376">
        <v>5</v>
      </c>
      <c r="BA252" s="376">
        <v>61059</v>
      </c>
      <c r="BB252" s="252">
        <v>9</v>
      </c>
      <c r="BC252" s="253">
        <v>13609</v>
      </c>
      <c r="BD252" s="377">
        <v>8</v>
      </c>
      <c r="BE252" s="377">
        <v>8682</v>
      </c>
      <c r="BF252" s="252">
        <v>9</v>
      </c>
      <c r="BG252" s="253">
        <v>41522</v>
      </c>
      <c r="BH252" s="378">
        <v>8</v>
      </c>
      <c r="BI252" s="378">
        <v>43293</v>
      </c>
      <c r="BJ252" s="252"/>
      <c r="BK252" s="253"/>
      <c r="BL252" s="379"/>
      <c r="BM252" s="379"/>
      <c r="BN252" s="252">
        <v>9</v>
      </c>
      <c r="BO252" s="253">
        <v>5558</v>
      </c>
      <c r="BP252" s="380">
        <v>8</v>
      </c>
      <c r="BQ252" s="380">
        <v>3792</v>
      </c>
      <c r="BR252" s="252"/>
      <c r="BS252" s="253"/>
      <c r="BT252" s="381"/>
      <c r="BU252" s="381"/>
      <c r="BV252" s="252"/>
      <c r="BW252" s="253"/>
      <c r="BX252" s="382"/>
      <c r="BY252" s="382"/>
      <c r="BZ252" s="252"/>
      <c r="CA252" s="253"/>
      <c r="CB252" s="383"/>
      <c r="CC252" s="383"/>
      <c r="CD252" s="255">
        <f t="shared" si="52"/>
        <v>9</v>
      </c>
      <c r="CE252" s="256">
        <f t="shared" si="53"/>
        <v>110489</v>
      </c>
      <c r="CF252" s="257">
        <f t="shared" si="54"/>
        <v>8</v>
      </c>
      <c r="CG252" s="261">
        <f t="shared" si="55"/>
        <v>127656</v>
      </c>
    </row>
    <row r="253" spans="1:85" s="263" customFormat="1" ht="12.75" customHeight="1">
      <c r="A253" s="402" t="s">
        <v>213</v>
      </c>
      <c r="B253" s="399" t="s">
        <v>230</v>
      </c>
      <c r="C253" s="399"/>
      <c r="D253" s="403">
        <v>161688</v>
      </c>
      <c r="E253" s="404">
        <v>9</v>
      </c>
      <c r="F253" s="252">
        <v>79</v>
      </c>
      <c r="G253" s="253">
        <v>449996</v>
      </c>
      <c r="H253" s="367">
        <v>82</v>
      </c>
      <c r="I253" s="367">
        <v>445328</v>
      </c>
      <c r="J253" s="252">
        <v>84</v>
      </c>
      <c r="K253" s="253">
        <v>596243</v>
      </c>
      <c r="L253" s="368">
        <v>84</v>
      </c>
      <c r="M253" s="368">
        <v>684627</v>
      </c>
      <c r="N253" s="252">
        <v>84</v>
      </c>
      <c r="O253" s="253">
        <v>11789</v>
      </c>
      <c r="P253" s="385">
        <v>84</v>
      </c>
      <c r="Q253" s="385">
        <v>9916</v>
      </c>
      <c r="R253" s="252">
        <v>84</v>
      </c>
      <c r="S253" s="253">
        <v>322085</v>
      </c>
      <c r="T253" s="267">
        <v>84</v>
      </c>
      <c r="U253" s="268">
        <v>329830</v>
      </c>
      <c r="V253" s="252">
        <v>84</v>
      </c>
      <c r="W253" s="253">
        <v>9953</v>
      </c>
      <c r="X253" s="369">
        <v>84</v>
      </c>
      <c r="Y253" s="369">
        <v>10167</v>
      </c>
      <c r="Z253" s="252">
        <v>0</v>
      </c>
      <c r="AA253" s="253">
        <v>0</v>
      </c>
      <c r="AB253" s="371">
        <v>0</v>
      </c>
      <c r="AC253" s="371">
        <v>0</v>
      </c>
      <c r="AD253" s="252">
        <v>84</v>
      </c>
      <c r="AE253" s="253">
        <v>14736</v>
      </c>
      <c r="AF253" s="372">
        <v>84</v>
      </c>
      <c r="AG253" s="372">
        <v>15090</v>
      </c>
      <c r="AH253" s="252">
        <v>19</v>
      </c>
      <c r="AI253" s="253">
        <v>29949</v>
      </c>
      <c r="AJ253" s="373">
        <v>25</v>
      </c>
      <c r="AK253" s="373">
        <v>31501</v>
      </c>
      <c r="AL253" s="252">
        <v>84</v>
      </c>
      <c r="AM253" s="253">
        <v>33200</v>
      </c>
      <c r="AN253" s="374">
        <v>84</v>
      </c>
      <c r="AO253" s="374">
        <v>33600</v>
      </c>
      <c r="AP253" s="255">
        <f t="shared" si="48"/>
        <v>84</v>
      </c>
      <c r="AQ253" s="256">
        <f t="shared" si="49"/>
        <v>1467951</v>
      </c>
      <c r="AR253" s="257">
        <f t="shared" si="50"/>
        <v>84</v>
      </c>
      <c r="AS253" s="258">
        <f t="shared" si="51"/>
        <v>1560059</v>
      </c>
      <c r="AT253" s="259">
        <v>30</v>
      </c>
      <c r="AU253" s="253">
        <v>220328</v>
      </c>
      <c r="AV253" s="375">
        <v>30</v>
      </c>
      <c r="AW253" s="375">
        <v>245395</v>
      </c>
      <c r="AX253" s="252">
        <v>30</v>
      </c>
      <c r="AY253" s="253">
        <v>266962</v>
      </c>
      <c r="AZ253" s="376">
        <v>31</v>
      </c>
      <c r="BA253" s="376">
        <v>319052</v>
      </c>
      <c r="BB253" s="252">
        <v>30</v>
      </c>
      <c r="BC253" s="253">
        <v>5193</v>
      </c>
      <c r="BD253" s="377">
        <v>31</v>
      </c>
      <c r="BE253" s="377">
        <v>4528</v>
      </c>
      <c r="BF253" s="252">
        <v>30</v>
      </c>
      <c r="BG253" s="253">
        <v>141878</v>
      </c>
      <c r="BH253" s="378">
        <v>31</v>
      </c>
      <c r="BI253" s="378">
        <v>150596</v>
      </c>
      <c r="BJ253" s="252">
        <v>30</v>
      </c>
      <c r="BK253" s="253">
        <v>4472</v>
      </c>
      <c r="BL253" s="379">
        <v>31</v>
      </c>
      <c r="BM253" s="379">
        <v>3761</v>
      </c>
      <c r="BN253" s="252"/>
      <c r="BO253" s="253"/>
      <c r="BP253" s="380"/>
      <c r="BQ253" s="380"/>
      <c r="BR253" s="252">
        <v>30</v>
      </c>
      <c r="BS253" s="253">
        <v>6491</v>
      </c>
      <c r="BT253" s="381">
        <v>31</v>
      </c>
      <c r="BU253" s="381">
        <v>6890</v>
      </c>
      <c r="BV253" s="252">
        <v>5</v>
      </c>
      <c r="BW253" s="253">
        <v>9446</v>
      </c>
      <c r="BX253" s="382">
        <v>5</v>
      </c>
      <c r="BY253" s="382">
        <v>6619</v>
      </c>
      <c r="BZ253" s="252">
        <v>30</v>
      </c>
      <c r="CA253" s="253">
        <v>12000</v>
      </c>
      <c r="CB253" s="383">
        <v>31</v>
      </c>
      <c r="CC253" s="383">
        <v>12400</v>
      </c>
      <c r="CD253" s="255">
        <f t="shared" si="52"/>
        <v>30</v>
      </c>
      <c r="CE253" s="256">
        <f t="shared" si="53"/>
        <v>666770</v>
      </c>
      <c r="CF253" s="257">
        <f t="shared" si="54"/>
        <v>31</v>
      </c>
      <c r="CG253" s="261">
        <f t="shared" si="55"/>
        <v>749241</v>
      </c>
    </row>
    <row r="254" spans="1:85" s="263" customFormat="1" ht="12.75" customHeight="1">
      <c r="A254" s="398" t="s">
        <v>213</v>
      </c>
      <c r="B254" s="399" t="s">
        <v>226</v>
      </c>
      <c r="C254" s="399"/>
      <c r="D254" s="400">
        <v>161864</v>
      </c>
      <c r="E254" s="401">
        <v>9</v>
      </c>
      <c r="F254" s="252">
        <v>123</v>
      </c>
      <c r="G254" s="253">
        <v>1166941</v>
      </c>
      <c r="H254" s="367">
        <v>116</v>
      </c>
      <c r="I254" s="367">
        <v>1174419</v>
      </c>
      <c r="J254" s="252">
        <v>112</v>
      </c>
      <c r="K254" s="253">
        <v>1072414</v>
      </c>
      <c r="L254" s="368">
        <v>109</v>
      </c>
      <c r="M254" s="368">
        <v>1076819</v>
      </c>
      <c r="N254" s="252"/>
      <c r="O254" s="253"/>
      <c r="P254" s="385"/>
      <c r="Q254" s="385"/>
      <c r="R254" s="252">
        <v>127</v>
      </c>
      <c r="S254" s="253">
        <v>543040</v>
      </c>
      <c r="T254" s="267">
        <v>121</v>
      </c>
      <c r="U254" s="268">
        <v>541984</v>
      </c>
      <c r="V254" s="252">
        <v>127</v>
      </c>
      <c r="W254" s="253">
        <v>7082</v>
      </c>
      <c r="X254" s="369">
        <v>121</v>
      </c>
      <c r="Y254" s="369">
        <v>19810</v>
      </c>
      <c r="Z254" s="252"/>
      <c r="AA254" s="253"/>
      <c r="AB254" s="371"/>
      <c r="AC254" s="371"/>
      <c r="AD254" s="252">
        <v>127</v>
      </c>
      <c r="AE254" s="253">
        <v>48914</v>
      </c>
      <c r="AF254" s="372">
        <v>121</v>
      </c>
      <c r="AG254" s="372">
        <v>34079</v>
      </c>
      <c r="AH254" s="252">
        <v>127</v>
      </c>
      <c r="AI254" s="253">
        <v>55345</v>
      </c>
      <c r="AJ254" s="373">
        <v>121</v>
      </c>
      <c r="AK254" s="373">
        <v>54065</v>
      </c>
      <c r="AL254" s="252"/>
      <c r="AM254" s="253"/>
      <c r="AN254" s="374"/>
      <c r="AO254" s="374"/>
      <c r="AP254" s="255">
        <f t="shared" si="48"/>
        <v>127</v>
      </c>
      <c r="AQ254" s="256">
        <f t="shared" si="49"/>
        <v>2893736</v>
      </c>
      <c r="AR254" s="257">
        <f t="shared" si="50"/>
        <v>121</v>
      </c>
      <c r="AS254" s="258">
        <f t="shared" si="51"/>
        <v>2901176</v>
      </c>
      <c r="AT254" s="259"/>
      <c r="AU254" s="253"/>
      <c r="AV254" s="375"/>
      <c r="AW254" s="375"/>
      <c r="AX254" s="252"/>
      <c r="AY254" s="253"/>
      <c r="AZ254" s="376"/>
      <c r="BA254" s="376"/>
      <c r="BB254" s="252"/>
      <c r="BC254" s="253"/>
      <c r="BD254" s="377"/>
      <c r="BE254" s="377"/>
      <c r="BF254" s="252"/>
      <c r="BG254" s="253"/>
      <c r="BH254" s="378"/>
      <c r="BI254" s="378"/>
      <c r="BJ254" s="252"/>
      <c r="BK254" s="253"/>
      <c r="BL254" s="379"/>
      <c r="BM254" s="379"/>
      <c r="BN254" s="252"/>
      <c r="BO254" s="253"/>
      <c r="BP254" s="380"/>
      <c r="BQ254" s="380"/>
      <c r="BR254" s="252"/>
      <c r="BS254" s="253"/>
      <c r="BT254" s="381"/>
      <c r="BU254" s="381"/>
      <c r="BV254" s="252"/>
      <c r="BW254" s="253"/>
      <c r="BX254" s="382"/>
      <c r="BY254" s="382"/>
      <c r="BZ254" s="252"/>
      <c r="CA254" s="253"/>
      <c r="CB254" s="383"/>
      <c r="CC254" s="383"/>
      <c r="CD254" s="255">
        <f t="shared" si="52"/>
        <v>0</v>
      </c>
      <c r="CE254" s="256">
        <f t="shared" si="53"/>
        <v>0</v>
      </c>
      <c r="CF254" s="257">
        <f t="shared" si="54"/>
        <v>0</v>
      </c>
      <c r="CG254" s="261">
        <f t="shared" si="55"/>
        <v>0</v>
      </c>
    </row>
    <row r="255" spans="1:85" s="263" customFormat="1" ht="12.75" customHeight="1">
      <c r="A255" s="398" t="s">
        <v>213</v>
      </c>
      <c r="B255" s="441" t="s">
        <v>1003</v>
      </c>
      <c r="C255" s="509" t="s">
        <v>1195</v>
      </c>
      <c r="D255" s="400">
        <v>162122</v>
      </c>
      <c r="E255" s="401">
        <v>9</v>
      </c>
      <c r="F255" s="252">
        <v>101</v>
      </c>
      <c r="G255" s="253">
        <v>636699</v>
      </c>
      <c r="H255" s="367">
        <v>103</v>
      </c>
      <c r="I255" s="367">
        <v>677035</v>
      </c>
      <c r="J255" s="252">
        <v>86</v>
      </c>
      <c r="K255" s="253">
        <v>660579</v>
      </c>
      <c r="L255" s="368">
        <v>85</v>
      </c>
      <c r="M255" s="368">
        <v>642489</v>
      </c>
      <c r="N255" s="252">
        <v>101</v>
      </c>
      <c r="O255" s="253">
        <v>18524</v>
      </c>
      <c r="P255" s="385">
        <v>104</v>
      </c>
      <c r="Q255" s="385">
        <v>20347</v>
      </c>
      <c r="R255" s="252">
        <v>101</v>
      </c>
      <c r="S255" s="253">
        <v>581412</v>
      </c>
      <c r="T255" s="267">
        <v>104</v>
      </c>
      <c r="U255" s="268">
        <v>600984</v>
      </c>
      <c r="V255" s="252"/>
      <c r="W255" s="253"/>
      <c r="X255" s="369"/>
      <c r="Y255" s="369"/>
      <c r="Z255" s="252">
        <v>101</v>
      </c>
      <c r="AA255" s="253">
        <v>21787</v>
      </c>
      <c r="AB255" s="371">
        <v>104</v>
      </c>
      <c r="AC255" s="371">
        <v>19934</v>
      </c>
      <c r="AD255" s="252">
        <v>101</v>
      </c>
      <c r="AE255" s="253">
        <v>19760</v>
      </c>
      <c r="AF255" s="372">
        <v>104</v>
      </c>
      <c r="AG255" s="372">
        <v>24354</v>
      </c>
      <c r="AH255" s="252">
        <v>20</v>
      </c>
      <c r="AI255" s="253">
        <v>26585</v>
      </c>
      <c r="AJ255" s="373">
        <v>21</v>
      </c>
      <c r="AK255" s="373">
        <v>30135</v>
      </c>
      <c r="AL255" s="252"/>
      <c r="AM255" s="253"/>
      <c r="AN255" s="374"/>
      <c r="AO255" s="374"/>
      <c r="AP255" s="255">
        <f t="shared" si="48"/>
        <v>101</v>
      </c>
      <c r="AQ255" s="256">
        <f t="shared" si="49"/>
        <v>1965346</v>
      </c>
      <c r="AR255" s="257">
        <f t="shared" si="50"/>
        <v>104</v>
      </c>
      <c r="AS255" s="258">
        <f t="shared" si="51"/>
        <v>2015278</v>
      </c>
      <c r="AT255" s="259">
        <v>22</v>
      </c>
      <c r="AU255" s="253">
        <v>192350</v>
      </c>
      <c r="AV255" s="375">
        <v>22</v>
      </c>
      <c r="AW255" s="375">
        <v>206789</v>
      </c>
      <c r="AX255" s="252">
        <v>18</v>
      </c>
      <c r="AY255" s="253">
        <v>129867</v>
      </c>
      <c r="AZ255" s="376">
        <v>18</v>
      </c>
      <c r="BA255" s="376">
        <v>127079</v>
      </c>
      <c r="BB255" s="252">
        <v>22</v>
      </c>
      <c r="BC255" s="253">
        <v>4270</v>
      </c>
      <c r="BD255" s="377">
        <v>22</v>
      </c>
      <c r="BE255" s="377">
        <v>5357</v>
      </c>
      <c r="BF255" s="252">
        <v>22</v>
      </c>
      <c r="BG255" s="253">
        <v>160406</v>
      </c>
      <c r="BH255" s="378">
        <v>22</v>
      </c>
      <c r="BI255" s="378">
        <v>159575</v>
      </c>
      <c r="BJ255" s="252"/>
      <c r="BK255" s="253"/>
      <c r="BL255" s="379"/>
      <c r="BM255" s="379"/>
      <c r="BN255" s="252">
        <v>22</v>
      </c>
      <c r="BO255" s="253">
        <v>4753</v>
      </c>
      <c r="BP255" s="380">
        <v>22</v>
      </c>
      <c r="BQ255" s="380">
        <v>4221</v>
      </c>
      <c r="BR255" s="252">
        <v>22</v>
      </c>
      <c r="BS255" s="253">
        <v>5452</v>
      </c>
      <c r="BT255" s="381">
        <v>22</v>
      </c>
      <c r="BU255" s="381">
        <v>6466</v>
      </c>
      <c r="BV255" s="252">
        <v>4</v>
      </c>
      <c r="BW255" s="253">
        <v>7334</v>
      </c>
      <c r="BX255" s="382">
        <v>4</v>
      </c>
      <c r="BY255" s="382">
        <v>7924</v>
      </c>
      <c r="BZ255" s="252"/>
      <c r="CA255" s="253"/>
      <c r="CB255" s="383"/>
      <c r="CC255" s="383"/>
      <c r="CD255" s="255">
        <f t="shared" si="52"/>
        <v>22</v>
      </c>
      <c r="CE255" s="256">
        <f t="shared" si="53"/>
        <v>504432</v>
      </c>
      <c r="CF255" s="257">
        <f t="shared" si="54"/>
        <v>22</v>
      </c>
      <c r="CG255" s="261">
        <f t="shared" si="55"/>
        <v>517411</v>
      </c>
    </row>
    <row r="256" spans="1:85" s="263" customFormat="1" ht="12.75" customHeight="1">
      <c r="A256" s="398" t="s">
        <v>213</v>
      </c>
      <c r="B256" s="399" t="s">
        <v>227</v>
      </c>
      <c r="C256" s="399"/>
      <c r="D256" s="400">
        <v>162557</v>
      </c>
      <c r="E256" s="401">
        <v>9</v>
      </c>
      <c r="F256" s="252">
        <v>89</v>
      </c>
      <c r="G256" s="253">
        <v>495080</v>
      </c>
      <c r="H256" s="367">
        <v>94</v>
      </c>
      <c r="I256" s="367">
        <v>525616</v>
      </c>
      <c r="J256" s="252">
        <v>77</v>
      </c>
      <c r="K256" s="253">
        <v>824692</v>
      </c>
      <c r="L256" s="368">
        <v>80</v>
      </c>
      <c r="M256" s="368">
        <v>903258</v>
      </c>
      <c r="N256" s="252">
        <v>89</v>
      </c>
      <c r="O256" s="253">
        <v>19753</v>
      </c>
      <c r="P256" s="385">
        <v>94</v>
      </c>
      <c r="Q256" s="385">
        <v>20812</v>
      </c>
      <c r="R256" s="252">
        <v>89</v>
      </c>
      <c r="S256" s="253">
        <v>457907</v>
      </c>
      <c r="T256" s="267">
        <v>94</v>
      </c>
      <c r="U256" s="268">
        <v>482452</v>
      </c>
      <c r="V256" s="252"/>
      <c r="W256" s="253"/>
      <c r="X256" s="369"/>
      <c r="Y256" s="369"/>
      <c r="Z256" s="252">
        <v>89</v>
      </c>
      <c r="AA256" s="253">
        <v>21549</v>
      </c>
      <c r="AB256" s="371">
        <v>94</v>
      </c>
      <c r="AC256" s="371">
        <v>22704</v>
      </c>
      <c r="AD256" s="252">
        <v>89</v>
      </c>
      <c r="AE256" s="253">
        <v>22704</v>
      </c>
      <c r="AF256" s="372">
        <v>94</v>
      </c>
      <c r="AG256" s="372">
        <v>23921</v>
      </c>
      <c r="AH256" s="252">
        <v>5</v>
      </c>
      <c r="AI256" s="253">
        <v>7020</v>
      </c>
      <c r="AJ256" s="373">
        <v>15</v>
      </c>
      <c r="AK256" s="373">
        <v>39085</v>
      </c>
      <c r="AL256" s="252">
        <v>68</v>
      </c>
      <c r="AM256" s="253">
        <v>3476</v>
      </c>
      <c r="AN256" s="374">
        <v>73</v>
      </c>
      <c r="AO256" s="374">
        <v>3732</v>
      </c>
      <c r="AP256" s="255">
        <f t="shared" si="48"/>
        <v>89</v>
      </c>
      <c r="AQ256" s="256">
        <f t="shared" si="49"/>
        <v>1852181</v>
      </c>
      <c r="AR256" s="257">
        <f t="shared" si="50"/>
        <v>94</v>
      </c>
      <c r="AS256" s="258">
        <f t="shared" si="51"/>
        <v>2021580</v>
      </c>
      <c r="AT256" s="259">
        <v>6</v>
      </c>
      <c r="AU256" s="253">
        <v>41587</v>
      </c>
      <c r="AV256" s="375">
        <v>4</v>
      </c>
      <c r="AW256" s="375">
        <v>29870</v>
      </c>
      <c r="AX256" s="252">
        <v>5</v>
      </c>
      <c r="AY256" s="253">
        <v>55838</v>
      </c>
      <c r="AZ256" s="376">
        <v>4</v>
      </c>
      <c r="BA256" s="376">
        <v>32316</v>
      </c>
      <c r="BB256" s="252">
        <v>5</v>
      </c>
      <c r="BC256" s="253">
        <v>1546</v>
      </c>
      <c r="BD256" s="377">
        <v>4</v>
      </c>
      <c r="BE256" s="377">
        <v>1218</v>
      </c>
      <c r="BF256" s="252">
        <v>6</v>
      </c>
      <c r="BG256" s="253">
        <v>35837</v>
      </c>
      <c r="BH256" s="378">
        <v>4</v>
      </c>
      <c r="BI256" s="378">
        <v>28737</v>
      </c>
      <c r="BJ256" s="252"/>
      <c r="BK256" s="253"/>
      <c r="BL256" s="379"/>
      <c r="BM256" s="379"/>
      <c r="BN256" s="252">
        <v>5</v>
      </c>
      <c r="BO256" s="253">
        <v>1686</v>
      </c>
      <c r="BP256" s="380">
        <v>4</v>
      </c>
      <c r="BQ256" s="380">
        <v>1329</v>
      </c>
      <c r="BR256" s="252">
        <v>6</v>
      </c>
      <c r="BS256" s="253">
        <v>1777</v>
      </c>
      <c r="BT256" s="381">
        <v>4</v>
      </c>
      <c r="BU256" s="381">
        <v>1400</v>
      </c>
      <c r="BV256" s="252">
        <v>10</v>
      </c>
      <c r="BW256" s="253">
        <v>70008</v>
      </c>
      <c r="BX256" s="382">
        <v>0</v>
      </c>
      <c r="BY256" s="382">
        <v>0</v>
      </c>
      <c r="BZ256" s="252">
        <v>4</v>
      </c>
      <c r="CA256" s="253">
        <v>204</v>
      </c>
      <c r="CB256" s="383">
        <v>4</v>
      </c>
      <c r="CC256" s="383">
        <v>204</v>
      </c>
      <c r="CD256" s="255">
        <f t="shared" si="52"/>
        <v>10</v>
      </c>
      <c r="CE256" s="256">
        <f t="shared" si="53"/>
        <v>208483</v>
      </c>
      <c r="CF256" s="257">
        <f t="shared" si="54"/>
        <v>4</v>
      </c>
      <c r="CG256" s="261">
        <f t="shared" si="55"/>
        <v>95074</v>
      </c>
    </row>
    <row r="257" spans="1:85" s="263" customFormat="1" ht="12.75" customHeight="1">
      <c r="A257" s="402" t="s">
        <v>213</v>
      </c>
      <c r="B257" s="399" t="s">
        <v>235</v>
      </c>
      <c r="C257" s="399"/>
      <c r="D257" s="403">
        <v>162690</v>
      </c>
      <c r="E257" s="404">
        <v>9</v>
      </c>
      <c r="F257" s="252">
        <v>48</v>
      </c>
      <c r="G257" s="253">
        <v>352458</v>
      </c>
      <c r="H257" s="367">
        <v>50</v>
      </c>
      <c r="I257" s="367">
        <v>347426</v>
      </c>
      <c r="J257" s="252">
        <v>45</v>
      </c>
      <c r="K257" s="253">
        <v>440127</v>
      </c>
      <c r="L257" s="368">
        <v>48</v>
      </c>
      <c r="M257" s="368">
        <v>445016</v>
      </c>
      <c r="N257" s="252">
        <v>59</v>
      </c>
      <c r="O257" s="253">
        <v>77905</v>
      </c>
      <c r="P257" s="385">
        <v>61</v>
      </c>
      <c r="Q257" s="385">
        <v>78156</v>
      </c>
      <c r="R257" s="252">
        <v>59</v>
      </c>
      <c r="S257" s="253">
        <v>258670</v>
      </c>
      <c r="T257" s="267">
        <v>61</v>
      </c>
      <c r="U257" s="268">
        <v>259502</v>
      </c>
      <c r="V257" s="252"/>
      <c r="W257" s="253"/>
      <c r="X257" s="369"/>
      <c r="Y257" s="369"/>
      <c r="Z257" s="252">
        <v>59</v>
      </c>
      <c r="AA257" s="253">
        <v>7304</v>
      </c>
      <c r="AB257" s="371">
        <v>61</v>
      </c>
      <c r="AC257" s="371">
        <v>7327</v>
      </c>
      <c r="AD257" s="252">
        <v>59</v>
      </c>
      <c r="AE257" s="253">
        <v>12173</v>
      </c>
      <c r="AF257" s="372">
        <v>61</v>
      </c>
      <c r="AG257" s="372">
        <v>12212</v>
      </c>
      <c r="AH257" s="252">
        <v>3</v>
      </c>
      <c r="AI257" s="253">
        <v>960</v>
      </c>
      <c r="AJ257" s="373">
        <v>4</v>
      </c>
      <c r="AK257" s="373">
        <v>6468</v>
      </c>
      <c r="AL257" s="252"/>
      <c r="AM257" s="253"/>
      <c r="AN257" s="374"/>
      <c r="AO257" s="374"/>
      <c r="AP257" s="255">
        <f t="shared" si="48"/>
        <v>59</v>
      </c>
      <c r="AQ257" s="256">
        <f t="shared" si="49"/>
        <v>1149597</v>
      </c>
      <c r="AR257" s="257">
        <f t="shared" si="50"/>
        <v>61</v>
      </c>
      <c r="AS257" s="258">
        <f t="shared" si="51"/>
        <v>1156107</v>
      </c>
      <c r="AT257" s="259">
        <v>12</v>
      </c>
      <c r="AU257" s="253">
        <v>57549</v>
      </c>
      <c r="AV257" s="375">
        <v>12</v>
      </c>
      <c r="AW257" s="375">
        <v>54015</v>
      </c>
      <c r="AX257" s="252">
        <v>13</v>
      </c>
      <c r="AY257" s="253">
        <v>120353</v>
      </c>
      <c r="AZ257" s="376">
        <v>13</v>
      </c>
      <c r="BA257" s="376">
        <v>130808</v>
      </c>
      <c r="BB257" s="252">
        <v>14</v>
      </c>
      <c r="BC257" s="253">
        <v>20588</v>
      </c>
      <c r="BD257" s="377">
        <v>16</v>
      </c>
      <c r="BE257" s="377">
        <v>22368</v>
      </c>
      <c r="BF257" s="252">
        <v>14</v>
      </c>
      <c r="BG257" s="253">
        <v>68359</v>
      </c>
      <c r="BH257" s="378">
        <v>16</v>
      </c>
      <c r="BI257" s="378">
        <v>74268</v>
      </c>
      <c r="BJ257" s="252"/>
      <c r="BK257" s="253"/>
      <c r="BL257" s="379"/>
      <c r="BM257" s="379"/>
      <c r="BN257" s="252">
        <v>14</v>
      </c>
      <c r="BO257" s="253">
        <v>1930</v>
      </c>
      <c r="BP257" s="380">
        <v>16</v>
      </c>
      <c r="BQ257" s="380">
        <v>2097</v>
      </c>
      <c r="BR257" s="252">
        <v>14</v>
      </c>
      <c r="BS257" s="253">
        <v>3217</v>
      </c>
      <c r="BT257" s="381">
        <v>16</v>
      </c>
      <c r="BU257" s="381">
        <v>3495</v>
      </c>
      <c r="BV257" s="252"/>
      <c r="BW257" s="253"/>
      <c r="BX257" s="382"/>
      <c r="BY257" s="382"/>
      <c r="BZ257" s="252"/>
      <c r="CA257" s="253"/>
      <c r="CB257" s="383"/>
      <c r="CC257" s="383"/>
      <c r="CD257" s="255">
        <f t="shared" si="52"/>
        <v>14</v>
      </c>
      <c r="CE257" s="256">
        <f t="shared" si="53"/>
        <v>271996</v>
      </c>
      <c r="CF257" s="257">
        <f t="shared" si="54"/>
        <v>16</v>
      </c>
      <c r="CG257" s="261">
        <f t="shared" si="55"/>
        <v>287051</v>
      </c>
    </row>
    <row r="258" spans="1:85" s="263" customFormat="1" ht="12.75" customHeight="1">
      <c r="A258" s="398" t="s">
        <v>213</v>
      </c>
      <c r="B258" s="399" t="s">
        <v>228</v>
      </c>
      <c r="C258" s="399"/>
      <c r="D258" s="400">
        <v>162706</v>
      </c>
      <c r="E258" s="401">
        <v>9</v>
      </c>
      <c r="F258" s="252">
        <v>98</v>
      </c>
      <c r="G258" s="253">
        <v>560609</v>
      </c>
      <c r="H258" s="367">
        <v>94</v>
      </c>
      <c r="I258" s="367">
        <v>580457</v>
      </c>
      <c r="J258" s="252">
        <v>87</v>
      </c>
      <c r="K258" s="253">
        <v>860411</v>
      </c>
      <c r="L258" s="368">
        <v>84</v>
      </c>
      <c r="M258" s="368">
        <v>953438</v>
      </c>
      <c r="N258" s="252">
        <v>100</v>
      </c>
      <c r="O258" s="253">
        <v>14620</v>
      </c>
      <c r="P258" s="385">
        <v>95</v>
      </c>
      <c r="Q258" s="385">
        <v>18444</v>
      </c>
      <c r="R258" s="252">
        <v>100</v>
      </c>
      <c r="S258" s="253">
        <v>455261</v>
      </c>
      <c r="T258" s="267">
        <v>95</v>
      </c>
      <c r="U258" s="268">
        <v>420824</v>
      </c>
      <c r="V258" s="252">
        <v>100</v>
      </c>
      <c r="W258" s="253">
        <v>1020</v>
      </c>
      <c r="X258" s="369">
        <v>95</v>
      </c>
      <c r="Y258" s="369">
        <v>969</v>
      </c>
      <c r="Z258" s="252">
        <v>100</v>
      </c>
      <c r="AA258" s="253">
        <v>19514</v>
      </c>
      <c r="AB258" s="371">
        <v>95</v>
      </c>
      <c r="AC258" s="371">
        <v>18444</v>
      </c>
      <c r="AD258" s="252">
        <v>100</v>
      </c>
      <c r="AE258" s="253">
        <v>19207</v>
      </c>
      <c r="AF258" s="372">
        <v>95</v>
      </c>
      <c r="AG258" s="372">
        <v>18153</v>
      </c>
      <c r="AH258" s="252">
        <v>38</v>
      </c>
      <c r="AI258" s="253">
        <v>7876</v>
      </c>
      <c r="AJ258" s="373">
        <v>36</v>
      </c>
      <c r="AK258" s="373">
        <v>17295</v>
      </c>
      <c r="AL258" s="252"/>
      <c r="AM258" s="253"/>
      <c r="AN258" s="374"/>
      <c r="AO258" s="374"/>
      <c r="AP258" s="255">
        <f t="shared" si="48"/>
        <v>100</v>
      </c>
      <c r="AQ258" s="256">
        <f t="shared" si="49"/>
        <v>1938518</v>
      </c>
      <c r="AR258" s="257">
        <f t="shared" si="50"/>
        <v>95</v>
      </c>
      <c r="AS258" s="258">
        <f t="shared" si="51"/>
        <v>2028024</v>
      </c>
      <c r="AT258" s="259">
        <v>2</v>
      </c>
      <c r="AU258" s="253">
        <v>16419</v>
      </c>
      <c r="AV258" s="375">
        <v>2</v>
      </c>
      <c r="AW258" s="375">
        <v>18454</v>
      </c>
      <c r="AX258" s="252">
        <v>2</v>
      </c>
      <c r="AY258" s="253">
        <v>10001</v>
      </c>
      <c r="AZ258" s="376">
        <v>2</v>
      </c>
      <c r="BA258" s="376">
        <v>10630</v>
      </c>
      <c r="BB258" s="252">
        <v>2</v>
      </c>
      <c r="BC258" s="253">
        <v>344</v>
      </c>
      <c r="BD258" s="377">
        <v>2</v>
      </c>
      <c r="BE258" s="377">
        <v>344</v>
      </c>
      <c r="BF258" s="252">
        <v>2</v>
      </c>
      <c r="BG258" s="253">
        <v>10735</v>
      </c>
      <c r="BH258" s="378">
        <v>2</v>
      </c>
      <c r="BI258" s="378">
        <v>10735</v>
      </c>
      <c r="BJ258" s="252">
        <v>2</v>
      </c>
      <c r="BK258" s="253">
        <v>20</v>
      </c>
      <c r="BL258" s="379">
        <v>2</v>
      </c>
      <c r="BM258" s="379">
        <v>20</v>
      </c>
      <c r="BN258" s="252">
        <v>2</v>
      </c>
      <c r="BO258" s="253">
        <v>468</v>
      </c>
      <c r="BP258" s="380">
        <v>2</v>
      </c>
      <c r="BQ258" s="380">
        <v>468</v>
      </c>
      <c r="BR258" s="252">
        <v>2</v>
      </c>
      <c r="BS258" s="253">
        <v>463</v>
      </c>
      <c r="BT258" s="381">
        <v>2</v>
      </c>
      <c r="BU258" s="381">
        <v>463</v>
      </c>
      <c r="BV258" s="252"/>
      <c r="BW258" s="253"/>
      <c r="BX258" s="382"/>
      <c r="BY258" s="382"/>
      <c r="BZ258" s="252"/>
      <c r="CA258" s="253"/>
      <c r="CB258" s="383"/>
      <c r="CC258" s="383"/>
      <c r="CD258" s="255">
        <f t="shared" si="52"/>
        <v>2</v>
      </c>
      <c r="CE258" s="256">
        <f t="shared" si="53"/>
        <v>38450</v>
      </c>
      <c r="CF258" s="257">
        <f t="shared" si="54"/>
        <v>2</v>
      </c>
      <c r="CG258" s="261">
        <f t="shared" si="55"/>
        <v>41114</v>
      </c>
    </row>
    <row r="259" spans="1:85" s="263" customFormat="1" ht="12.75" customHeight="1">
      <c r="A259" s="398" t="s">
        <v>213</v>
      </c>
      <c r="B259" s="441" t="s">
        <v>229</v>
      </c>
      <c r="C259" s="509" t="s">
        <v>1195</v>
      </c>
      <c r="D259" s="400">
        <v>162779</v>
      </c>
      <c r="E259" s="401">
        <v>9</v>
      </c>
      <c r="F259" s="252">
        <v>121</v>
      </c>
      <c r="G259" s="253">
        <v>608427</v>
      </c>
      <c r="H259" s="367">
        <v>125</v>
      </c>
      <c r="I259" s="367">
        <v>712655</v>
      </c>
      <c r="J259" s="252">
        <v>96</v>
      </c>
      <c r="K259" s="253">
        <v>960191</v>
      </c>
      <c r="L259" s="368">
        <v>103</v>
      </c>
      <c r="M259" s="368">
        <v>1088419</v>
      </c>
      <c r="N259" s="252">
        <v>121</v>
      </c>
      <c r="O259" s="253">
        <v>25108</v>
      </c>
      <c r="P259" s="385">
        <v>125</v>
      </c>
      <c r="Q259" s="385">
        <v>23145</v>
      </c>
      <c r="R259" s="252">
        <v>121</v>
      </c>
      <c r="S259" s="253">
        <v>600852</v>
      </c>
      <c r="T259" s="267">
        <v>125</v>
      </c>
      <c r="U259" s="268">
        <v>619439</v>
      </c>
      <c r="V259" s="252"/>
      <c r="W259" s="253"/>
      <c r="X259" s="369"/>
      <c r="Y259" s="369"/>
      <c r="Z259" s="252">
        <v>121</v>
      </c>
      <c r="AA259" s="253">
        <v>22703</v>
      </c>
      <c r="AB259" s="371">
        <v>125</v>
      </c>
      <c r="AC259" s="371">
        <v>20876</v>
      </c>
      <c r="AD259" s="252">
        <v>121</v>
      </c>
      <c r="AE259" s="253">
        <v>14850</v>
      </c>
      <c r="AF259" s="372">
        <v>125</v>
      </c>
      <c r="AG259" s="372">
        <v>14518</v>
      </c>
      <c r="AH259" s="252">
        <v>13</v>
      </c>
      <c r="AI259" s="253">
        <v>9865</v>
      </c>
      <c r="AJ259" s="373">
        <v>10</v>
      </c>
      <c r="AK259" s="373">
        <v>12590</v>
      </c>
      <c r="AL259" s="252"/>
      <c r="AM259" s="253"/>
      <c r="AN259" s="374"/>
      <c r="AO259" s="374"/>
      <c r="AP259" s="255">
        <f t="shared" si="48"/>
        <v>121</v>
      </c>
      <c r="AQ259" s="256">
        <f t="shared" si="49"/>
        <v>2241996</v>
      </c>
      <c r="AR259" s="257">
        <f t="shared" si="50"/>
        <v>125</v>
      </c>
      <c r="AS259" s="258">
        <f t="shared" si="51"/>
        <v>2491642</v>
      </c>
      <c r="AT259" s="259">
        <v>29</v>
      </c>
      <c r="AU259" s="253">
        <v>234823</v>
      </c>
      <c r="AV259" s="375">
        <v>29</v>
      </c>
      <c r="AW259" s="375">
        <v>234307</v>
      </c>
      <c r="AX259" s="252">
        <v>26</v>
      </c>
      <c r="AY259" s="253">
        <v>231596</v>
      </c>
      <c r="AZ259" s="376">
        <v>29</v>
      </c>
      <c r="BA259" s="376">
        <v>6492</v>
      </c>
      <c r="BB259" s="252">
        <v>29</v>
      </c>
      <c r="BC259" s="253">
        <v>8408</v>
      </c>
      <c r="BD259" s="377">
        <v>29</v>
      </c>
      <c r="BE259" s="377">
        <v>7416</v>
      </c>
      <c r="BF259" s="252">
        <v>29</v>
      </c>
      <c r="BG259" s="253">
        <v>199862</v>
      </c>
      <c r="BH259" s="378">
        <v>29</v>
      </c>
      <c r="BI259" s="378">
        <v>198496</v>
      </c>
      <c r="BJ259" s="252"/>
      <c r="BK259" s="253"/>
      <c r="BL259" s="379"/>
      <c r="BM259" s="379"/>
      <c r="BN259" s="252">
        <v>29</v>
      </c>
      <c r="BO259" s="253">
        <v>7376</v>
      </c>
      <c r="BP259" s="380">
        <v>29</v>
      </c>
      <c r="BQ259" s="380">
        <v>6492</v>
      </c>
      <c r="BR259" s="252">
        <v>29</v>
      </c>
      <c r="BS259" s="253">
        <v>3560</v>
      </c>
      <c r="BT259" s="381">
        <v>29</v>
      </c>
      <c r="BU259" s="381">
        <v>3367</v>
      </c>
      <c r="BV259" s="252">
        <v>3</v>
      </c>
      <c r="BW259" s="253">
        <v>3349</v>
      </c>
      <c r="BX259" s="382">
        <v>1</v>
      </c>
      <c r="BY259" s="382">
        <v>733</v>
      </c>
      <c r="BZ259" s="252"/>
      <c r="CA259" s="253"/>
      <c r="CB259" s="383"/>
      <c r="CC259" s="383"/>
      <c r="CD259" s="255">
        <f t="shared" si="52"/>
        <v>29</v>
      </c>
      <c r="CE259" s="256">
        <f t="shared" si="53"/>
        <v>688974</v>
      </c>
      <c r="CF259" s="257">
        <f t="shared" si="54"/>
        <v>29</v>
      </c>
      <c r="CG259" s="261">
        <f t="shared" si="55"/>
        <v>457303</v>
      </c>
    </row>
    <row r="260" spans="1:85" s="263" customFormat="1" ht="12.75" customHeight="1">
      <c r="A260" s="398" t="s">
        <v>213</v>
      </c>
      <c r="B260" s="506" t="s">
        <v>231</v>
      </c>
      <c r="C260" s="507" t="s">
        <v>1247</v>
      </c>
      <c r="D260" s="400">
        <v>405872</v>
      </c>
      <c r="E260" s="508">
        <v>9</v>
      </c>
      <c r="F260" s="252">
        <v>60</v>
      </c>
      <c r="G260" s="253">
        <v>282270</v>
      </c>
      <c r="H260" s="367">
        <v>63</v>
      </c>
      <c r="I260" s="367">
        <v>312960</v>
      </c>
      <c r="J260" s="252">
        <v>56</v>
      </c>
      <c r="K260" s="253">
        <v>713013</v>
      </c>
      <c r="L260" s="368">
        <v>60</v>
      </c>
      <c r="M260" s="368">
        <v>784975</v>
      </c>
      <c r="N260" s="252"/>
      <c r="O260" s="253"/>
      <c r="P260" s="385"/>
      <c r="Q260" s="385"/>
      <c r="R260" s="252">
        <v>64</v>
      </c>
      <c r="S260" s="253">
        <v>272300</v>
      </c>
      <c r="T260" s="267">
        <v>66</v>
      </c>
      <c r="U260" s="268">
        <v>274787</v>
      </c>
      <c r="V260" s="252"/>
      <c r="W260" s="253"/>
      <c r="X260" s="369"/>
      <c r="Y260" s="369"/>
      <c r="Z260" s="252">
        <v>64</v>
      </c>
      <c r="AA260" s="253">
        <v>6723</v>
      </c>
      <c r="AB260" s="371">
        <v>66</v>
      </c>
      <c r="AC260" s="371">
        <v>6574</v>
      </c>
      <c r="AD260" s="252">
        <v>64</v>
      </c>
      <c r="AE260" s="253">
        <v>28120</v>
      </c>
      <c r="AF260" s="372">
        <v>66</v>
      </c>
      <c r="AG260" s="372">
        <v>28377</v>
      </c>
      <c r="AH260" s="252"/>
      <c r="AI260" s="253"/>
      <c r="AJ260" s="373"/>
      <c r="AK260" s="373"/>
      <c r="AL260" s="252"/>
      <c r="AM260" s="253"/>
      <c r="AN260" s="374"/>
      <c r="AO260" s="374"/>
      <c r="AP260" s="255">
        <f t="shared" si="48"/>
        <v>64</v>
      </c>
      <c r="AQ260" s="256">
        <f t="shared" si="49"/>
        <v>1302426</v>
      </c>
      <c r="AR260" s="257">
        <f t="shared" si="50"/>
        <v>66</v>
      </c>
      <c r="AS260" s="258">
        <f t="shared" si="51"/>
        <v>1407673</v>
      </c>
      <c r="AT260" s="259">
        <v>5</v>
      </c>
      <c r="AU260" s="253">
        <v>26812</v>
      </c>
      <c r="AV260" s="375">
        <v>6</v>
      </c>
      <c r="AW260" s="375">
        <v>34458</v>
      </c>
      <c r="AX260" s="252">
        <v>5</v>
      </c>
      <c r="AY260" s="253">
        <v>57974</v>
      </c>
      <c r="AZ260" s="376">
        <v>6</v>
      </c>
      <c r="BA260" s="376">
        <v>81006</v>
      </c>
      <c r="BB260" s="252"/>
      <c r="BC260" s="253"/>
      <c r="BD260" s="377"/>
      <c r="BE260" s="377"/>
      <c r="BF260" s="252">
        <v>5</v>
      </c>
      <c r="BG260" s="253">
        <v>26259</v>
      </c>
      <c r="BH260" s="378">
        <v>7</v>
      </c>
      <c r="BI260" s="378">
        <v>38692</v>
      </c>
      <c r="BJ260" s="252"/>
      <c r="BK260" s="253"/>
      <c r="BL260" s="379"/>
      <c r="BM260" s="379"/>
      <c r="BN260" s="252">
        <v>5</v>
      </c>
      <c r="BO260" s="253">
        <v>525</v>
      </c>
      <c r="BP260" s="380">
        <v>7</v>
      </c>
      <c r="BQ260" s="380">
        <v>697</v>
      </c>
      <c r="BR260" s="252">
        <v>5</v>
      </c>
      <c r="BS260" s="253">
        <v>2712</v>
      </c>
      <c r="BT260" s="381">
        <v>7</v>
      </c>
      <c r="BU260" s="381">
        <v>3996</v>
      </c>
      <c r="BV260" s="252"/>
      <c r="BW260" s="253"/>
      <c r="BX260" s="382"/>
      <c r="BY260" s="382"/>
      <c r="BZ260" s="252"/>
      <c r="CA260" s="253"/>
      <c r="CB260" s="383"/>
      <c r="CC260" s="383"/>
      <c r="CD260" s="255">
        <f t="shared" si="52"/>
        <v>5</v>
      </c>
      <c r="CE260" s="256">
        <f t="shared" si="53"/>
        <v>114282</v>
      </c>
      <c r="CF260" s="257">
        <f t="shared" si="54"/>
        <v>7</v>
      </c>
      <c r="CG260" s="261">
        <f t="shared" si="55"/>
        <v>158849</v>
      </c>
    </row>
    <row r="261" spans="1:85" s="263" customFormat="1" ht="12.75" customHeight="1">
      <c r="A261" s="398" t="s">
        <v>213</v>
      </c>
      <c r="B261" s="399" t="s">
        <v>232</v>
      </c>
      <c r="C261" s="399"/>
      <c r="D261" s="400">
        <v>162104</v>
      </c>
      <c r="E261" s="401">
        <v>10</v>
      </c>
      <c r="F261" s="252">
        <v>40</v>
      </c>
      <c r="G261" s="253">
        <v>196248</v>
      </c>
      <c r="H261" s="367">
        <v>38</v>
      </c>
      <c r="I261" s="367">
        <v>180094</v>
      </c>
      <c r="J261" s="252">
        <v>40</v>
      </c>
      <c r="K261" s="253">
        <v>491640</v>
      </c>
      <c r="L261" s="368">
        <v>38</v>
      </c>
      <c r="M261" s="368">
        <v>466184</v>
      </c>
      <c r="N261" s="252">
        <v>43</v>
      </c>
      <c r="O261" s="253">
        <v>7653</v>
      </c>
      <c r="P261" s="385">
        <v>41</v>
      </c>
      <c r="Q261" s="385">
        <v>5088</v>
      </c>
      <c r="R261" s="252">
        <v>43</v>
      </c>
      <c r="S261" s="253">
        <v>195156</v>
      </c>
      <c r="T261" s="267">
        <v>41</v>
      </c>
      <c r="U261" s="268">
        <v>176923</v>
      </c>
      <c r="V261" s="252"/>
      <c r="W261" s="253"/>
      <c r="X261" s="369"/>
      <c r="Y261" s="369"/>
      <c r="Z261" s="252">
        <v>43</v>
      </c>
      <c r="AA261" s="253">
        <v>4592</v>
      </c>
      <c r="AB261" s="371">
        <v>41</v>
      </c>
      <c r="AC261" s="371">
        <v>4394</v>
      </c>
      <c r="AD261" s="252">
        <v>43</v>
      </c>
      <c r="AE261" s="253">
        <v>9694</v>
      </c>
      <c r="AF261" s="372">
        <v>41</v>
      </c>
      <c r="AG261" s="372">
        <v>10176</v>
      </c>
      <c r="AH261" s="252">
        <v>6</v>
      </c>
      <c r="AI261" s="253">
        <v>6660</v>
      </c>
      <c r="AJ261" s="373">
        <v>3</v>
      </c>
      <c r="AK261" s="373">
        <v>3780</v>
      </c>
      <c r="AL261" s="252"/>
      <c r="AM261" s="253"/>
      <c r="AN261" s="374"/>
      <c r="AO261" s="374"/>
      <c r="AP261" s="255">
        <f t="shared" si="48"/>
        <v>43</v>
      </c>
      <c r="AQ261" s="256">
        <f t="shared" si="49"/>
        <v>911643</v>
      </c>
      <c r="AR261" s="257">
        <f t="shared" si="50"/>
        <v>41</v>
      </c>
      <c r="AS261" s="258">
        <f t="shared" si="51"/>
        <v>846639</v>
      </c>
      <c r="AT261" s="259">
        <v>4</v>
      </c>
      <c r="AU261" s="253">
        <v>28993</v>
      </c>
      <c r="AV261" s="375">
        <v>3</v>
      </c>
      <c r="AW261" s="375">
        <v>19556</v>
      </c>
      <c r="AX261" s="252">
        <v>3</v>
      </c>
      <c r="AY261" s="253">
        <v>36873</v>
      </c>
      <c r="AZ261" s="376">
        <v>3</v>
      </c>
      <c r="BA261" s="376">
        <v>408</v>
      </c>
      <c r="BB261" s="252">
        <v>4</v>
      </c>
      <c r="BC261" s="253">
        <v>924</v>
      </c>
      <c r="BD261" s="377">
        <v>3</v>
      </c>
      <c r="BE261" s="377">
        <v>473</v>
      </c>
      <c r="BF261" s="252">
        <v>4</v>
      </c>
      <c r="BG261" s="253">
        <v>23559</v>
      </c>
      <c r="BH261" s="378">
        <v>3</v>
      </c>
      <c r="BI261" s="378">
        <v>16428</v>
      </c>
      <c r="BJ261" s="252"/>
      <c r="BK261" s="253"/>
      <c r="BL261" s="379"/>
      <c r="BM261" s="379"/>
      <c r="BN261" s="252">
        <v>4</v>
      </c>
      <c r="BO261" s="253">
        <v>555</v>
      </c>
      <c r="BP261" s="380">
        <v>3</v>
      </c>
      <c r="BQ261" s="380">
        <v>408</v>
      </c>
      <c r="BR261" s="252">
        <v>4</v>
      </c>
      <c r="BS261" s="253">
        <v>1170</v>
      </c>
      <c r="BT261" s="381">
        <v>3</v>
      </c>
      <c r="BU261" s="381">
        <v>944</v>
      </c>
      <c r="BV261" s="252"/>
      <c r="BW261" s="253"/>
      <c r="BX261" s="382"/>
      <c r="BY261" s="382"/>
      <c r="BZ261" s="252"/>
      <c r="CA261" s="253"/>
      <c r="CB261" s="383"/>
      <c r="CC261" s="383"/>
      <c r="CD261" s="255">
        <f t="shared" si="52"/>
        <v>4</v>
      </c>
      <c r="CE261" s="256">
        <f t="shared" si="53"/>
        <v>92074</v>
      </c>
      <c r="CF261" s="257">
        <f t="shared" si="54"/>
        <v>3</v>
      </c>
      <c r="CG261" s="261">
        <f t="shared" si="55"/>
        <v>38217</v>
      </c>
    </row>
    <row r="262" spans="1:85" s="263" customFormat="1" ht="12.75" customHeight="1">
      <c r="A262" s="398" t="s">
        <v>213</v>
      </c>
      <c r="B262" s="399" t="s">
        <v>233</v>
      </c>
      <c r="C262" s="399"/>
      <c r="D262" s="400">
        <v>162168</v>
      </c>
      <c r="E262" s="401">
        <v>10</v>
      </c>
      <c r="F262" s="252">
        <v>53</v>
      </c>
      <c r="G262" s="253">
        <v>305317</v>
      </c>
      <c r="H262" s="367">
        <v>53</v>
      </c>
      <c r="I262" s="367">
        <v>317532</v>
      </c>
      <c r="J262" s="252">
        <v>36</v>
      </c>
      <c r="K262" s="253">
        <v>372606</v>
      </c>
      <c r="L262" s="368">
        <v>41</v>
      </c>
      <c r="M262" s="368">
        <v>439653</v>
      </c>
      <c r="N262" s="252">
        <v>53</v>
      </c>
      <c r="O262" s="253">
        <v>18050</v>
      </c>
      <c r="P262" s="385">
        <v>53</v>
      </c>
      <c r="Q262" s="385">
        <v>6828</v>
      </c>
      <c r="R262" s="252">
        <v>53</v>
      </c>
      <c r="S262" s="253">
        <v>260672</v>
      </c>
      <c r="T262" s="267">
        <v>53</v>
      </c>
      <c r="U262" s="268">
        <v>261033</v>
      </c>
      <c r="V262" s="252">
        <v>53</v>
      </c>
      <c r="W262" s="253">
        <v>3407</v>
      </c>
      <c r="X262" s="369">
        <v>53</v>
      </c>
      <c r="Y262" s="369">
        <v>3412</v>
      </c>
      <c r="Z262" s="252">
        <v>53</v>
      </c>
      <c r="AA262" s="253">
        <v>16356</v>
      </c>
      <c r="AB262" s="371">
        <v>53</v>
      </c>
      <c r="AC262" s="371">
        <v>11465</v>
      </c>
      <c r="AD262" s="252">
        <v>53</v>
      </c>
      <c r="AE262" s="253">
        <v>20785</v>
      </c>
      <c r="AF262" s="372">
        <v>53</v>
      </c>
      <c r="AG262" s="372">
        <v>16720</v>
      </c>
      <c r="AH262" s="252">
        <v>1</v>
      </c>
      <c r="AI262" s="253">
        <v>1911</v>
      </c>
      <c r="AJ262" s="373">
        <v>3</v>
      </c>
      <c r="AK262" s="373">
        <v>2034</v>
      </c>
      <c r="AL262" s="252">
        <v>17</v>
      </c>
      <c r="AM262" s="253">
        <v>34000</v>
      </c>
      <c r="AN262" s="374">
        <v>12</v>
      </c>
      <c r="AO262" s="374">
        <v>24000</v>
      </c>
      <c r="AP262" s="255">
        <f t="shared" si="48"/>
        <v>53</v>
      </c>
      <c r="AQ262" s="256">
        <f t="shared" si="49"/>
        <v>1033104</v>
      </c>
      <c r="AR262" s="257">
        <f t="shared" si="50"/>
        <v>53</v>
      </c>
      <c r="AS262" s="258">
        <f t="shared" si="51"/>
        <v>1082677</v>
      </c>
      <c r="AT262" s="259">
        <v>6</v>
      </c>
      <c r="AU262" s="253">
        <v>41310</v>
      </c>
      <c r="AV262" s="375">
        <v>6</v>
      </c>
      <c r="AW262" s="375">
        <v>42250</v>
      </c>
      <c r="AX262" s="252">
        <v>4</v>
      </c>
      <c r="AY262" s="253">
        <v>44464</v>
      </c>
      <c r="AZ262" s="376">
        <v>4</v>
      </c>
      <c r="BA262" s="376">
        <v>44918</v>
      </c>
      <c r="BB262" s="252">
        <v>6</v>
      </c>
      <c r="BC262" s="253">
        <v>2483</v>
      </c>
      <c r="BD262" s="377">
        <v>6</v>
      </c>
      <c r="BE262" s="377">
        <v>930</v>
      </c>
      <c r="BF262" s="252">
        <v>6</v>
      </c>
      <c r="BG262" s="253">
        <v>35835</v>
      </c>
      <c r="BH262" s="378">
        <v>6</v>
      </c>
      <c r="BI262" s="378">
        <v>35545</v>
      </c>
      <c r="BJ262" s="252">
        <v>6</v>
      </c>
      <c r="BK262" s="253">
        <v>468</v>
      </c>
      <c r="BL262" s="379">
        <v>6</v>
      </c>
      <c r="BM262" s="379">
        <v>464</v>
      </c>
      <c r="BN262" s="252">
        <v>6</v>
      </c>
      <c r="BO262" s="253">
        <v>2248</v>
      </c>
      <c r="BP262" s="380">
        <v>6</v>
      </c>
      <c r="BQ262" s="380">
        <v>1671</v>
      </c>
      <c r="BR262" s="252">
        <v>6</v>
      </c>
      <c r="BS262" s="253">
        <v>2857</v>
      </c>
      <c r="BT262" s="381">
        <v>6</v>
      </c>
      <c r="BU262" s="381">
        <v>2276</v>
      </c>
      <c r="BV262" s="252"/>
      <c r="BW262" s="253"/>
      <c r="BX262" s="382"/>
      <c r="BY262" s="382"/>
      <c r="BZ262" s="252">
        <v>2</v>
      </c>
      <c r="CA262" s="253">
        <v>4000</v>
      </c>
      <c r="CB262" s="383">
        <v>2</v>
      </c>
      <c r="CC262" s="383">
        <v>4000</v>
      </c>
      <c r="CD262" s="255">
        <f t="shared" si="52"/>
        <v>6</v>
      </c>
      <c r="CE262" s="256">
        <f t="shared" si="53"/>
        <v>133665</v>
      </c>
      <c r="CF262" s="257">
        <f t="shared" si="54"/>
        <v>6</v>
      </c>
      <c r="CG262" s="261">
        <f t="shared" si="55"/>
        <v>132054</v>
      </c>
    </row>
    <row r="263" spans="1:85" s="263" customFormat="1" ht="12.75" customHeight="1">
      <c r="A263" s="398" t="s">
        <v>213</v>
      </c>
      <c r="B263" s="399" t="s">
        <v>234</v>
      </c>
      <c r="C263" s="399"/>
      <c r="D263" s="400">
        <v>162609</v>
      </c>
      <c r="E263" s="401">
        <v>10</v>
      </c>
      <c r="F263" s="252">
        <v>16</v>
      </c>
      <c r="G263" s="253">
        <v>86213</v>
      </c>
      <c r="H263" s="367">
        <v>15</v>
      </c>
      <c r="I263" s="367">
        <v>90255</v>
      </c>
      <c r="J263" s="252">
        <v>16</v>
      </c>
      <c r="K263" s="253">
        <v>186591</v>
      </c>
      <c r="L263" s="368">
        <v>15</v>
      </c>
      <c r="M263" s="368">
        <v>169484</v>
      </c>
      <c r="N263" s="252">
        <v>16</v>
      </c>
      <c r="O263" s="253">
        <v>7201</v>
      </c>
      <c r="P263" s="385">
        <v>15</v>
      </c>
      <c r="Q263" s="385">
        <v>7140</v>
      </c>
      <c r="R263" s="252">
        <v>17</v>
      </c>
      <c r="S263" s="253">
        <v>75938</v>
      </c>
      <c r="T263" s="267">
        <v>15</v>
      </c>
      <c r="U263" s="268">
        <v>71868</v>
      </c>
      <c r="V263" s="252">
        <v>17</v>
      </c>
      <c r="W263" s="253">
        <v>10919</v>
      </c>
      <c r="X263" s="369">
        <v>15</v>
      </c>
      <c r="Y263" s="369">
        <v>10334</v>
      </c>
      <c r="Z263" s="252">
        <v>16</v>
      </c>
      <c r="AA263" s="253">
        <v>744</v>
      </c>
      <c r="AB263" s="371">
        <v>15</v>
      </c>
      <c r="AC263" s="371">
        <v>685</v>
      </c>
      <c r="AD263" s="252">
        <v>17</v>
      </c>
      <c r="AE263" s="253">
        <v>2879</v>
      </c>
      <c r="AF263" s="372">
        <v>15</v>
      </c>
      <c r="AG263" s="372">
        <v>2724</v>
      </c>
      <c r="AH263" s="252"/>
      <c r="AI263" s="253"/>
      <c r="AJ263" s="373"/>
      <c r="AK263" s="373"/>
      <c r="AL263" s="252"/>
      <c r="AM263" s="253"/>
      <c r="AN263" s="374"/>
      <c r="AO263" s="374"/>
      <c r="AP263" s="255">
        <f t="shared" si="48"/>
        <v>17</v>
      </c>
      <c r="AQ263" s="256">
        <f t="shared" si="49"/>
        <v>370485</v>
      </c>
      <c r="AR263" s="257">
        <f t="shared" si="50"/>
        <v>15</v>
      </c>
      <c r="AS263" s="258">
        <f t="shared" si="51"/>
        <v>352490</v>
      </c>
      <c r="AT263" s="259"/>
      <c r="AU263" s="253"/>
      <c r="AV263" s="375">
        <v>6</v>
      </c>
      <c r="AW263" s="375">
        <v>34285</v>
      </c>
      <c r="AX263" s="252"/>
      <c r="AY263" s="253"/>
      <c r="AZ263" s="376">
        <v>5</v>
      </c>
      <c r="BA263" s="376">
        <v>62373</v>
      </c>
      <c r="BB263" s="252"/>
      <c r="BC263" s="253"/>
      <c r="BD263" s="377">
        <v>6</v>
      </c>
      <c r="BE263" s="377">
        <v>2789</v>
      </c>
      <c r="BF263" s="252"/>
      <c r="BG263" s="253"/>
      <c r="BH263" s="378">
        <v>6</v>
      </c>
      <c r="BI263" s="378">
        <v>28073</v>
      </c>
      <c r="BJ263" s="252"/>
      <c r="BK263" s="253"/>
      <c r="BL263" s="379">
        <v>6</v>
      </c>
      <c r="BM263" s="379">
        <v>4037</v>
      </c>
      <c r="BN263" s="252"/>
      <c r="BO263" s="253"/>
      <c r="BP263" s="380">
        <v>6</v>
      </c>
      <c r="BQ263" s="380">
        <v>278</v>
      </c>
      <c r="BR263" s="252"/>
      <c r="BS263" s="253"/>
      <c r="BT263" s="381">
        <v>6</v>
      </c>
      <c r="BU263" s="381">
        <v>1064</v>
      </c>
      <c r="BV263" s="252"/>
      <c r="BW263" s="253"/>
      <c r="BX263" s="382"/>
      <c r="BY263" s="382"/>
      <c r="BZ263" s="252"/>
      <c r="CA263" s="253"/>
      <c r="CB263" s="383"/>
      <c r="CC263" s="383"/>
      <c r="CD263" s="255">
        <f t="shared" si="52"/>
        <v>0</v>
      </c>
      <c r="CE263" s="256">
        <f t="shared" si="53"/>
        <v>0</v>
      </c>
      <c r="CF263" s="257">
        <f t="shared" si="54"/>
        <v>6</v>
      </c>
      <c r="CG263" s="261">
        <f t="shared" si="55"/>
        <v>132899</v>
      </c>
    </row>
    <row r="264" spans="1:85" s="263" customFormat="1" ht="12.75" customHeight="1">
      <c r="A264" s="398" t="s">
        <v>213</v>
      </c>
      <c r="B264" s="506" t="s">
        <v>236</v>
      </c>
      <c r="C264" s="507" t="s">
        <v>1247</v>
      </c>
      <c r="D264" s="400">
        <v>164313</v>
      </c>
      <c r="E264" s="508">
        <v>9</v>
      </c>
      <c r="F264" s="252">
        <v>51</v>
      </c>
      <c r="G264" s="253">
        <v>277997</v>
      </c>
      <c r="H264" s="367">
        <v>51</v>
      </c>
      <c r="I264" s="367">
        <v>295647</v>
      </c>
      <c r="J264" s="252">
        <v>44</v>
      </c>
      <c r="K264" s="253">
        <v>300989</v>
      </c>
      <c r="L264" s="368">
        <v>43</v>
      </c>
      <c r="M264" s="368">
        <v>327943</v>
      </c>
      <c r="N264" s="252">
        <v>52</v>
      </c>
      <c r="O264" s="253">
        <v>8680</v>
      </c>
      <c r="P264" s="385">
        <v>52</v>
      </c>
      <c r="Q264" s="385">
        <v>8450</v>
      </c>
      <c r="R264" s="252">
        <v>52</v>
      </c>
      <c r="S264" s="253">
        <v>223397</v>
      </c>
      <c r="T264" s="267">
        <v>52</v>
      </c>
      <c r="U264" s="268">
        <v>215463</v>
      </c>
      <c r="V264" s="252"/>
      <c r="W264" s="253"/>
      <c r="X264" s="369"/>
      <c r="Y264" s="369"/>
      <c r="Z264" s="252">
        <v>52</v>
      </c>
      <c r="AA264" s="253">
        <v>9175</v>
      </c>
      <c r="AB264" s="371">
        <v>52</v>
      </c>
      <c r="AC264" s="371">
        <v>8931</v>
      </c>
      <c r="AD264" s="252">
        <v>52</v>
      </c>
      <c r="AE264" s="253">
        <v>9548</v>
      </c>
      <c r="AF264" s="372">
        <v>52</v>
      </c>
      <c r="AG264" s="372">
        <v>9294</v>
      </c>
      <c r="AH264" s="252">
        <v>8</v>
      </c>
      <c r="AI264" s="253">
        <v>11016</v>
      </c>
      <c r="AJ264" s="373">
        <v>15</v>
      </c>
      <c r="AK264" s="373">
        <v>23096</v>
      </c>
      <c r="AL264" s="252">
        <v>12</v>
      </c>
      <c r="AM264" s="253">
        <v>21752</v>
      </c>
      <c r="AN264" s="374">
        <v>15</v>
      </c>
      <c r="AO264" s="374">
        <v>24612</v>
      </c>
      <c r="AP264" s="255">
        <f t="shared" si="48"/>
        <v>52</v>
      </c>
      <c r="AQ264" s="256">
        <f t="shared" si="49"/>
        <v>862554</v>
      </c>
      <c r="AR264" s="257">
        <f t="shared" si="50"/>
        <v>52</v>
      </c>
      <c r="AS264" s="258">
        <f t="shared" si="51"/>
        <v>913436</v>
      </c>
      <c r="AT264" s="259">
        <v>16</v>
      </c>
      <c r="AU264" s="253">
        <v>124355</v>
      </c>
      <c r="AV264" s="375">
        <v>15</v>
      </c>
      <c r="AW264" s="375">
        <v>127244</v>
      </c>
      <c r="AX264" s="252">
        <v>16</v>
      </c>
      <c r="AY264" s="253">
        <v>109150</v>
      </c>
      <c r="AZ264" s="376">
        <v>14</v>
      </c>
      <c r="BA264" s="376">
        <v>105497</v>
      </c>
      <c r="BB264" s="252">
        <v>16</v>
      </c>
      <c r="BC264" s="253">
        <v>3456</v>
      </c>
      <c r="BD264" s="377">
        <v>15</v>
      </c>
      <c r="BE264" s="377">
        <v>3259</v>
      </c>
      <c r="BF264" s="252">
        <v>16</v>
      </c>
      <c r="BG264" s="253">
        <v>86824</v>
      </c>
      <c r="BH264" s="378">
        <v>15</v>
      </c>
      <c r="BI264" s="378">
        <v>83110</v>
      </c>
      <c r="BJ264" s="252"/>
      <c r="BK264" s="253"/>
      <c r="BL264" s="379"/>
      <c r="BM264" s="379"/>
      <c r="BN264" s="252">
        <v>16</v>
      </c>
      <c r="BO264" s="253">
        <v>3648</v>
      </c>
      <c r="BP264" s="380">
        <v>15</v>
      </c>
      <c r="BQ264" s="380">
        <v>3438</v>
      </c>
      <c r="BR264" s="252">
        <v>16</v>
      </c>
      <c r="BS264" s="253">
        <v>3802</v>
      </c>
      <c r="BT264" s="381">
        <v>15</v>
      </c>
      <c r="BU264" s="381">
        <v>3585</v>
      </c>
      <c r="BV264" s="252">
        <v>2</v>
      </c>
      <c r="BW264" s="253">
        <v>3402</v>
      </c>
      <c r="BX264" s="382">
        <v>6</v>
      </c>
      <c r="BY264" s="382">
        <v>10943</v>
      </c>
      <c r="BZ264" s="252">
        <v>2</v>
      </c>
      <c r="CA264" s="253">
        <v>780</v>
      </c>
      <c r="CB264" s="383">
        <v>3</v>
      </c>
      <c r="CC264" s="383">
        <v>3700</v>
      </c>
      <c r="CD264" s="255">
        <f t="shared" si="52"/>
        <v>16</v>
      </c>
      <c r="CE264" s="256">
        <f t="shared" si="53"/>
        <v>335417</v>
      </c>
      <c r="CF264" s="257">
        <f t="shared" si="54"/>
        <v>15</v>
      </c>
      <c r="CG264" s="261">
        <f t="shared" si="55"/>
        <v>340776</v>
      </c>
    </row>
    <row r="265" spans="1:85" s="263" customFormat="1" ht="12.75" customHeight="1">
      <c r="A265" s="405" t="s">
        <v>684</v>
      </c>
      <c r="B265" s="406" t="s">
        <v>0</v>
      </c>
      <c r="C265" s="406"/>
      <c r="D265" s="407">
        <v>176080</v>
      </c>
      <c r="E265" s="297">
        <v>1</v>
      </c>
      <c r="F265" s="252">
        <v>266</v>
      </c>
      <c r="G265" s="253">
        <v>2024719.02</v>
      </c>
      <c r="H265" s="367">
        <v>242</v>
      </c>
      <c r="I265" s="367">
        <v>1794497.34</v>
      </c>
      <c r="J265" s="252">
        <v>438</v>
      </c>
      <c r="K265" s="253">
        <v>1422090</v>
      </c>
      <c r="L265" s="368">
        <v>392</v>
      </c>
      <c r="M265" s="368">
        <v>1305612</v>
      </c>
      <c r="N265" s="252"/>
      <c r="O265" s="253"/>
      <c r="P265" s="385"/>
      <c r="Q265" s="385"/>
      <c r="R265" s="252">
        <v>672</v>
      </c>
      <c r="S265" s="253">
        <v>2110032.1800000002</v>
      </c>
      <c r="T265" s="267">
        <v>645</v>
      </c>
      <c r="U265" s="268">
        <v>2000692.8</v>
      </c>
      <c r="V265" s="252">
        <v>206</v>
      </c>
      <c r="W265" s="253">
        <v>23514.3</v>
      </c>
      <c r="X265" s="369">
        <v>194</v>
      </c>
      <c r="Y265" s="369">
        <v>26915.4</v>
      </c>
      <c r="Z265" s="252">
        <v>447</v>
      </c>
      <c r="AA265" s="253">
        <v>49619.519999999997</v>
      </c>
      <c r="AB265" s="371">
        <v>420</v>
      </c>
      <c r="AC265" s="371">
        <v>44005.68</v>
      </c>
      <c r="AD265" s="252">
        <v>675</v>
      </c>
      <c r="AE265" s="253">
        <v>296603.28000000003</v>
      </c>
      <c r="AF265" s="372">
        <v>648</v>
      </c>
      <c r="AG265" s="372">
        <v>243270.54</v>
      </c>
      <c r="AH265" s="252"/>
      <c r="AI265" s="253"/>
      <c r="AJ265" s="373"/>
      <c r="AK265" s="373"/>
      <c r="AL265" s="252"/>
      <c r="AM265" s="253"/>
      <c r="AN265" s="374"/>
      <c r="AO265" s="374"/>
      <c r="AP265" s="255">
        <f t="shared" si="48"/>
        <v>675</v>
      </c>
      <c r="AQ265" s="256">
        <f t="shared" si="49"/>
        <v>5926578.3000000007</v>
      </c>
      <c r="AR265" s="257">
        <f t="shared" si="50"/>
        <v>648</v>
      </c>
      <c r="AS265" s="258">
        <f t="shared" si="51"/>
        <v>5414993.7599999998</v>
      </c>
      <c r="AT265" s="259">
        <v>111</v>
      </c>
      <c r="AU265" s="253">
        <v>1385765.52</v>
      </c>
      <c r="AV265" s="375">
        <v>104</v>
      </c>
      <c r="AW265" s="375">
        <v>1299819.6000000001</v>
      </c>
      <c r="AX265" s="252">
        <v>178</v>
      </c>
      <c r="AY265" s="253">
        <v>770232</v>
      </c>
      <c r="AZ265" s="376">
        <v>165</v>
      </c>
      <c r="BA265" s="376">
        <v>730380</v>
      </c>
      <c r="BB265" s="252"/>
      <c r="BC265" s="253"/>
      <c r="BD265" s="377"/>
      <c r="BE265" s="377"/>
      <c r="BF265" s="252">
        <v>217</v>
      </c>
      <c r="BG265" s="253">
        <v>1186922.1599999999</v>
      </c>
      <c r="BH265" s="378">
        <v>201</v>
      </c>
      <c r="BI265" s="378">
        <v>1085199.6000000001</v>
      </c>
      <c r="BJ265" s="252">
        <v>4</v>
      </c>
      <c r="BK265" s="253">
        <v>1427.76</v>
      </c>
      <c r="BL265" s="379">
        <v>1</v>
      </c>
      <c r="BM265" s="379">
        <v>320.16000000000003</v>
      </c>
      <c r="BN265" s="252">
        <v>168</v>
      </c>
      <c r="BO265" s="253">
        <v>25128</v>
      </c>
      <c r="BP265" s="380">
        <v>157</v>
      </c>
      <c r="BQ265" s="380">
        <v>23083.200000000001</v>
      </c>
      <c r="BR265" s="252">
        <v>217</v>
      </c>
      <c r="BS265" s="253">
        <v>150813.12</v>
      </c>
      <c r="BT265" s="381">
        <v>201</v>
      </c>
      <c r="BU265" s="381">
        <v>119053.2</v>
      </c>
      <c r="BV265" s="252"/>
      <c r="BW265" s="253"/>
      <c r="BX265" s="382"/>
      <c r="BY265" s="382"/>
      <c r="BZ265" s="252"/>
      <c r="CA265" s="253"/>
      <c r="CB265" s="383"/>
      <c r="CC265" s="383"/>
      <c r="CD265" s="255">
        <f t="shared" si="52"/>
        <v>217</v>
      </c>
      <c r="CE265" s="256">
        <f t="shared" si="53"/>
        <v>3520288.56</v>
      </c>
      <c r="CF265" s="257">
        <f t="shared" si="54"/>
        <v>201</v>
      </c>
      <c r="CG265" s="261">
        <f t="shared" si="55"/>
        <v>3257855.7600000002</v>
      </c>
    </row>
    <row r="266" spans="1:85" s="263" customFormat="1" ht="12.75" customHeight="1">
      <c r="A266" s="405" t="s">
        <v>684</v>
      </c>
      <c r="B266" s="408" t="s">
        <v>1</v>
      </c>
      <c r="C266" s="408"/>
      <c r="D266" s="409">
        <v>176372</v>
      </c>
      <c r="E266" s="410">
        <v>1</v>
      </c>
      <c r="F266" s="252">
        <v>643</v>
      </c>
      <c r="G266" s="253">
        <v>4607218</v>
      </c>
      <c r="H266" s="367">
        <v>615</v>
      </c>
      <c r="I266" s="367">
        <v>4435320</v>
      </c>
      <c r="J266" s="252">
        <v>643</v>
      </c>
      <c r="K266" s="253">
        <v>2734056</v>
      </c>
      <c r="L266" s="368">
        <v>615</v>
      </c>
      <c r="M266" s="368">
        <v>267888</v>
      </c>
      <c r="N266" s="252"/>
      <c r="O266" s="253"/>
      <c r="P266" s="385"/>
      <c r="Q266" s="385"/>
      <c r="R266" s="252">
        <v>643</v>
      </c>
      <c r="S266" s="253">
        <v>2924208</v>
      </c>
      <c r="T266" s="267">
        <v>615</v>
      </c>
      <c r="U266" s="268">
        <v>2280445</v>
      </c>
      <c r="V266" s="252">
        <v>643</v>
      </c>
      <c r="W266" s="253">
        <v>24434</v>
      </c>
      <c r="X266" s="369">
        <v>615</v>
      </c>
      <c r="Y266" s="369">
        <v>36900</v>
      </c>
      <c r="Z266" s="252">
        <v>643</v>
      </c>
      <c r="AA266" s="253">
        <v>110876</v>
      </c>
      <c r="AB266" s="371">
        <v>615</v>
      </c>
      <c r="AC266" s="371">
        <v>86583</v>
      </c>
      <c r="AD266" s="252">
        <v>643</v>
      </c>
      <c r="AE266" s="253">
        <v>268754</v>
      </c>
      <c r="AF266" s="372">
        <v>615</v>
      </c>
      <c r="AG266" s="372">
        <v>258727</v>
      </c>
      <c r="AH266" s="252">
        <v>32</v>
      </c>
      <c r="AI266" s="253">
        <v>39618</v>
      </c>
      <c r="AJ266" s="373">
        <v>31</v>
      </c>
      <c r="AK266" s="373">
        <v>40467</v>
      </c>
      <c r="AL266" s="252"/>
      <c r="AM266" s="253"/>
      <c r="AN266" s="374"/>
      <c r="AO266" s="374"/>
      <c r="AP266" s="255">
        <f t="shared" si="48"/>
        <v>643</v>
      </c>
      <c r="AQ266" s="256">
        <f t="shared" si="49"/>
        <v>10709164</v>
      </c>
      <c r="AR266" s="257">
        <f t="shared" si="50"/>
        <v>615</v>
      </c>
      <c r="AS266" s="258">
        <f t="shared" si="51"/>
        <v>7406330</v>
      </c>
      <c r="AT266" s="259">
        <v>115</v>
      </c>
      <c r="AU266" s="253">
        <v>1206317</v>
      </c>
      <c r="AV266" s="375">
        <v>85</v>
      </c>
      <c r="AW266" s="375">
        <v>873201</v>
      </c>
      <c r="AX266" s="252">
        <v>115</v>
      </c>
      <c r="AY266" s="253">
        <v>493860</v>
      </c>
      <c r="AZ266" s="376">
        <v>85</v>
      </c>
      <c r="BA266" s="376">
        <v>371688</v>
      </c>
      <c r="BB266" s="252"/>
      <c r="BC266" s="253"/>
      <c r="BD266" s="377"/>
      <c r="BE266" s="377"/>
      <c r="BF266" s="252">
        <v>115</v>
      </c>
      <c r="BG266" s="253">
        <v>711664</v>
      </c>
      <c r="BH266" s="378">
        <v>85</v>
      </c>
      <c r="BI266" s="378">
        <v>422958</v>
      </c>
      <c r="BJ266" s="252">
        <v>115</v>
      </c>
      <c r="BK266" s="253">
        <v>4370</v>
      </c>
      <c r="BL266" s="379">
        <v>85</v>
      </c>
      <c r="BM266" s="379">
        <v>5100</v>
      </c>
      <c r="BN266" s="252">
        <v>115</v>
      </c>
      <c r="BO266" s="253">
        <v>29061</v>
      </c>
      <c r="BP266" s="380">
        <v>85</v>
      </c>
      <c r="BQ266" s="380">
        <v>11923</v>
      </c>
      <c r="BR266" s="252">
        <v>115</v>
      </c>
      <c r="BS266" s="253">
        <v>70509</v>
      </c>
      <c r="BT266" s="381">
        <v>85</v>
      </c>
      <c r="BU266" s="381">
        <v>50972</v>
      </c>
      <c r="BV266" s="252">
        <v>7</v>
      </c>
      <c r="BW266" s="253">
        <v>6177</v>
      </c>
      <c r="BX266" s="382">
        <v>4</v>
      </c>
      <c r="BY266" s="382">
        <v>5912</v>
      </c>
      <c r="BZ266" s="252"/>
      <c r="CA266" s="253"/>
      <c r="CB266" s="383"/>
      <c r="CC266" s="383"/>
      <c r="CD266" s="255">
        <f t="shared" si="52"/>
        <v>115</v>
      </c>
      <c r="CE266" s="256">
        <f t="shared" si="53"/>
        <v>2521958</v>
      </c>
      <c r="CF266" s="257">
        <f t="shared" si="54"/>
        <v>85</v>
      </c>
      <c r="CG266" s="261">
        <f t="shared" si="55"/>
        <v>1741754</v>
      </c>
    </row>
    <row r="267" spans="1:85" s="263" customFormat="1" ht="12.75" customHeight="1">
      <c r="A267" s="405" t="s">
        <v>684</v>
      </c>
      <c r="B267" s="406" t="s">
        <v>2</v>
      </c>
      <c r="C267" s="406"/>
      <c r="D267" s="409">
        <v>175856</v>
      </c>
      <c r="E267" s="410">
        <v>2</v>
      </c>
      <c r="F267" s="252">
        <v>347</v>
      </c>
      <c r="G267" s="253">
        <v>2232361</v>
      </c>
      <c r="H267" s="367">
        <v>321</v>
      </c>
      <c r="I267" s="367">
        <v>2117136</v>
      </c>
      <c r="J267" s="252">
        <v>312</v>
      </c>
      <c r="K267" s="253">
        <v>111786</v>
      </c>
      <c r="L267" s="368">
        <v>281</v>
      </c>
      <c r="M267" s="368">
        <v>100017</v>
      </c>
      <c r="N267" s="252"/>
      <c r="O267" s="253"/>
      <c r="P267" s="385"/>
      <c r="Q267" s="385"/>
      <c r="R267" s="252">
        <v>347</v>
      </c>
      <c r="S267" s="253">
        <v>1423130</v>
      </c>
      <c r="T267" s="267">
        <v>321</v>
      </c>
      <c r="U267" s="268">
        <v>1349674</v>
      </c>
      <c r="V267" s="252">
        <v>347</v>
      </c>
      <c r="W267" s="253">
        <v>24290</v>
      </c>
      <c r="X267" s="369">
        <v>321</v>
      </c>
      <c r="Y267" s="369">
        <v>22470</v>
      </c>
      <c r="Z267" s="252">
        <v>252</v>
      </c>
      <c r="AA267" s="253">
        <v>2889</v>
      </c>
      <c r="AB267" s="371">
        <v>239</v>
      </c>
      <c r="AC267" s="371">
        <v>2682</v>
      </c>
      <c r="AD267" s="252">
        <v>347</v>
      </c>
      <c r="AE267" s="253">
        <v>139523</v>
      </c>
      <c r="AF267" s="372">
        <v>321</v>
      </c>
      <c r="AG267" s="372">
        <v>132321</v>
      </c>
      <c r="AH267" s="252"/>
      <c r="AI267" s="253"/>
      <c r="AJ267" s="373"/>
      <c r="AK267" s="373"/>
      <c r="AL267" s="252"/>
      <c r="AM267" s="253"/>
      <c r="AN267" s="374"/>
      <c r="AO267" s="374"/>
      <c r="AP267" s="255">
        <f t="shared" si="48"/>
        <v>347</v>
      </c>
      <c r="AQ267" s="256">
        <f t="shared" si="49"/>
        <v>3933979</v>
      </c>
      <c r="AR267" s="257">
        <f t="shared" si="50"/>
        <v>321</v>
      </c>
      <c r="AS267" s="258">
        <f t="shared" si="51"/>
        <v>3724300</v>
      </c>
      <c r="AT267" s="259">
        <v>61</v>
      </c>
      <c r="AU267" s="253">
        <v>648838</v>
      </c>
      <c r="AV267" s="375">
        <v>55</v>
      </c>
      <c r="AW267" s="375">
        <v>577329</v>
      </c>
      <c r="AX267" s="252">
        <v>55</v>
      </c>
      <c r="AY267" s="253">
        <v>19061</v>
      </c>
      <c r="AZ267" s="376">
        <v>48</v>
      </c>
      <c r="BA267" s="376">
        <v>17274</v>
      </c>
      <c r="BB267" s="252"/>
      <c r="BC267" s="253"/>
      <c r="BD267" s="377"/>
      <c r="BE267" s="377"/>
      <c r="BF267" s="252">
        <v>61</v>
      </c>
      <c r="BG267" s="253">
        <v>413634</v>
      </c>
      <c r="BH267" s="378">
        <v>55</v>
      </c>
      <c r="BI267" s="378">
        <v>368047</v>
      </c>
      <c r="BJ267" s="252">
        <v>61</v>
      </c>
      <c r="BK267" s="253">
        <v>4270</v>
      </c>
      <c r="BL267" s="379">
        <v>55</v>
      </c>
      <c r="BM267" s="379">
        <v>3850</v>
      </c>
      <c r="BN267" s="252">
        <v>49</v>
      </c>
      <c r="BO267" s="253">
        <v>588</v>
      </c>
      <c r="BP267" s="380">
        <v>45</v>
      </c>
      <c r="BQ267" s="380">
        <v>540</v>
      </c>
      <c r="BR267" s="252">
        <v>61</v>
      </c>
      <c r="BS267" s="253">
        <v>40552</v>
      </c>
      <c r="BT267" s="381">
        <v>55</v>
      </c>
      <c r="BU267" s="381">
        <v>36083</v>
      </c>
      <c r="BV267" s="252"/>
      <c r="BW267" s="253"/>
      <c r="BX267" s="382"/>
      <c r="BY267" s="382"/>
      <c r="BZ267" s="252"/>
      <c r="CA267" s="253"/>
      <c r="CB267" s="383"/>
      <c r="CC267" s="383"/>
      <c r="CD267" s="255">
        <f t="shared" si="52"/>
        <v>61</v>
      </c>
      <c r="CE267" s="256">
        <f t="shared" si="53"/>
        <v>1126943</v>
      </c>
      <c r="CF267" s="257">
        <f t="shared" si="54"/>
        <v>55</v>
      </c>
      <c r="CG267" s="261">
        <f t="shared" si="55"/>
        <v>1003123</v>
      </c>
    </row>
    <row r="268" spans="1:85" s="263" customFormat="1" ht="12.75" customHeight="1">
      <c r="A268" s="405" t="s">
        <v>684</v>
      </c>
      <c r="B268" s="406" t="s">
        <v>3</v>
      </c>
      <c r="C268" s="406"/>
      <c r="D268" s="409">
        <v>176017</v>
      </c>
      <c r="E268" s="410">
        <v>2</v>
      </c>
      <c r="F268" s="252">
        <v>566</v>
      </c>
      <c r="G268" s="253">
        <v>3685648</v>
      </c>
      <c r="H268" s="267">
        <v>566</v>
      </c>
      <c r="I268" s="268">
        <v>3728542</v>
      </c>
      <c r="J268" s="252">
        <v>397</v>
      </c>
      <c r="K268" s="253">
        <v>1717120</v>
      </c>
      <c r="L268" s="267">
        <v>383</v>
      </c>
      <c r="M268" s="268">
        <v>1658638</v>
      </c>
      <c r="N268" s="252"/>
      <c r="O268" s="253"/>
      <c r="P268" s="267"/>
      <c r="Q268" s="268"/>
      <c r="R268" s="252">
        <v>566</v>
      </c>
      <c r="S268" s="253">
        <v>2844932</v>
      </c>
      <c r="T268" s="267">
        <v>566</v>
      </c>
      <c r="U268" s="268">
        <v>2873361</v>
      </c>
      <c r="V268" s="252">
        <v>566</v>
      </c>
      <c r="W268" s="253">
        <v>28622</v>
      </c>
      <c r="X268" s="267">
        <v>566</v>
      </c>
      <c r="Y268" s="268">
        <v>28622</v>
      </c>
      <c r="Z268" s="252">
        <v>316</v>
      </c>
      <c r="AA268" s="253">
        <v>43018</v>
      </c>
      <c r="AB268" s="267">
        <v>321</v>
      </c>
      <c r="AC268" s="268">
        <v>43534</v>
      </c>
      <c r="AD268" s="252">
        <v>566</v>
      </c>
      <c r="AE268" s="253">
        <v>173555</v>
      </c>
      <c r="AF268" s="267">
        <v>566</v>
      </c>
      <c r="AG268" s="268">
        <v>176040</v>
      </c>
      <c r="AH268" s="252">
        <v>33</v>
      </c>
      <c r="AI268" s="253">
        <v>53566</v>
      </c>
      <c r="AJ268" s="267">
        <v>38</v>
      </c>
      <c r="AK268" s="268">
        <v>82800</v>
      </c>
      <c r="AL268" s="252"/>
      <c r="AM268" s="253"/>
      <c r="AN268" s="267"/>
      <c r="AO268" s="268"/>
      <c r="AP268" s="255">
        <f t="shared" si="48"/>
        <v>566</v>
      </c>
      <c r="AQ268" s="256">
        <f t="shared" si="49"/>
        <v>8546461</v>
      </c>
      <c r="AR268" s="257">
        <f t="shared" si="50"/>
        <v>566</v>
      </c>
      <c r="AS268" s="258">
        <f t="shared" si="51"/>
        <v>8591537</v>
      </c>
      <c r="AT268" s="259">
        <v>145</v>
      </c>
      <c r="AU268" s="253">
        <v>1340143</v>
      </c>
      <c r="AV268" s="267">
        <v>157</v>
      </c>
      <c r="AW268" s="268">
        <v>1438806</v>
      </c>
      <c r="AX268" s="252">
        <v>113</v>
      </c>
      <c r="AY268" s="253">
        <v>489516</v>
      </c>
      <c r="AZ268" s="267">
        <v>115</v>
      </c>
      <c r="BA268" s="268">
        <v>483740</v>
      </c>
      <c r="BB268" s="252"/>
      <c r="BC268" s="253"/>
      <c r="BD268" s="267"/>
      <c r="BE268" s="268"/>
      <c r="BF268" s="252">
        <v>145</v>
      </c>
      <c r="BG268" s="253">
        <v>1022139</v>
      </c>
      <c r="BH268" s="267">
        <v>157</v>
      </c>
      <c r="BI268" s="268">
        <v>1095645</v>
      </c>
      <c r="BJ268" s="252">
        <v>145</v>
      </c>
      <c r="BK268" s="253">
        <v>7333</v>
      </c>
      <c r="BL268" s="267">
        <v>157</v>
      </c>
      <c r="BM268" s="268">
        <v>7940</v>
      </c>
      <c r="BN268" s="252">
        <v>95</v>
      </c>
      <c r="BO268" s="253">
        <v>13622</v>
      </c>
      <c r="BP268" s="267">
        <v>106</v>
      </c>
      <c r="BQ268" s="268">
        <v>15156</v>
      </c>
      <c r="BR268" s="252">
        <v>145</v>
      </c>
      <c r="BS268" s="253">
        <v>65032</v>
      </c>
      <c r="BT268" s="267">
        <v>157</v>
      </c>
      <c r="BU268" s="268">
        <v>69680</v>
      </c>
      <c r="BV268" s="252">
        <v>17</v>
      </c>
      <c r="BW268" s="253">
        <v>31631</v>
      </c>
      <c r="BX268" s="267">
        <v>20</v>
      </c>
      <c r="BY268" s="268">
        <v>43614</v>
      </c>
      <c r="BZ268" s="252"/>
      <c r="CA268" s="253"/>
      <c r="CB268" s="267"/>
      <c r="CC268" s="268"/>
      <c r="CD268" s="255">
        <f t="shared" si="52"/>
        <v>145</v>
      </c>
      <c r="CE268" s="256">
        <f t="shared" si="53"/>
        <v>2969416</v>
      </c>
      <c r="CF268" s="257">
        <f t="shared" si="54"/>
        <v>157</v>
      </c>
      <c r="CG268" s="261">
        <f t="shared" si="55"/>
        <v>3154581</v>
      </c>
    </row>
    <row r="269" spans="1:85" s="263" customFormat="1" ht="12.75" customHeight="1">
      <c r="A269" s="405" t="s">
        <v>684</v>
      </c>
      <c r="B269" s="408" t="s">
        <v>4</v>
      </c>
      <c r="C269" s="408"/>
      <c r="D269" s="409">
        <v>175342</v>
      </c>
      <c r="E269" s="410">
        <v>4</v>
      </c>
      <c r="F269" s="252">
        <v>151</v>
      </c>
      <c r="G269" s="253">
        <v>951948</v>
      </c>
      <c r="H269" s="267">
        <v>144</v>
      </c>
      <c r="I269" s="268">
        <v>919971</v>
      </c>
      <c r="J269" s="252">
        <v>151</v>
      </c>
      <c r="K269" s="253">
        <v>617973</v>
      </c>
      <c r="L269" s="267">
        <v>144</v>
      </c>
      <c r="M269" s="268">
        <v>597215</v>
      </c>
      <c r="N269" s="252"/>
      <c r="O269" s="253"/>
      <c r="P269" s="267"/>
      <c r="Q269" s="268"/>
      <c r="R269" s="252">
        <v>151</v>
      </c>
      <c r="S269" s="253">
        <v>491840</v>
      </c>
      <c r="T269" s="267">
        <v>144</v>
      </c>
      <c r="U269" s="268">
        <v>475318</v>
      </c>
      <c r="V269" s="252">
        <v>151</v>
      </c>
      <c r="W269" s="253">
        <v>53150</v>
      </c>
      <c r="X269" s="267">
        <v>144</v>
      </c>
      <c r="Y269" s="268">
        <v>51365</v>
      </c>
      <c r="Z269" s="252">
        <v>151</v>
      </c>
      <c r="AA269" s="253">
        <v>95195</v>
      </c>
      <c r="AB269" s="267">
        <v>144</v>
      </c>
      <c r="AC269" s="268">
        <v>91997</v>
      </c>
      <c r="AD269" s="252">
        <v>151</v>
      </c>
      <c r="AE269" s="253">
        <v>94401</v>
      </c>
      <c r="AF269" s="267">
        <v>144</v>
      </c>
      <c r="AG269" s="268">
        <v>91230</v>
      </c>
      <c r="AH269" s="252">
        <v>5</v>
      </c>
      <c r="AI269" s="253">
        <v>5610</v>
      </c>
      <c r="AJ269" s="267">
        <v>6</v>
      </c>
      <c r="AK269" s="268">
        <v>6374</v>
      </c>
      <c r="AL269" s="252"/>
      <c r="AM269" s="253"/>
      <c r="AN269" s="267"/>
      <c r="AO269" s="268"/>
      <c r="AP269" s="255">
        <f t="shared" si="48"/>
        <v>151</v>
      </c>
      <c r="AQ269" s="256">
        <f t="shared" si="49"/>
        <v>2310117</v>
      </c>
      <c r="AR269" s="257">
        <f t="shared" si="50"/>
        <v>144</v>
      </c>
      <c r="AS269" s="258">
        <f t="shared" si="51"/>
        <v>2233470</v>
      </c>
      <c r="AT269" s="259">
        <v>32</v>
      </c>
      <c r="AU269" s="253">
        <v>274131</v>
      </c>
      <c r="AV269" s="267">
        <v>31</v>
      </c>
      <c r="AW269" s="268">
        <v>292926</v>
      </c>
      <c r="AX269" s="252">
        <v>32</v>
      </c>
      <c r="AY269" s="253">
        <v>177956</v>
      </c>
      <c r="AZ269" s="267">
        <v>31</v>
      </c>
      <c r="BA269" s="268">
        <v>190158</v>
      </c>
      <c r="BB269" s="252"/>
      <c r="BC269" s="253"/>
      <c r="BD269" s="267"/>
      <c r="BE269" s="268"/>
      <c r="BF269" s="252">
        <v>32</v>
      </c>
      <c r="BG269" s="253">
        <v>141634</v>
      </c>
      <c r="BH269" s="267">
        <v>31</v>
      </c>
      <c r="BI269" s="268">
        <v>151345</v>
      </c>
      <c r="BJ269" s="252">
        <v>32</v>
      </c>
      <c r="BK269" s="253">
        <v>15306</v>
      </c>
      <c r="BL269" s="267">
        <v>31</v>
      </c>
      <c r="BM269" s="268">
        <v>16355</v>
      </c>
      <c r="BN269" s="252">
        <v>32</v>
      </c>
      <c r="BO269" s="253">
        <v>27413</v>
      </c>
      <c r="BP269" s="267">
        <v>31</v>
      </c>
      <c r="BQ269" s="268">
        <v>29293</v>
      </c>
      <c r="BR269" s="252">
        <v>32</v>
      </c>
      <c r="BS269" s="253">
        <v>27185</v>
      </c>
      <c r="BT269" s="267">
        <v>31</v>
      </c>
      <c r="BU269" s="268">
        <v>29049</v>
      </c>
      <c r="BV269" s="252">
        <v>2</v>
      </c>
      <c r="BW269" s="253">
        <v>2244</v>
      </c>
      <c r="BX269" s="267">
        <v>3</v>
      </c>
      <c r="BY269" s="268">
        <v>3636</v>
      </c>
      <c r="BZ269" s="252"/>
      <c r="CA269" s="253"/>
      <c r="CB269" s="267"/>
      <c r="CC269" s="268"/>
      <c r="CD269" s="255">
        <f t="shared" si="52"/>
        <v>32</v>
      </c>
      <c r="CE269" s="256">
        <f t="shared" si="53"/>
        <v>665869</v>
      </c>
      <c r="CF269" s="257">
        <f t="shared" si="54"/>
        <v>31</v>
      </c>
      <c r="CG269" s="261">
        <f t="shared" si="55"/>
        <v>712762</v>
      </c>
    </row>
    <row r="270" spans="1:85" s="263" customFormat="1" ht="12.75" customHeight="1">
      <c r="A270" s="405" t="s">
        <v>684</v>
      </c>
      <c r="B270" s="408" t="s">
        <v>5</v>
      </c>
      <c r="C270" s="408"/>
      <c r="D270" s="409">
        <v>175616</v>
      </c>
      <c r="E270" s="410">
        <v>4</v>
      </c>
      <c r="F270" s="252">
        <v>155</v>
      </c>
      <c r="G270" s="253">
        <v>965371.8</v>
      </c>
      <c r="H270" s="267">
        <v>147</v>
      </c>
      <c r="I270" s="268">
        <v>916600.44</v>
      </c>
      <c r="J270" s="252">
        <v>148</v>
      </c>
      <c r="K270" s="253">
        <v>641136</v>
      </c>
      <c r="L270" s="267">
        <v>139</v>
      </c>
      <c r="M270" s="268">
        <v>626400</v>
      </c>
      <c r="N270" s="252"/>
      <c r="O270" s="253"/>
      <c r="P270" s="267"/>
      <c r="Q270" s="268"/>
      <c r="R270" s="252">
        <v>155</v>
      </c>
      <c r="S270" s="253">
        <v>603357.38</v>
      </c>
      <c r="T270" s="267">
        <v>147</v>
      </c>
      <c r="U270" s="268">
        <v>584332.78</v>
      </c>
      <c r="V270" s="252">
        <v>155</v>
      </c>
      <c r="W270" s="253">
        <v>9300</v>
      </c>
      <c r="X270" s="267">
        <v>147</v>
      </c>
      <c r="Y270" s="268">
        <v>5145</v>
      </c>
      <c r="Z270" s="252">
        <v>113</v>
      </c>
      <c r="AA270" s="253">
        <v>15208</v>
      </c>
      <c r="AB270" s="267">
        <v>107</v>
      </c>
      <c r="AC270" s="268">
        <v>14259</v>
      </c>
      <c r="AD270" s="252">
        <v>155</v>
      </c>
      <c r="AE270" s="253">
        <v>9300</v>
      </c>
      <c r="AF270" s="267">
        <v>147</v>
      </c>
      <c r="AG270" s="268">
        <v>8820</v>
      </c>
      <c r="AH270" s="252">
        <v>33</v>
      </c>
      <c r="AI270" s="253">
        <v>72149</v>
      </c>
      <c r="AJ270" s="267">
        <v>35</v>
      </c>
      <c r="AK270" s="268">
        <v>76405</v>
      </c>
      <c r="AL270" s="252"/>
      <c r="AM270" s="253"/>
      <c r="AN270" s="267"/>
      <c r="AO270" s="268"/>
      <c r="AP270" s="255">
        <f t="shared" si="48"/>
        <v>155</v>
      </c>
      <c r="AQ270" s="256">
        <f t="shared" si="49"/>
        <v>2315822.1799999997</v>
      </c>
      <c r="AR270" s="257">
        <f t="shared" si="50"/>
        <v>147</v>
      </c>
      <c r="AS270" s="258">
        <f t="shared" si="51"/>
        <v>2231962.2199999997</v>
      </c>
      <c r="AT270" s="259">
        <v>37</v>
      </c>
      <c r="AU270" s="253">
        <v>305996.52</v>
      </c>
      <c r="AV270" s="267">
        <v>39</v>
      </c>
      <c r="AW270" s="268">
        <v>323920.56</v>
      </c>
      <c r="AX270" s="252">
        <v>36</v>
      </c>
      <c r="AY270" s="253">
        <v>155952</v>
      </c>
      <c r="AZ270" s="267">
        <v>38</v>
      </c>
      <c r="BA270" s="268">
        <v>171390</v>
      </c>
      <c r="BB270" s="252"/>
      <c r="BC270" s="253"/>
      <c r="BD270" s="267"/>
      <c r="BE270" s="268"/>
      <c r="BF270" s="252">
        <v>37</v>
      </c>
      <c r="BG270" s="253">
        <v>191247.83</v>
      </c>
      <c r="BH270" s="267">
        <v>39</v>
      </c>
      <c r="BI270" s="268">
        <v>206499.36</v>
      </c>
      <c r="BJ270" s="252">
        <v>37</v>
      </c>
      <c r="BK270" s="253">
        <v>2220</v>
      </c>
      <c r="BL270" s="267">
        <v>39</v>
      </c>
      <c r="BM270" s="268">
        <v>1365</v>
      </c>
      <c r="BN270" s="252">
        <v>28</v>
      </c>
      <c r="BO270" s="253">
        <v>3950</v>
      </c>
      <c r="BP270" s="267">
        <v>27</v>
      </c>
      <c r="BQ270" s="268">
        <v>3776</v>
      </c>
      <c r="BR270" s="252"/>
      <c r="BS270" s="253"/>
      <c r="BT270" s="267">
        <v>39</v>
      </c>
      <c r="BU270" s="268">
        <v>2340</v>
      </c>
      <c r="BV270" s="252">
        <v>9</v>
      </c>
      <c r="BW270" s="253">
        <v>18464</v>
      </c>
      <c r="BX270" s="267">
        <v>9</v>
      </c>
      <c r="BY270" s="268">
        <v>20466</v>
      </c>
      <c r="BZ270" s="252"/>
      <c r="CA270" s="253"/>
      <c r="CB270" s="267"/>
      <c r="CC270" s="268"/>
      <c r="CD270" s="255">
        <f t="shared" si="52"/>
        <v>37</v>
      </c>
      <c r="CE270" s="256">
        <f t="shared" si="53"/>
        <v>677830.35</v>
      </c>
      <c r="CF270" s="257">
        <f t="shared" si="54"/>
        <v>39</v>
      </c>
      <c r="CG270" s="261">
        <f t="shared" si="55"/>
        <v>729756.91999999993</v>
      </c>
    </row>
    <row r="271" spans="1:85" s="263" customFormat="1" ht="12.75" customHeight="1">
      <c r="A271" s="405" t="s">
        <v>684</v>
      </c>
      <c r="B271" s="411" t="s">
        <v>7</v>
      </c>
      <c r="C271" s="411"/>
      <c r="D271" s="412">
        <v>176044</v>
      </c>
      <c r="E271" s="297">
        <v>4</v>
      </c>
      <c r="F271" s="252">
        <v>109</v>
      </c>
      <c r="G271" s="253">
        <v>651315</v>
      </c>
      <c r="H271" s="267">
        <v>102</v>
      </c>
      <c r="I271" s="268">
        <v>611372</v>
      </c>
      <c r="J271" s="252">
        <v>109</v>
      </c>
      <c r="K271" s="253">
        <v>564473</v>
      </c>
      <c r="L271" s="267">
        <v>102</v>
      </c>
      <c r="M271" s="268">
        <v>529856</v>
      </c>
      <c r="N271" s="252"/>
      <c r="O271" s="253"/>
      <c r="P271" s="267"/>
      <c r="Q271" s="268"/>
      <c r="R271" s="252">
        <v>109</v>
      </c>
      <c r="S271" s="253">
        <v>415213</v>
      </c>
      <c r="T271" s="267">
        <v>102</v>
      </c>
      <c r="U271" s="268">
        <v>389750</v>
      </c>
      <c r="V271" s="252">
        <v>109</v>
      </c>
      <c r="W271" s="253">
        <v>54276</v>
      </c>
      <c r="X271" s="267">
        <v>102</v>
      </c>
      <c r="Y271" s="268">
        <v>50948</v>
      </c>
      <c r="Z271" s="252">
        <v>109</v>
      </c>
      <c r="AA271" s="253">
        <v>10855</v>
      </c>
      <c r="AB271" s="267">
        <v>102</v>
      </c>
      <c r="AC271" s="268">
        <v>10190</v>
      </c>
      <c r="AD271" s="252">
        <v>109</v>
      </c>
      <c r="AE271" s="253">
        <v>78701</v>
      </c>
      <c r="AF271" s="267">
        <v>102</v>
      </c>
      <c r="AG271" s="268">
        <v>89158</v>
      </c>
      <c r="AH271" s="252"/>
      <c r="AI271" s="253"/>
      <c r="AJ271" s="267"/>
      <c r="AK271" s="268"/>
      <c r="AL271" s="252"/>
      <c r="AM271" s="253"/>
      <c r="AN271" s="267"/>
      <c r="AO271" s="268"/>
      <c r="AP271" s="255">
        <f t="shared" si="48"/>
        <v>109</v>
      </c>
      <c r="AQ271" s="256">
        <f t="shared" si="49"/>
        <v>1774833</v>
      </c>
      <c r="AR271" s="257">
        <f t="shared" si="50"/>
        <v>102</v>
      </c>
      <c r="AS271" s="258">
        <f t="shared" si="51"/>
        <v>1681274</v>
      </c>
      <c r="AT271" s="259">
        <v>24</v>
      </c>
      <c r="AU271" s="253">
        <v>198994</v>
      </c>
      <c r="AV271" s="267">
        <v>24</v>
      </c>
      <c r="AW271" s="268">
        <v>193112</v>
      </c>
      <c r="AX271" s="252">
        <v>24</v>
      </c>
      <c r="AY271" s="253">
        <v>172461</v>
      </c>
      <c r="AZ271" s="267">
        <v>24</v>
      </c>
      <c r="BA271" s="268">
        <v>167364</v>
      </c>
      <c r="BB271" s="252"/>
      <c r="BC271" s="253"/>
      <c r="BD271" s="267"/>
      <c r="BE271" s="268"/>
      <c r="BF271" s="252">
        <v>24</v>
      </c>
      <c r="BG271" s="253">
        <v>126859</v>
      </c>
      <c r="BH271" s="267">
        <v>24</v>
      </c>
      <c r="BI271" s="268">
        <v>123109</v>
      </c>
      <c r="BJ271" s="252">
        <v>24</v>
      </c>
      <c r="BK271" s="253">
        <v>16583</v>
      </c>
      <c r="BL271" s="267">
        <v>24</v>
      </c>
      <c r="BM271" s="268">
        <v>16093</v>
      </c>
      <c r="BN271" s="252">
        <v>24</v>
      </c>
      <c r="BO271" s="253">
        <v>3317</v>
      </c>
      <c r="BP271" s="267">
        <v>24</v>
      </c>
      <c r="BQ271" s="268">
        <v>3219</v>
      </c>
      <c r="BR271" s="252">
        <v>24</v>
      </c>
      <c r="BS271" s="253">
        <v>24045</v>
      </c>
      <c r="BT271" s="267">
        <v>24</v>
      </c>
      <c r="BU271" s="268">
        <v>28262</v>
      </c>
      <c r="BV271" s="252"/>
      <c r="BW271" s="253"/>
      <c r="BX271" s="267"/>
      <c r="BY271" s="268"/>
      <c r="BZ271" s="252"/>
      <c r="CA271" s="253"/>
      <c r="CB271" s="267"/>
      <c r="CC271" s="268"/>
      <c r="CD271" s="255">
        <f t="shared" si="52"/>
        <v>24</v>
      </c>
      <c r="CE271" s="256">
        <f t="shared" si="53"/>
        <v>542259</v>
      </c>
      <c r="CF271" s="257">
        <f t="shared" si="54"/>
        <v>24</v>
      </c>
      <c r="CG271" s="261">
        <f t="shared" si="55"/>
        <v>531159</v>
      </c>
    </row>
    <row r="272" spans="1:85" s="263" customFormat="1" ht="12.75" customHeight="1">
      <c r="A272" s="405" t="s">
        <v>684</v>
      </c>
      <c r="B272" s="408" t="s">
        <v>6</v>
      </c>
      <c r="C272" s="408"/>
      <c r="D272" s="409">
        <v>176035</v>
      </c>
      <c r="E272" s="410">
        <v>5</v>
      </c>
      <c r="F272" s="252">
        <v>111</v>
      </c>
      <c r="G272" s="253">
        <v>632813</v>
      </c>
      <c r="H272" s="267">
        <v>106</v>
      </c>
      <c r="I272" s="268">
        <v>611098</v>
      </c>
      <c r="J272" s="252">
        <v>111</v>
      </c>
      <c r="K272" s="253">
        <v>480852</v>
      </c>
      <c r="L272" s="267">
        <v>84</v>
      </c>
      <c r="M272" s="268">
        <v>10971</v>
      </c>
      <c r="N272" s="252"/>
      <c r="O272" s="253"/>
      <c r="P272" s="267"/>
      <c r="Q272" s="268"/>
      <c r="R272" s="252">
        <v>111</v>
      </c>
      <c r="S272" s="253">
        <v>413549</v>
      </c>
      <c r="T272" s="267">
        <v>106</v>
      </c>
      <c r="U272" s="268">
        <v>397656</v>
      </c>
      <c r="V272" s="252">
        <v>111</v>
      </c>
      <c r="W272" s="253">
        <v>7875</v>
      </c>
      <c r="X272" s="267">
        <v>106</v>
      </c>
      <c r="Y272" s="268">
        <v>7545</v>
      </c>
      <c r="Z272" s="252">
        <v>88</v>
      </c>
      <c r="AA272" s="253">
        <v>11516</v>
      </c>
      <c r="AB272" s="267">
        <v>84</v>
      </c>
      <c r="AC272" s="268">
        <v>10971</v>
      </c>
      <c r="AD272" s="252">
        <v>111</v>
      </c>
      <c r="AE272" s="253">
        <v>33186</v>
      </c>
      <c r="AF272" s="267">
        <v>106</v>
      </c>
      <c r="AG272" s="268">
        <v>31797</v>
      </c>
      <c r="AH272" s="252">
        <v>7</v>
      </c>
      <c r="AI272" s="253">
        <v>5896</v>
      </c>
      <c r="AJ272" s="267">
        <v>4</v>
      </c>
      <c r="AK272" s="268">
        <v>3290</v>
      </c>
      <c r="AL272" s="252"/>
      <c r="AM272" s="253"/>
      <c r="AN272" s="267"/>
      <c r="AO272" s="268"/>
      <c r="AP272" s="255">
        <f t="shared" si="48"/>
        <v>111</v>
      </c>
      <c r="AQ272" s="256">
        <f t="shared" si="49"/>
        <v>1585687</v>
      </c>
      <c r="AR272" s="257">
        <f t="shared" si="50"/>
        <v>106</v>
      </c>
      <c r="AS272" s="258">
        <f t="shared" si="51"/>
        <v>1073328</v>
      </c>
      <c r="AT272" s="259">
        <v>23</v>
      </c>
      <c r="AU272" s="253">
        <v>186813</v>
      </c>
      <c r="AV272" s="267">
        <v>24</v>
      </c>
      <c r="AW272" s="268">
        <v>194240</v>
      </c>
      <c r="AX272" s="252">
        <v>23</v>
      </c>
      <c r="AY272" s="253">
        <v>99636</v>
      </c>
      <c r="AZ272" s="267">
        <v>24</v>
      </c>
      <c r="BA272" s="268">
        <v>103968</v>
      </c>
      <c r="BB272" s="252"/>
      <c r="BC272" s="253"/>
      <c r="BD272" s="267"/>
      <c r="BE272" s="268"/>
      <c r="BF272" s="252">
        <v>23</v>
      </c>
      <c r="BG272" s="253">
        <v>122915</v>
      </c>
      <c r="BH272" s="267">
        <v>24</v>
      </c>
      <c r="BI272" s="268">
        <v>125595</v>
      </c>
      <c r="BJ272" s="252">
        <v>23</v>
      </c>
      <c r="BK272" s="253">
        <v>2314</v>
      </c>
      <c r="BL272" s="267">
        <v>24</v>
      </c>
      <c r="BM272" s="268">
        <v>2375</v>
      </c>
      <c r="BN272" s="252">
        <v>20</v>
      </c>
      <c r="BO272" s="253">
        <v>2880</v>
      </c>
      <c r="BP272" s="267">
        <v>20</v>
      </c>
      <c r="BQ272" s="268">
        <v>2880</v>
      </c>
      <c r="BR272" s="252">
        <v>23</v>
      </c>
      <c r="BS272" s="253">
        <v>9752</v>
      </c>
      <c r="BT272" s="267">
        <v>24</v>
      </c>
      <c r="BU272" s="268">
        <v>10007</v>
      </c>
      <c r="BV272" s="252">
        <v>2</v>
      </c>
      <c r="BW272" s="253">
        <v>1290</v>
      </c>
      <c r="BX272" s="267">
        <v>4</v>
      </c>
      <c r="BY272" s="268">
        <v>4451</v>
      </c>
      <c r="BZ272" s="252"/>
      <c r="CA272" s="253"/>
      <c r="CB272" s="267"/>
      <c r="CC272" s="268"/>
      <c r="CD272" s="255">
        <f t="shared" si="52"/>
        <v>23</v>
      </c>
      <c r="CE272" s="256">
        <f t="shared" si="53"/>
        <v>425600</v>
      </c>
      <c r="CF272" s="257">
        <f t="shared" si="54"/>
        <v>24</v>
      </c>
      <c r="CG272" s="261">
        <f t="shared" si="55"/>
        <v>443516</v>
      </c>
    </row>
    <row r="273" spans="1:105" s="416" customFormat="1" ht="12.75" customHeight="1">
      <c r="A273" s="413" t="s">
        <v>684</v>
      </c>
      <c r="B273" s="414" t="s">
        <v>1082</v>
      </c>
      <c r="C273" s="414"/>
      <c r="D273" s="415">
        <v>175786</v>
      </c>
      <c r="E273" s="309">
        <v>8</v>
      </c>
      <c r="F273" s="252">
        <v>284</v>
      </c>
      <c r="G273" s="253">
        <v>1596399</v>
      </c>
      <c r="H273" s="267">
        <v>283</v>
      </c>
      <c r="I273" s="268">
        <v>1580148</v>
      </c>
      <c r="J273" s="252">
        <v>284</v>
      </c>
      <c r="K273" s="253">
        <v>1173306</v>
      </c>
      <c r="L273" s="267">
        <v>283</v>
      </c>
      <c r="M273" s="268">
        <v>1479345</v>
      </c>
      <c r="N273" s="252"/>
      <c r="O273" s="253"/>
      <c r="P273" s="267"/>
      <c r="Q273" s="268"/>
      <c r="R273" s="252">
        <v>284</v>
      </c>
      <c r="S273" s="253">
        <v>1017705</v>
      </c>
      <c r="T273" s="267">
        <v>283</v>
      </c>
      <c r="U273" s="268">
        <v>1007344</v>
      </c>
      <c r="V273" s="252">
        <v>284</v>
      </c>
      <c r="W273" s="253">
        <v>13303</v>
      </c>
      <c r="X273" s="267">
        <v>283</v>
      </c>
      <c r="Y273" s="268">
        <v>19721</v>
      </c>
      <c r="Z273" s="252">
        <v>284</v>
      </c>
      <c r="AA273" s="253">
        <v>33258</v>
      </c>
      <c r="AB273" s="267">
        <v>283</v>
      </c>
      <c r="AC273" s="268">
        <v>32920</v>
      </c>
      <c r="AD273" s="252">
        <v>284</v>
      </c>
      <c r="AE273" s="253">
        <v>98445</v>
      </c>
      <c r="AF273" s="267">
        <v>283</v>
      </c>
      <c r="AG273" s="268">
        <v>131702</v>
      </c>
      <c r="AH273" s="252"/>
      <c r="AI273" s="253"/>
      <c r="AJ273" s="267"/>
      <c r="AK273" s="268"/>
      <c r="AL273" s="252"/>
      <c r="AM273" s="253"/>
      <c r="AN273" s="267">
        <v>283</v>
      </c>
      <c r="AO273" s="268">
        <v>100229</v>
      </c>
      <c r="AP273" s="255">
        <f t="shared" si="48"/>
        <v>284</v>
      </c>
      <c r="AQ273" s="256">
        <f t="shared" si="49"/>
        <v>3932416</v>
      </c>
      <c r="AR273" s="257">
        <f t="shared" si="50"/>
        <v>283</v>
      </c>
      <c r="AS273" s="258">
        <f t="shared" si="51"/>
        <v>4351409</v>
      </c>
      <c r="AT273" s="259">
        <v>122</v>
      </c>
      <c r="AU273" s="253">
        <v>643432</v>
      </c>
      <c r="AV273" s="267">
        <v>120</v>
      </c>
      <c r="AW273" s="268">
        <v>773474</v>
      </c>
      <c r="AX273" s="252">
        <v>122</v>
      </c>
      <c r="AY273" s="253">
        <v>483313</v>
      </c>
      <c r="AZ273" s="267">
        <v>120</v>
      </c>
      <c r="BA273" s="268">
        <v>724132</v>
      </c>
      <c r="BB273" s="252"/>
      <c r="BC273" s="253"/>
      <c r="BD273" s="267"/>
      <c r="BE273" s="268"/>
      <c r="BF273" s="252">
        <v>122</v>
      </c>
      <c r="BG273" s="253">
        <v>414013</v>
      </c>
      <c r="BH273" s="267">
        <v>120</v>
      </c>
      <c r="BI273" s="268">
        <v>493090</v>
      </c>
      <c r="BJ273" s="252">
        <v>122</v>
      </c>
      <c r="BK273" s="253">
        <v>5412</v>
      </c>
      <c r="BL273" s="267">
        <v>120</v>
      </c>
      <c r="BM273" s="268">
        <v>9653</v>
      </c>
      <c r="BN273" s="252">
        <v>122</v>
      </c>
      <c r="BO273" s="253">
        <v>13530</v>
      </c>
      <c r="BP273" s="267">
        <v>120</v>
      </c>
      <c r="BQ273" s="268">
        <v>16114</v>
      </c>
      <c r="BR273" s="252">
        <v>122</v>
      </c>
      <c r="BS273" s="253">
        <v>40048</v>
      </c>
      <c r="BT273" s="267">
        <v>120</v>
      </c>
      <c r="BU273" s="268">
        <v>64468</v>
      </c>
      <c r="BV273" s="252"/>
      <c r="BW273" s="253"/>
      <c r="BX273" s="267"/>
      <c r="BY273" s="268"/>
      <c r="BZ273" s="252"/>
      <c r="CA273" s="253"/>
      <c r="CB273" s="267">
        <v>120</v>
      </c>
      <c r="CC273" s="268">
        <v>49061</v>
      </c>
      <c r="CD273" s="255">
        <f t="shared" si="52"/>
        <v>122</v>
      </c>
      <c r="CE273" s="256">
        <f t="shared" si="53"/>
        <v>1599748</v>
      </c>
      <c r="CF273" s="257">
        <f t="shared" si="54"/>
        <v>120</v>
      </c>
      <c r="CG273" s="261">
        <f t="shared" si="55"/>
        <v>2129992</v>
      </c>
      <c r="CH273" s="263"/>
      <c r="CI273" s="262"/>
      <c r="CJ273" s="262"/>
      <c r="CK273" s="262"/>
      <c r="CL273" s="262"/>
      <c r="CM273" s="262"/>
      <c r="CN273" s="262"/>
      <c r="CO273" s="262"/>
      <c r="CP273" s="262"/>
      <c r="CQ273" s="262"/>
      <c r="CR273" s="262"/>
      <c r="CS273" s="262"/>
      <c r="CT273" s="262"/>
      <c r="CU273" s="262"/>
      <c r="CV273" s="262"/>
      <c r="CW273" s="262"/>
      <c r="CX273" s="262"/>
      <c r="CY273" s="262"/>
      <c r="CZ273" s="262"/>
      <c r="DA273" s="262"/>
    </row>
    <row r="274" spans="1:105" s="416" customFormat="1" ht="12.75" customHeight="1">
      <c r="A274" s="413" t="s">
        <v>684</v>
      </c>
      <c r="B274" s="300" t="s">
        <v>1083</v>
      </c>
      <c r="C274" s="300"/>
      <c r="D274" s="301">
        <v>176071</v>
      </c>
      <c r="E274" s="302">
        <v>8</v>
      </c>
      <c r="F274" s="252">
        <v>263</v>
      </c>
      <c r="G274" s="253">
        <v>1064572</v>
      </c>
      <c r="H274" s="267">
        <v>252.8</v>
      </c>
      <c r="I274" s="268">
        <v>1406332</v>
      </c>
      <c r="J274" s="252">
        <v>263</v>
      </c>
      <c r="K274" s="253">
        <v>854971</v>
      </c>
      <c r="L274" s="267">
        <v>252.8</v>
      </c>
      <c r="M274" s="268">
        <v>848384</v>
      </c>
      <c r="N274" s="252"/>
      <c r="O274" s="253"/>
      <c r="P274" s="267"/>
      <c r="Q274" s="268"/>
      <c r="R274" s="252">
        <v>263</v>
      </c>
      <c r="S274" s="253">
        <v>869915</v>
      </c>
      <c r="T274" s="267">
        <v>252.8</v>
      </c>
      <c r="U274" s="268">
        <v>896537</v>
      </c>
      <c r="V274" s="252">
        <v>263</v>
      </c>
      <c r="W274" s="253">
        <v>11371</v>
      </c>
      <c r="X274" s="267">
        <v>252.8</v>
      </c>
      <c r="Y274" s="268">
        <v>15397</v>
      </c>
      <c r="Z274" s="252">
        <v>263</v>
      </c>
      <c r="AA274" s="253">
        <v>28429</v>
      </c>
      <c r="AB274" s="267">
        <v>252.8</v>
      </c>
      <c r="AC274" s="268">
        <v>29299</v>
      </c>
      <c r="AD274" s="252">
        <v>263</v>
      </c>
      <c r="AE274" s="253">
        <v>61406</v>
      </c>
      <c r="AF274" s="267">
        <v>252.8</v>
      </c>
      <c r="AG274" s="268">
        <v>57425</v>
      </c>
      <c r="AH274" s="252"/>
      <c r="AI274" s="253"/>
      <c r="AJ274" s="267"/>
      <c r="AK274" s="268"/>
      <c r="AL274" s="252"/>
      <c r="AM274" s="253"/>
      <c r="AN274" s="267"/>
      <c r="AO274" s="268"/>
      <c r="AP274" s="255">
        <f t="shared" si="48"/>
        <v>263</v>
      </c>
      <c r="AQ274" s="256">
        <f t="shared" si="49"/>
        <v>2890664</v>
      </c>
      <c r="AR274" s="257">
        <f t="shared" si="50"/>
        <v>252.8</v>
      </c>
      <c r="AS274" s="258">
        <f t="shared" si="51"/>
        <v>3253374</v>
      </c>
      <c r="AT274" s="259">
        <v>106</v>
      </c>
      <c r="AU274" s="253">
        <v>406216</v>
      </c>
      <c r="AV274" s="267">
        <v>84.5</v>
      </c>
      <c r="AW274" s="268">
        <v>511972</v>
      </c>
      <c r="AX274" s="252">
        <v>106</v>
      </c>
      <c r="AY274" s="253">
        <v>309192</v>
      </c>
      <c r="AZ274" s="267">
        <v>84.5</v>
      </c>
      <c r="BA274" s="268">
        <v>308853</v>
      </c>
      <c r="BB274" s="252"/>
      <c r="BC274" s="253"/>
      <c r="BD274" s="267"/>
      <c r="BE274" s="268"/>
      <c r="BF274" s="252">
        <v>106</v>
      </c>
      <c r="BG274" s="253">
        <v>324214</v>
      </c>
      <c r="BH274" s="267">
        <v>84.5</v>
      </c>
      <c r="BI274" s="268">
        <v>326382</v>
      </c>
      <c r="BJ274" s="252">
        <v>106</v>
      </c>
      <c r="BK274" s="253">
        <v>4238</v>
      </c>
      <c r="BL274" s="267">
        <v>84.5</v>
      </c>
      <c r="BM274" s="268">
        <v>5605</v>
      </c>
      <c r="BN274" s="252">
        <v>106</v>
      </c>
      <c r="BO274" s="253">
        <v>10595</v>
      </c>
      <c r="BP274" s="267">
        <v>84.5</v>
      </c>
      <c r="BQ274" s="268">
        <v>10666</v>
      </c>
      <c r="BR274" s="252">
        <v>106</v>
      </c>
      <c r="BS274" s="253">
        <v>22886</v>
      </c>
      <c r="BT274" s="267">
        <v>84.5</v>
      </c>
      <c r="BU274" s="268">
        <v>20906</v>
      </c>
      <c r="BV274" s="252"/>
      <c r="BW274" s="253"/>
      <c r="BX274" s="267"/>
      <c r="BY274" s="268"/>
      <c r="BZ274" s="252"/>
      <c r="CA274" s="253"/>
      <c r="CB274" s="267">
        <v>0</v>
      </c>
      <c r="CC274" s="268"/>
      <c r="CD274" s="255">
        <f t="shared" si="52"/>
        <v>106</v>
      </c>
      <c r="CE274" s="256">
        <f t="shared" si="53"/>
        <v>1077341</v>
      </c>
      <c r="CF274" s="257">
        <f t="shared" si="54"/>
        <v>84.5</v>
      </c>
      <c r="CG274" s="261">
        <f t="shared" si="55"/>
        <v>1184384</v>
      </c>
      <c r="CH274" s="262"/>
      <c r="CI274" s="262"/>
      <c r="CJ274" s="262"/>
      <c r="CK274" s="262"/>
      <c r="CL274" s="262"/>
      <c r="CM274" s="262"/>
      <c r="CN274" s="262"/>
      <c r="CO274" s="262"/>
      <c r="CP274" s="262"/>
      <c r="CQ274" s="262"/>
      <c r="CR274" s="262"/>
      <c r="CS274" s="262"/>
      <c r="CT274" s="262"/>
      <c r="CU274" s="262"/>
      <c r="CV274" s="262"/>
      <c r="CW274" s="262"/>
      <c r="CX274" s="262"/>
      <c r="CY274" s="262"/>
      <c r="CZ274" s="262"/>
      <c r="DA274" s="262"/>
    </row>
    <row r="275" spans="1:105" s="416" customFormat="1" ht="12.75" customHeight="1">
      <c r="A275" s="413" t="s">
        <v>684</v>
      </c>
      <c r="B275" s="417" t="s">
        <v>1084</v>
      </c>
      <c r="C275" s="417"/>
      <c r="D275" s="301">
        <v>176178</v>
      </c>
      <c r="E275" s="302">
        <v>8</v>
      </c>
      <c r="F275" s="252">
        <v>173</v>
      </c>
      <c r="G275" s="253">
        <v>1055810</v>
      </c>
      <c r="H275" s="267">
        <v>183</v>
      </c>
      <c r="I275" s="268">
        <v>1112680</v>
      </c>
      <c r="J275" s="252">
        <v>173</v>
      </c>
      <c r="K275" s="253">
        <v>711170</v>
      </c>
      <c r="L275" s="267">
        <v>183</v>
      </c>
      <c r="M275" s="268">
        <v>606059</v>
      </c>
      <c r="N275" s="252"/>
      <c r="O275" s="253"/>
      <c r="P275" s="267"/>
      <c r="Q275" s="268"/>
      <c r="R275" s="252">
        <v>173</v>
      </c>
      <c r="S275" s="253">
        <v>692204</v>
      </c>
      <c r="T275" s="267">
        <v>183</v>
      </c>
      <c r="U275" s="268">
        <v>709334</v>
      </c>
      <c r="V275" s="252">
        <v>173</v>
      </c>
      <c r="W275" s="253">
        <v>9048</v>
      </c>
      <c r="X275" s="267">
        <v>183</v>
      </c>
      <c r="Y275" s="268"/>
      <c r="Z275" s="252">
        <v>173</v>
      </c>
      <c r="AA275" s="253">
        <v>22621</v>
      </c>
      <c r="AB275" s="267">
        <v>183</v>
      </c>
      <c r="AC275" s="268">
        <v>23181</v>
      </c>
      <c r="AD275" s="252">
        <v>173</v>
      </c>
      <c r="AE275" s="253">
        <v>56100</v>
      </c>
      <c r="AF275" s="267">
        <v>183</v>
      </c>
      <c r="AG275" s="268">
        <v>84613</v>
      </c>
      <c r="AH275" s="252"/>
      <c r="AI275" s="253"/>
      <c r="AJ275" s="267"/>
      <c r="AK275" s="268"/>
      <c r="AL275" s="252">
        <v>173</v>
      </c>
      <c r="AM275" s="253">
        <v>37099</v>
      </c>
      <c r="AN275" s="267">
        <v>183</v>
      </c>
      <c r="AO275" s="268">
        <v>46419</v>
      </c>
      <c r="AP275" s="255">
        <f t="shared" si="48"/>
        <v>173</v>
      </c>
      <c r="AQ275" s="256">
        <f t="shared" si="49"/>
        <v>2584052</v>
      </c>
      <c r="AR275" s="257">
        <f t="shared" si="50"/>
        <v>183</v>
      </c>
      <c r="AS275" s="258">
        <f t="shared" si="51"/>
        <v>2582286</v>
      </c>
      <c r="AT275" s="259">
        <v>38</v>
      </c>
      <c r="AU275" s="253">
        <v>180781</v>
      </c>
      <c r="AV275" s="267">
        <v>38</v>
      </c>
      <c r="AW275" s="268">
        <v>253144</v>
      </c>
      <c r="AX275" s="252">
        <v>38</v>
      </c>
      <c r="AY275" s="253">
        <v>141405</v>
      </c>
      <c r="AZ275" s="267">
        <v>38</v>
      </c>
      <c r="BA275" s="268">
        <v>137883</v>
      </c>
      <c r="BB275" s="252"/>
      <c r="BC275" s="253"/>
      <c r="BD275" s="267"/>
      <c r="BE275" s="268"/>
      <c r="BF275" s="252">
        <v>38</v>
      </c>
      <c r="BG275" s="253">
        <v>126086</v>
      </c>
      <c r="BH275" s="267">
        <v>38</v>
      </c>
      <c r="BI275" s="268">
        <v>161379</v>
      </c>
      <c r="BJ275" s="252">
        <v>38</v>
      </c>
      <c r="BK275" s="253">
        <v>1648</v>
      </c>
      <c r="BL275" s="267">
        <v>0</v>
      </c>
      <c r="BM275" s="268"/>
      <c r="BN275" s="252">
        <v>38</v>
      </c>
      <c r="BO275" s="253">
        <v>4120</v>
      </c>
      <c r="BP275" s="267">
        <v>38</v>
      </c>
      <c r="BQ275" s="268">
        <v>5274</v>
      </c>
      <c r="BR275" s="252">
        <v>38</v>
      </c>
      <c r="BS275" s="253">
        <v>9889</v>
      </c>
      <c r="BT275" s="267">
        <v>38</v>
      </c>
      <c r="BU275" s="268">
        <v>19250</v>
      </c>
      <c r="BV275" s="252"/>
      <c r="BW275" s="253"/>
      <c r="BX275" s="267"/>
      <c r="BY275" s="268"/>
      <c r="BZ275" s="252">
        <v>38</v>
      </c>
      <c r="CA275" s="253">
        <v>6758</v>
      </c>
      <c r="CB275" s="267">
        <v>38</v>
      </c>
      <c r="CC275" s="268">
        <v>10561</v>
      </c>
      <c r="CD275" s="255">
        <f t="shared" si="52"/>
        <v>38</v>
      </c>
      <c r="CE275" s="256">
        <f t="shared" si="53"/>
        <v>470687</v>
      </c>
      <c r="CF275" s="257">
        <f t="shared" si="54"/>
        <v>38</v>
      </c>
      <c r="CG275" s="261">
        <f t="shared" si="55"/>
        <v>587491</v>
      </c>
      <c r="CH275" s="262"/>
      <c r="CI275" s="262"/>
      <c r="CJ275" s="262"/>
      <c r="CK275" s="262"/>
      <c r="CL275" s="262"/>
      <c r="CM275" s="262"/>
      <c r="CN275" s="262"/>
      <c r="CO275" s="262"/>
      <c r="CP275" s="262"/>
      <c r="CQ275" s="262"/>
      <c r="CR275" s="262"/>
      <c r="CS275" s="262"/>
      <c r="CT275" s="262"/>
      <c r="CU275" s="262"/>
      <c r="CV275" s="262"/>
      <c r="CW275" s="262"/>
      <c r="CX275" s="262"/>
      <c r="CY275" s="262"/>
      <c r="CZ275" s="262"/>
      <c r="DA275" s="262"/>
    </row>
    <row r="276" spans="1:105" s="416" customFormat="1" ht="12.75" customHeight="1">
      <c r="A276" s="413" t="s">
        <v>684</v>
      </c>
      <c r="B276" s="414" t="s">
        <v>1085</v>
      </c>
      <c r="C276" s="414"/>
      <c r="D276" s="415">
        <v>175573</v>
      </c>
      <c r="E276" s="309">
        <v>9</v>
      </c>
      <c r="F276" s="252">
        <v>110</v>
      </c>
      <c r="G276" s="253">
        <v>602604</v>
      </c>
      <c r="H276" s="267">
        <v>111.5</v>
      </c>
      <c r="I276" s="268">
        <v>638017</v>
      </c>
      <c r="J276" s="252">
        <v>110</v>
      </c>
      <c r="K276" s="253">
        <v>441520</v>
      </c>
      <c r="L276" s="267">
        <v>111.5</v>
      </c>
      <c r="M276" s="268">
        <v>422710</v>
      </c>
      <c r="N276" s="252"/>
      <c r="O276" s="253"/>
      <c r="P276" s="267"/>
      <c r="Q276" s="268"/>
      <c r="R276" s="252">
        <v>110</v>
      </c>
      <c r="S276" s="253">
        <v>395515</v>
      </c>
      <c r="T276" s="267">
        <v>111.5</v>
      </c>
      <c r="U276" s="268">
        <v>406736</v>
      </c>
      <c r="V276" s="252">
        <v>110</v>
      </c>
      <c r="W276" s="253">
        <v>5170</v>
      </c>
      <c r="X276" s="267">
        <v>111.5</v>
      </c>
      <c r="Y276" s="268"/>
      <c r="Z276" s="252">
        <v>110</v>
      </c>
      <c r="AA276" s="253">
        <v>10925</v>
      </c>
      <c r="AB276" s="267">
        <v>111.5</v>
      </c>
      <c r="AC276" s="268">
        <v>13292</v>
      </c>
      <c r="AD276" s="252">
        <v>110</v>
      </c>
      <c r="AE276" s="253">
        <v>27919</v>
      </c>
      <c r="AF276" s="267">
        <v>111.5</v>
      </c>
      <c r="AG276" s="268">
        <v>26213</v>
      </c>
      <c r="AH276" s="252"/>
      <c r="AI276" s="253"/>
      <c r="AJ276" s="267"/>
      <c r="AK276" s="268"/>
      <c r="AL276" s="252"/>
      <c r="AM276" s="253"/>
      <c r="AN276" s="267"/>
      <c r="AO276" s="268"/>
      <c r="AP276" s="255">
        <f t="shared" si="48"/>
        <v>110</v>
      </c>
      <c r="AQ276" s="256">
        <f t="shared" si="49"/>
        <v>1483653</v>
      </c>
      <c r="AR276" s="257">
        <f t="shared" si="50"/>
        <v>111.5</v>
      </c>
      <c r="AS276" s="258">
        <f t="shared" si="51"/>
        <v>1506968</v>
      </c>
      <c r="AT276" s="259">
        <v>0</v>
      </c>
      <c r="AU276" s="253">
        <v>0</v>
      </c>
      <c r="AV276" s="267">
        <v>0</v>
      </c>
      <c r="AW276" s="268">
        <v>0</v>
      </c>
      <c r="AX276" s="252">
        <v>0</v>
      </c>
      <c r="AY276" s="253">
        <v>0</v>
      </c>
      <c r="AZ276" s="267">
        <v>0</v>
      </c>
      <c r="BA276" s="268">
        <v>0</v>
      </c>
      <c r="BB276" s="252"/>
      <c r="BC276" s="253"/>
      <c r="BD276" s="267"/>
      <c r="BE276" s="268"/>
      <c r="BF276" s="252">
        <v>0</v>
      </c>
      <c r="BG276" s="253"/>
      <c r="BH276" s="267">
        <v>0</v>
      </c>
      <c r="BI276" s="268">
        <v>0</v>
      </c>
      <c r="BJ276" s="252">
        <v>0</v>
      </c>
      <c r="BK276" s="253"/>
      <c r="BL276" s="267">
        <v>0</v>
      </c>
      <c r="BM276" s="268"/>
      <c r="BN276" s="252">
        <v>0</v>
      </c>
      <c r="BO276" s="253"/>
      <c r="BP276" s="267">
        <v>0</v>
      </c>
      <c r="BQ276" s="268">
        <v>0</v>
      </c>
      <c r="BR276" s="252">
        <v>0</v>
      </c>
      <c r="BS276" s="253"/>
      <c r="BT276" s="267">
        <v>0</v>
      </c>
      <c r="BU276" s="268">
        <v>0</v>
      </c>
      <c r="BV276" s="252"/>
      <c r="BW276" s="253"/>
      <c r="BX276" s="267"/>
      <c r="BY276" s="268"/>
      <c r="BZ276" s="252"/>
      <c r="CA276" s="253"/>
      <c r="CB276" s="267">
        <v>0</v>
      </c>
      <c r="CC276" s="268"/>
      <c r="CD276" s="255">
        <f t="shared" si="52"/>
        <v>0</v>
      </c>
      <c r="CE276" s="256">
        <f t="shared" si="53"/>
        <v>0</v>
      </c>
      <c r="CF276" s="257">
        <f t="shared" si="54"/>
        <v>0</v>
      </c>
      <c r="CG276" s="261">
        <f t="shared" si="55"/>
        <v>0</v>
      </c>
      <c r="CH276" s="262"/>
      <c r="CI276" s="262"/>
      <c r="CJ276" s="262"/>
      <c r="CK276" s="262"/>
      <c r="CL276" s="262"/>
      <c r="CM276" s="262"/>
      <c r="CN276" s="262"/>
      <c r="CO276" s="262"/>
      <c r="CP276" s="262"/>
      <c r="CQ276" s="262"/>
      <c r="CR276" s="262"/>
      <c r="CS276" s="262"/>
      <c r="CT276" s="262"/>
      <c r="CU276" s="262"/>
      <c r="CV276" s="262"/>
      <c r="CW276" s="262"/>
      <c r="CX276" s="262"/>
      <c r="CY276" s="262"/>
      <c r="CZ276" s="262"/>
      <c r="DA276" s="262"/>
    </row>
    <row r="277" spans="1:105" s="416" customFormat="1" ht="12.75" customHeight="1">
      <c r="A277" s="413" t="s">
        <v>684</v>
      </c>
      <c r="B277" s="417" t="s">
        <v>1086</v>
      </c>
      <c r="C277" s="417"/>
      <c r="D277" s="301">
        <v>175643</v>
      </c>
      <c r="E277" s="302">
        <v>9</v>
      </c>
      <c r="F277" s="252">
        <v>71</v>
      </c>
      <c r="G277" s="253">
        <v>417395</v>
      </c>
      <c r="H277" s="267">
        <v>73</v>
      </c>
      <c r="I277" s="268">
        <v>413454</v>
      </c>
      <c r="J277" s="252">
        <v>71</v>
      </c>
      <c r="K277" s="253">
        <v>319905</v>
      </c>
      <c r="L277" s="267">
        <v>73</v>
      </c>
      <c r="M277" s="268">
        <v>307108</v>
      </c>
      <c r="N277" s="252"/>
      <c r="O277" s="253"/>
      <c r="P277" s="267"/>
      <c r="Q277" s="268"/>
      <c r="R277" s="252">
        <v>71</v>
      </c>
      <c r="S277" s="253">
        <v>266089</v>
      </c>
      <c r="T277" s="267">
        <v>73</v>
      </c>
      <c r="U277" s="268">
        <v>263577</v>
      </c>
      <c r="V277" s="252">
        <v>71</v>
      </c>
      <c r="W277" s="253">
        <v>3478</v>
      </c>
      <c r="X277" s="267">
        <v>73</v>
      </c>
      <c r="Y277" s="268"/>
      <c r="Z277" s="252">
        <v>71</v>
      </c>
      <c r="AA277" s="253">
        <v>8696</v>
      </c>
      <c r="AB277" s="267">
        <v>73</v>
      </c>
      <c r="AC277" s="268">
        <v>8614</v>
      </c>
      <c r="AD277" s="252">
        <v>71</v>
      </c>
      <c r="AE277" s="253">
        <v>22261</v>
      </c>
      <c r="AF277" s="267">
        <v>73</v>
      </c>
      <c r="AG277" s="268">
        <v>18742</v>
      </c>
      <c r="AH277" s="252"/>
      <c r="AI277" s="253"/>
      <c r="AJ277" s="267"/>
      <c r="AK277" s="268"/>
      <c r="AL277" s="252"/>
      <c r="AM277" s="253"/>
      <c r="AN277" s="267"/>
      <c r="AO277" s="268"/>
      <c r="AP277" s="255">
        <f t="shared" si="48"/>
        <v>71</v>
      </c>
      <c r="AQ277" s="256">
        <f t="shared" si="49"/>
        <v>1037824</v>
      </c>
      <c r="AR277" s="257">
        <f t="shared" si="50"/>
        <v>73</v>
      </c>
      <c r="AS277" s="258">
        <f t="shared" si="51"/>
        <v>1011495</v>
      </c>
      <c r="AT277" s="259">
        <v>9</v>
      </c>
      <c r="AU277" s="253">
        <v>39808</v>
      </c>
      <c r="AV277" s="267">
        <v>9</v>
      </c>
      <c r="AW277" s="268">
        <v>50178</v>
      </c>
      <c r="AX277" s="252">
        <v>9</v>
      </c>
      <c r="AY277" s="253">
        <v>35488</v>
      </c>
      <c r="AZ277" s="267">
        <v>9</v>
      </c>
      <c r="BA277" s="268">
        <v>37272</v>
      </c>
      <c r="BB277" s="252"/>
      <c r="BC277" s="253"/>
      <c r="BD277" s="267"/>
      <c r="BE277" s="268"/>
      <c r="BF277" s="252">
        <v>9</v>
      </c>
      <c r="BG277" s="253">
        <v>27174</v>
      </c>
      <c r="BH277" s="267">
        <v>9</v>
      </c>
      <c r="BI277" s="268">
        <v>31989</v>
      </c>
      <c r="BJ277" s="252">
        <v>9</v>
      </c>
      <c r="BK277" s="253">
        <v>355</v>
      </c>
      <c r="BL277" s="267">
        <v>0</v>
      </c>
      <c r="BM277" s="268"/>
      <c r="BN277" s="252">
        <v>9</v>
      </c>
      <c r="BO277" s="253">
        <v>888</v>
      </c>
      <c r="BP277" s="267">
        <v>9</v>
      </c>
      <c r="BQ277" s="268">
        <v>1045</v>
      </c>
      <c r="BR277" s="252">
        <v>9</v>
      </c>
      <c r="BS277" s="253">
        <v>2273</v>
      </c>
      <c r="BT277" s="267">
        <v>9</v>
      </c>
      <c r="BU277" s="268">
        <v>2275</v>
      </c>
      <c r="BV277" s="252"/>
      <c r="BW277" s="253"/>
      <c r="BX277" s="267"/>
      <c r="BY277" s="268"/>
      <c r="BZ277" s="252"/>
      <c r="CA277" s="253"/>
      <c r="CB277" s="267">
        <v>0</v>
      </c>
      <c r="CC277" s="268"/>
      <c r="CD277" s="255">
        <f t="shared" si="52"/>
        <v>9</v>
      </c>
      <c r="CE277" s="256">
        <f t="shared" si="53"/>
        <v>105986</v>
      </c>
      <c r="CF277" s="257">
        <f t="shared" si="54"/>
        <v>9</v>
      </c>
      <c r="CG277" s="261">
        <f t="shared" si="55"/>
        <v>122759</v>
      </c>
      <c r="CH277" s="262"/>
      <c r="CI277" s="262"/>
      <c r="CJ277" s="262"/>
      <c r="CK277" s="262"/>
      <c r="CL277" s="262"/>
      <c r="CM277" s="262"/>
      <c r="CN277" s="262"/>
      <c r="CO277" s="262"/>
      <c r="CP277" s="262"/>
      <c r="CQ277" s="262"/>
      <c r="CR277" s="262"/>
      <c r="CS277" s="262"/>
      <c r="CT277" s="262"/>
      <c r="CU277" s="262"/>
      <c r="CV277" s="262"/>
      <c r="CW277" s="262"/>
      <c r="CX277" s="262"/>
      <c r="CY277" s="262"/>
      <c r="CZ277" s="262"/>
      <c r="DA277" s="262"/>
    </row>
    <row r="278" spans="1:105" s="416" customFormat="1" ht="12.75" customHeight="1">
      <c r="A278" s="413" t="s">
        <v>684</v>
      </c>
      <c r="B278" s="300" t="s">
        <v>1087</v>
      </c>
      <c r="C278" s="300"/>
      <c r="D278" s="301">
        <v>175652</v>
      </c>
      <c r="E278" s="302">
        <v>9</v>
      </c>
      <c r="F278" s="252">
        <v>85</v>
      </c>
      <c r="G278" s="253">
        <v>517248</v>
      </c>
      <c r="H278" s="267">
        <v>85.7</v>
      </c>
      <c r="I278" s="268">
        <v>528453</v>
      </c>
      <c r="J278" s="252">
        <v>85</v>
      </c>
      <c r="K278" s="253">
        <v>368220</v>
      </c>
      <c r="L278" s="267">
        <v>85.7</v>
      </c>
      <c r="M278" s="268">
        <v>364720</v>
      </c>
      <c r="N278" s="252"/>
      <c r="O278" s="253"/>
      <c r="P278" s="267"/>
      <c r="Q278" s="268"/>
      <c r="R278" s="252">
        <v>85</v>
      </c>
      <c r="S278" s="253">
        <v>331416</v>
      </c>
      <c r="T278" s="267">
        <v>85.7</v>
      </c>
      <c r="U278" s="268">
        <v>336889</v>
      </c>
      <c r="V278" s="252">
        <v>85</v>
      </c>
      <c r="W278" s="253">
        <v>4332</v>
      </c>
      <c r="X278" s="267">
        <v>85.7</v>
      </c>
      <c r="Y278" s="268"/>
      <c r="Z278" s="252">
        <v>85</v>
      </c>
      <c r="AA278" s="253">
        <v>10831</v>
      </c>
      <c r="AB278" s="267">
        <v>85.7</v>
      </c>
      <c r="AC278" s="268">
        <v>11009</v>
      </c>
      <c r="AD278" s="252">
        <v>85</v>
      </c>
      <c r="AE278" s="253">
        <v>18195</v>
      </c>
      <c r="AF278" s="267">
        <v>85.7</v>
      </c>
      <c r="AG278" s="268">
        <v>5285</v>
      </c>
      <c r="AH278" s="252"/>
      <c r="AI278" s="253"/>
      <c r="AJ278" s="267"/>
      <c r="AK278" s="268"/>
      <c r="AL278" s="252">
        <v>85</v>
      </c>
      <c r="AM278" s="253">
        <v>17762</v>
      </c>
      <c r="AN278" s="267">
        <v>85.7</v>
      </c>
      <c r="AO278" s="268">
        <v>16861</v>
      </c>
      <c r="AP278" s="255">
        <f t="shared" si="48"/>
        <v>85</v>
      </c>
      <c r="AQ278" s="256">
        <f t="shared" si="49"/>
        <v>1268004</v>
      </c>
      <c r="AR278" s="257">
        <f t="shared" si="50"/>
        <v>85.7</v>
      </c>
      <c r="AS278" s="258">
        <f t="shared" si="51"/>
        <v>1263217</v>
      </c>
      <c r="AT278" s="259">
        <v>26</v>
      </c>
      <c r="AU278" s="253">
        <v>141760</v>
      </c>
      <c r="AV278" s="267">
        <v>25.3</v>
      </c>
      <c r="AW278" s="268">
        <v>177802</v>
      </c>
      <c r="AX278" s="252">
        <v>26</v>
      </c>
      <c r="AY278" s="253">
        <v>104320</v>
      </c>
      <c r="AZ278" s="267">
        <v>25.3</v>
      </c>
      <c r="BA278" s="268">
        <v>122713</v>
      </c>
      <c r="BB278" s="252"/>
      <c r="BC278" s="253"/>
      <c r="BD278" s="267"/>
      <c r="BE278" s="268"/>
      <c r="BF278" s="252">
        <v>26</v>
      </c>
      <c r="BG278" s="253">
        <v>92922</v>
      </c>
      <c r="BH278" s="267">
        <v>25.3</v>
      </c>
      <c r="BI278" s="268">
        <v>113349</v>
      </c>
      <c r="BJ278" s="252">
        <v>26</v>
      </c>
      <c r="BK278" s="253">
        <v>1215</v>
      </c>
      <c r="BL278" s="267">
        <v>0</v>
      </c>
      <c r="BM278" s="268"/>
      <c r="BN278" s="252">
        <v>26</v>
      </c>
      <c r="BO278" s="253">
        <v>3037</v>
      </c>
      <c r="BP278" s="267">
        <v>25.3</v>
      </c>
      <c r="BQ278" s="268">
        <v>3704</v>
      </c>
      <c r="BR278" s="252">
        <v>26</v>
      </c>
      <c r="BS278" s="253">
        <v>7288</v>
      </c>
      <c r="BT278" s="267">
        <v>25.3</v>
      </c>
      <c r="BU278" s="268">
        <v>1778</v>
      </c>
      <c r="BV278" s="252"/>
      <c r="BW278" s="253"/>
      <c r="BX278" s="267"/>
      <c r="BY278" s="268"/>
      <c r="BZ278" s="252">
        <v>26</v>
      </c>
      <c r="CA278" s="253">
        <v>4980</v>
      </c>
      <c r="CB278" s="267">
        <v>25.3</v>
      </c>
      <c r="CC278" s="268">
        <v>5673</v>
      </c>
      <c r="CD278" s="255">
        <f t="shared" si="52"/>
        <v>26</v>
      </c>
      <c r="CE278" s="256">
        <f t="shared" si="53"/>
        <v>355522</v>
      </c>
      <c r="CF278" s="257">
        <f t="shared" si="54"/>
        <v>25.3</v>
      </c>
      <c r="CG278" s="261">
        <f t="shared" si="55"/>
        <v>425019</v>
      </c>
      <c r="CH278" s="262"/>
      <c r="CI278" s="262"/>
      <c r="CJ278" s="262"/>
      <c r="CK278" s="262"/>
      <c r="CL278" s="262"/>
      <c r="CM278" s="262"/>
      <c r="CN278" s="262"/>
      <c r="CO278" s="262"/>
      <c r="CP278" s="262"/>
      <c r="CQ278" s="262"/>
      <c r="CR278" s="262"/>
      <c r="CS278" s="262"/>
      <c r="CT278" s="262"/>
      <c r="CU278" s="262"/>
      <c r="CV278" s="262"/>
      <c r="CW278" s="262"/>
      <c r="CX278" s="262"/>
      <c r="CY278" s="262"/>
      <c r="CZ278" s="262"/>
      <c r="DA278" s="262"/>
    </row>
    <row r="279" spans="1:105" s="416" customFormat="1" ht="12.75" customHeight="1">
      <c r="A279" s="413" t="s">
        <v>684</v>
      </c>
      <c r="B279" s="414" t="s">
        <v>1088</v>
      </c>
      <c r="C279" s="510" t="s">
        <v>1188</v>
      </c>
      <c r="D279" s="301">
        <v>175810</v>
      </c>
      <c r="E279" s="302">
        <v>9</v>
      </c>
      <c r="F279" s="252">
        <v>142</v>
      </c>
      <c r="G279" s="253">
        <v>928035</v>
      </c>
      <c r="H279" s="267">
        <v>138</v>
      </c>
      <c r="I279" s="268">
        <v>913850</v>
      </c>
      <c r="J279" s="252">
        <v>142</v>
      </c>
      <c r="K279" s="253">
        <v>603219</v>
      </c>
      <c r="L279" s="267">
        <v>138</v>
      </c>
      <c r="M279" s="268">
        <v>512527</v>
      </c>
      <c r="N279" s="252"/>
      <c r="O279" s="253"/>
      <c r="P279" s="267"/>
      <c r="Q279" s="268"/>
      <c r="R279" s="252">
        <v>142</v>
      </c>
      <c r="S279" s="253">
        <v>601185</v>
      </c>
      <c r="T279" s="267">
        <v>138</v>
      </c>
      <c r="U279" s="268">
        <v>582579</v>
      </c>
      <c r="V279" s="252">
        <v>142</v>
      </c>
      <c r="W279" s="253">
        <v>7859</v>
      </c>
      <c r="X279" s="267">
        <v>138</v>
      </c>
      <c r="Y279" s="268">
        <v>31050</v>
      </c>
      <c r="Z279" s="252">
        <v>142</v>
      </c>
      <c r="AA279" s="253">
        <v>19647</v>
      </c>
      <c r="AB279" s="267">
        <v>138</v>
      </c>
      <c r="AC279" s="268">
        <v>19039</v>
      </c>
      <c r="AD279" s="252">
        <v>142</v>
      </c>
      <c r="AE279" s="253">
        <v>48723</v>
      </c>
      <c r="AF279" s="267">
        <v>138</v>
      </c>
      <c r="AG279" s="268">
        <v>62100</v>
      </c>
      <c r="AH279" s="252"/>
      <c r="AI279" s="253"/>
      <c r="AJ279" s="267"/>
      <c r="AK279" s="268"/>
      <c r="AL279" s="252"/>
      <c r="AM279" s="253"/>
      <c r="AN279" s="267">
        <v>138</v>
      </c>
      <c r="AO279" s="268">
        <v>34156</v>
      </c>
      <c r="AP279" s="255">
        <f t="shared" si="48"/>
        <v>142</v>
      </c>
      <c r="AQ279" s="256">
        <f t="shared" si="49"/>
        <v>2208668</v>
      </c>
      <c r="AR279" s="257">
        <f t="shared" si="50"/>
        <v>138</v>
      </c>
      <c r="AS279" s="258">
        <f t="shared" si="51"/>
        <v>2155301</v>
      </c>
      <c r="AT279" s="259">
        <v>30</v>
      </c>
      <c r="AU279" s="253">
        <v>151017</v>
      </c>
      <c r="AV279" s="267">
        <v>27</v>
      </c>
      <c r="AW279" s="268">
        <v>171565</v>
      </c>
      <c r="AX279" s="252">
        <v>30</v>
      </c>
      <c r="AY279" s="253">
        <v>111611</v>
      </c>
      <c r="AZ279" s="267">
        <v>27</v>
      </c>
      <c r="BA279" s="268">
        <v>96221</v>
      </c>
      <c r="BB279" s="252"/>
      <c r="BC279" s="253"/>
      <c r="BD279" s="267"/>
      <c r="BE279" s="268"/>
      <c r="BF279" s="252">
        <v>30</v>
      </c>
      <c r="BG279" s="253">
        <v>102011</v>
      </c>
      <c r="BH279" s="267">
        <v>27</v>
      </c>
      <c r="BI279" s="268">
        <v>109373</v>
      </c>
      <c r="BJ279" s="252">
        <v>30</v>
      </c>
      <c r="BK279" s="253">
        <v>1333</v>
      </c>
      <c r="BL279" s="267">
        <v>27</v>
      </c>
      <c r="BM279" s="268">
        <v>5829</v>
      </c>
      <c r="BN279" s="252">
        <v>30</v>
      </c>
      <c r="BO279" s="253">
        <v>3334</v>
      </c>
      <c r="BP279" s="267">
        <v>27</v>
      </c>
      <c r="BQ279" s="268">
        <v>3574</v>
      </c>
      <c r="BR279" s="252">
        <v>30</v>
      </c>
      <c r="BS279" s="253">
        <v>5467</v>
      </c>
      <c r="BT279" s="267">
        <v>27</v>
      </c>
      <c r="BU279" s="268">
        <v>11659</v>
      </c>
      <c r="BV279" s="252"/>
      <c r="BW279" s="253"/>
      <c r="BX279" s="267"/>
      <c r="BY279" s="268"/>
      <c r="BZ279" s="252"/>
      <c r="CA279" s="253"/>
      <c r="CB279" s="267">
        <v>27</v>
      </c>
      <c r="CC279" s="268">
        <v>6412</v>
      </c>
      <c r="CD279" s="255">
        <f t="shared" si="52"/>
        <v>30</v>
      </c>
      <c r="CE279" s="256">
        <f t="shared" si="53"/>
        <v>374773</v>
      </c>
      <c r="CF279" s="257">
        <f t="shared" si="54"/>
        <v>27</v>
      </c>
      <c r="CG279" s="261">
        <f t="shared" si="55"/>
        <v>404633</v>
      </c>
      <c r="CH279" s="262"/>
      <c r="CI279" s="262"/>
      <c r="CJ279" s="262"/>
      <c r="CK279" s="262"/>
      <c r="CL279" s="262"/>
      <c r="CM279" s="262"/>
      <c r="CN279" s="262"/>
      <c r="CO279" s="262"/>
      <c r="CP279" s="262"/>
      <c r="CQ279" s="262"/>
      <c r="CR279" s="262"/>
      <c r="CS279" s="262"/>
      <c r="CT279" s="262"/>
      <c r="CU279" s="262"/>
      <c r="CV279" s="262"/>
      <c r="CW279" s="262"/>
      <c r="CX279" s="262"/>
      <c r="CY279" s="262"/>
      <c r="CZ279" s="262"/>
      <c r="DA279" s="262"/>
    </row>
    <row r="280" spans="1:105" s="416" customFormat="1" ht="12.75" customHeight="1">
      <c r="A280" s="413" t="s">
        <v>684</v>
      </c>
      <c r="B280" s="511" t="s">
        <v>1089</v>
      </c>
      <c r="C280" s="511" t="s">
        <v>1248</v>
      </c>
      <c r="D280" s="301">
        <v>175829</v>
      </c>
      <c r="E280" s="512">
        <v>8</v>
      </c>
      <c r="F280" s="252">
        <v>139</v>
      </c>
      <c r="G280" s="253">
        <v>916215</v>
      </c>
      <c r="H280" s="267">
        <v>145</v>
      </c>
      <c r="I280" s="268">
        <v>1002576</v>
      </c>
      <c r="J280" s="252">
        <v>139</v>
      </c>
      <c r="K280" s="253">
        <v>591285</v>
      </c>
      <c r="L280" s="267">
        <v>145</v>
      </c>
      <c r="M280" s="268">
        <v>530984</v>
      </c>
      <c r="N280" s="252"/>
      <c r="O280" s="253"/>
      <c r="P280" s="267"/>
      <c r="Q280" s="268"/>
      <c r="R280" s="252">
        <v>139</v>
      </c>
      <c r="S280" s="253">
        <v>593012</v>
      </c>
      <c r="T280" s="267">
        <v>145</v>
      </c>
      <c r="U280" s="268">
        <v>639142</v>
      </c>
      <c r="V280" s="252">
        <v>139</v>
      </c>
      <c r="W280" s="253">
        <v>7752</v>
      </c>
      <c r="X280" s="267">
        <v>145</v>
      </c>
      <c r="Y280" s="268"/>
      <c r="Z280" s="252">
        <v>139</v>
      </c>
      <c r="AA280" s="253">
        <v>19379</v>
      </c>
      <c r="AB280" s="267">
        <v>145</v>
      </c>
      <c r="AC280" s="268">
        <v>20887</v>
      </c>
      <c r="AD280" s="252">
        <v>139</v>
      </c>
      <c r="AE280" s="253">
        <v>48061</v>
      </c>
      <c r="AF280" s="267">
        <v>145</v>
      </c>
      <c r="AG280" s="268">
        <v>62661</v>
      </c>
      <c r="AH280" s="252"/>
      <c r="AI280" s="253"/>
      <c r="AJ280" s="267"/>
      <c r="AK280" s="268"/>
      <c r="AL280" s="252"/>
      <c r="AM280" s="253"/>
      <c r="AN280" s="267"/>
      <c r="AO280" s="268"/>
      <c r="AP280" s="255">
        <f t="shared" si="48"/>
        <v>139</v>
      </c>
      <c r="AQ280" s="256">
        <f t="shared" si="49"/>
        <v>2175704</v>
      </c>
      <c r="AR280" s="257">
        <f t="shared" si="50"/>
        <v>145</v>
      </c>
      <c r="AS280" s="258">
        <f t="shared" si="51"/>
        <v>2256250</v>
      </c>
      <c r="AT280" s="259">
        <v>63</v>
      </c>
      <c r="AU280" s="253">
        <v>434140</v>
      </c>
      <c r="AV280" s="267">
        <v>62</v>
      </c>
      <c r="AW280" s="268">
        <v>542026</v>
      </c>
      <c r="AX280" s="252">
        <v>63</v>
      </c>
      <c r="AY280" s="253">
        <v>269872</v>
      </c>
      <c r="AZ280" s="267">
        <v>62</v>
      </c>
      <c r="BA280" s="268">
        <v>287068</v>
      </c>
      <c r="BB280" s="252"/>
      <c r="BC280" s="253"/>
      <c r="BD280" s="267"/>
      <c r="BE280" s="268"/>
      <c r="BF280" s="252">
        <v>63</v>
      </c>
      <c r="BG280" s="253">
        <v>278804</v>
      </c>
      <c r="BH280" s="267">
        <v>62</v>
      </c>
      <c r="BI280" s="268">
        <v>345542</v>
      </c>
      <c r="BJ280" s="252">
        <v>63</v>
      </c>
      <c r="BK280" s="253">
        <v>3644</v>
      </c>
      <c r="BL280" s="267">
        <v>0</v>
      </c>
      <c r="BM280" s="268">
        <v>0</v>
      </c>
      <c r="BN280" s="252">
        <v>63</v>
      </c>
      <c r="BO280" s="253">
        <v>9111</v>
      </c>
      <c r="BP280" s="267">
        <v>62</v>
      </c>
      <c r="BQ280" s="268">
        <v>11292</v>
      </c>
      <c r="BR280" s="252">
        <v>63</v>
      </c>
      <c r="BS280" s="253">
        <v>27334</v>
      </c>
      <c r="BT280" s="267">
        <v>62</v>
      </c>
      <c r="BU280" s="268">
        <v>33877</v>
      </c>
      <c r="BV280" s="252"/>
      <c r="BW280" s="253"/>
      <c r="BX280" s="267"/>
      <c r="BY280" s="268"/>
      <c r="BZ280" s="252"/>
      <c r="CA280" s="253"/>
      <c r="CB280" s="267">
        <v>0</v>
      </c>
      <c r="CC280" s="268"/>
      <c r="CD280" s="255">
        <f t="shared" si="52"/>
        <v>63</v>
      </c>
      <c r="CE280" s="256">
        <f t="shared" si="53"/>
        <v>1022905</v>
      </c>
      <c r="CF280" s="257">
        <f t="shared" si="54"/>
        <v>62</v>
      </c>
      <c r="CG280" s="261">
        <f t="shared" si="55"/>
        <v>1219805</v>
      </c>
      <c r="CH280" s="262"/>
      <c r="CI280" s="262"/>
      <c r="CJ280" s="262"/>
      <c r="CK280" s="262"/>
      <c r="CL280" s="262"/>
      <c r="CM280" s="262"/>
      <c r="CN280" s="262"/>
      <c r="CO280" s="262"/>
      <c r="CP280" s="262"/>
      <c r="CQ280" s="262"/>
      <c r="CR280" s="262"/>
      <c r="CS280" s="262"/>
      <c r="CT280" s="262"/>
      <c r="CU280" s="262"/>
      <c r="CV280" s="262"/>
      <c r="CW280" s="262"/>
      <c r="CX280" s="262"/>
      <c r="CY280" s="262"/>
      <c r="CZ280" s="262"/>
      <c r="DA280" s="262"/>
    </row>
    <row r="281" spans="1:105" s="416" customFormat="1" ht="12.75" customHeight="1">
      <c r="A281" s="413" t="s">
        <v>684</v>
      </c>
      <c r="B281" s="414" t="s">
        <v>1090</v>
      </c>
      <c r="C281" s="510" t="s">
        <v>1188</v>
      </c>
      <c r="D281" s="301">
        <v>175883</v>
      </c>
      <c r="E281" s="302">
        <v>9</v>
      </c>
      <c r="F281" s="252">
        <v>131</v>
      </c>
      <c r="G281" s="253">
        <v>946338</v>
      </c>
      <c r="H281" s="267">
        <v>123.5</v>
      </c>
      <c r="I281" s="268">
        <v>783944</v>
      </c>
      <c r="J281" s="252">
        <v>131</v>
      </c>
      <c r="K281" s="253">
        <v>667492</v>
      </c>
      <c r="L281" s="267">
        <v>123.5</v>
      </c>
      <c r="M281" s="268">
        <v>619049</v>
      </c>
      <c r="N281" s="252"/>
      <c r="O281" s="253"/>
      <c r="P281" s="267"/>
      <c r="Q281" s="268"/>
      <c r="R281" s="252">
        <v>131</v>
      </c>
      <c r="S281" s="253">
        <v>533344</v>
      </c>
      <c r="T281" s="267">
        <v>123.5</v>
      </c>
      <c r="U281" s="268">
        <v>499764</v>
      </c>
      <c r="V281" s="252">
        <v>131</v>
      </c>
      <c r="W281" s="253">
        <v>6972</v>
      </c>
      <c r="X281" s="267">
        <v>123.5</v>
      </c>
      <c r="Y281" s="268"/>
      <c r="Z281" s="252">
        <v>131</v>
      </c>
      <c r="AA281" s="253">
        <v>17430</v>
      </c>
      <c r="AB281" s="267">
        <v>123.5</v>
      </c>
      <c r="AC281" s="268">
        <v>16332</v>
      </c>
      <c r="AD281" s="252">
        <v>131</v>
      </c>
      <c r="AE281" s="253">
        <v>43225</v>
      </c>
      <c r="AF281" s="267">
        <v>123.5</v>
      </c>
      <c r="AG281" s="268">
        <v>39530</v>
      </c>
      <c r="AH281" s="252"/>
      <c r="AI281" s="253"/>
      <c r="AJ281" s="267"/>
      <c r="AK281" s="268"/>
      <c r="AL281" s="252"/>
      <c r="AM281" s="253"/>
      <c r="AN281" s="267"/>
      <c r="AO281" s="268"/>
      <c r="AP281" s="255">
        <f t="shared" ref="AP281:AP344" si="56">MAX(AL281,AH281,AD281,Z281,V281,R281,N281,J281,F281)</f>
        <v>131</v>
      </c>
      <c r="AQ281" s="256">
        <f t="shared" ref="AQ281:AQ344" si="57">SUM(AM281,AI281,AE281,AA281,W281,S281,O281,K281,G281)</f>
        <v>2214801</v>
      </c>
      <c r="AR281" s="257">
        <f t="shared" ref="AR281:AR344" si="58">MAX(AN281,AJ281,AF281,AB281,X281,T281,P281,L281,H281)</f>
        <v>123.5</v>
      </c>
      <c r="AS281" s="258">
        <f t="shared" ref="AS281:AS344" si="59">SUM(AO281,AK281,AG281,AC281,Y281,U281,Q281,M281,I281)</f>
        <v>1958619</v>
      </c>
      <c r="AT281" s="259">
        <v>34</v>
      </c>
      <c r="AU281" s="253">
        <v>204611</v>
      </c>
      <c r="AV281" s="267">
        <v>19</v>
      </c>
      <c r="AW281" s="268">
        <v>133428</v>
      </c>
      <c r="AX281" s="252">
        <v>34</v>
      </c>
      <c r="AY281" s="253">
        <v>169981</v>
      </c>
      <c r="AZ281" s="267">
        <v>19</v>
      </c>
      <c r="BA281" s="268">
        <v>105362</v>
      </c>
      <c r="BB281" s="252"/>
      <c r="BC281" s="253"/>
      <c r="BD281" s="267"/>
      <c r="BE281" s="268"/>
      <c r="BF281" s="252">
        <v>34</v>
      </c>
      <c r="BG281" s="253">
        <v>124065</v>
      </c>
      <c r="BH281" s="267">
        <v>19</v>
      </c>
      <c r="BI281" s="268">
        <v>85060</v>
      </c>
      <c r="BJ281" s="252">
        <v>34</v>
      </c>
      <c r="BK281" s="253">
        <v>1622</v>
      </c>
      <c r="BL281" s="267">
        <v>0</v>
      </c>
      <c r="BM281" s="268"/>
      <c r="BN281" s="252">
        <v>34</v>
      </c>
      <c r="BO281" s="253">
        <v>4054</v>
      </c>
      <c r="BP281" s="267">
        <v>19</v>
      </c>
      <c r="BQ281" s="268">
        <v>2780</v>
      </c>
      <c r="BR281" s="252">
        <v>34</v>
      </c>
      <c r="BS281" s="253">
        <v>10866</v>
      </c>
      <c r="BT281" s="267">
        <v>19</v>
      </c>
      <c r="BU281" s="268">
        <v>6728</v>
      </c>
      <c r="BV281" s="252"/>
      <c r="BW281" s="253"/>
      <c r="BX281" s="267"/>
      <c r="BY281" s="268"/>
      <c r="BZ281" s="252"/>
      <c r="CA281" s="253"/>
      <c r="CB281" s="267">
        <v>0</v>
      </c>
      <c r="CC281" s="268"/>
      <c r="CD281" s="255">
        <f t="shared" ref="CD281:CD344" si="60">MAX(BZ281,BV281,BR281,BN281,BJ281,BF281,BB281,AX281,AT281)</f>
        <v>34</v>
      </c>
      <c r="CE281" s="256">
        <f t="shared" ref="CE281:CE344" si="61">SUM(CA281,BW281,BS281,BO281,BK281,BG281,BC281,AY281,AU281)</f>
        <v>515199</v>
      </c>
      <c r="CF281" s="257">
        <f t="shared" ref="CF281:CF344" si="62">MAX(CB281,BX281,BT281,BP281,BL281,BH281,BD281,AZ281,AV281)</f>
        <v>19</v>
      </c>
      <c r="CG281" s="261">
        <f t="shared" ref="CG281:CG344" si="63">SUM(CC281,BY281,BU281,BQ281,BM281,BI281,BE281,BA281,AW281)</f>
        <v>333358</v>
      </c>
      <c r="CH281" s="262"/>
      <c r="CI281" s="262"/>
      <c r="CJ281" s="262"/>
      <c r="CK281" s="262"/>
      <c r="CL281" s="262"/>
      <c r="CM281" s="262"/>
      <c r="CN281" s="262"/>
      <c r="CO281" s="262"/>
      <c r="CP281" s="262"/>
      <c r="CQ281" s="262"/>
      <c r="CR281" s="262"/>
      <c r="CS281" s="262"/>
      <c r="CT281" s="262"/>
      <c r="CU281" s="262"/>
      <c r="CV281" s="262"/>
      <c r="CW281" s="262"/>
      <c r="CX281" s="262"/>
      <c r="CY281" s="262"/>
      <c r="CZ281" s="262"/>
      <c r="DA281" s="262"/>
    </row>
    <row r="282" spans="1:105" s="416" customFormat="1" ht="12.75" customHeight="1">
      <c r="A282" s="413" t="s">
        <v>684</v>
      </c>
      <c r="B282" s="300" t="s">
        <v>1091</v>
      </c>
      <c r="C282" s="300"/>
      <c r="D282" s="301">
        <v>175935</v>
      </c>
      <c r="E282" s="302">
        <v>9</v>
      </c>
      <c r="F282" s="252">
        <v>93</v>
      </c>
      <c r="G282" s="253">
        <v>440794</v>
      </c>
      <c r="H282" s="267">
        <v>92</v>
      </c>
      <c r="I282" s="268">
        <v>485973</v>
      </c>
      <c r="J282" s="252">
        <v>93</v>
      </c>
      <c r="K282" s="253">
        <v>362876</v>
      </c>
      <c r="L282" s="267">
        <v>92</v>
      </c>
      <c r="M282" s="268">
        <v>326264</v>
      </c>
      <c r="N282" s="252"/>
      <c r="O282" s="253"/>
      <c r="P282" s="267"/>
      <c r="Q282" s="268"/>
      <c r="R282" s="252">
        <v>93</v>
      </c>
      <c r="S282" s="253">
        <v>305879</v>
      </c>
      <c r="T282" s="267">
        <v>92</v>
      </c>
      <c r="U282" s="268">
        <v>309808</v>
      </c>
      <c r="V282" s="252">
        <v>93</v>
      </c>
      <c r="W282" s="253">
        <v>3998</v>
      </c>
      <c r="X282" s="267">
        <v>92</v>
      </c>
      <c r="Y282" s="268"/>
      <c r="Z282" s="252">
        <v>93</v>
      </c>
      <c r="AA282" s="253">
        <v>9996</v>
      </c>
      <c r="AB282" s="267">
        <v>92</v>
      </c>
      <c r="AC282" s="268">
        <v>10124</v>
      </c>
      <c r="AD282" s="252">
        <v>93</v>
      </c>
      <c r="AE282" s="253">
        <v>23990</v>
      </c>
      <c r="AF282" s="267">
        <v>92</v>
      </c>
      <c r="AG282" s="268">
        <v>25271</v>
      </c>
      <c r="AH282" s="252"/>
      <c r="AI282" s="253"/>
      <c r="AJ282" s="267"/>
      <c r="AK282" s="268"/>
      <c r="AL282" s="252"/>
      <c r="AM282" s="253"/>
      <c r="AN282" s="267"/>
      <c r="AO282" s="268"/>
      <c r="AP282" s="255">
        <f t="shared" si="56"/>
        <v>93</v>
      </c>
      <c r="AQ282" s="256">
        <f t="shared" si="57"/>
        <v>1147533</v>
      </c>
      <c r="AR282" s="257">
        <f t="shared" si="58"/>
        <v>92</v>
      </c>
      <c r="AS282" s="258">
        <f t="shared" si="59"/>
        <v>1157440</v>
      </c>
      <c r="AT282" s="259">
        <v>62</v>
      </c>
      <c r="AU282" s="253">
        <v>260051</v>
      </c>
      <c r="AV282" s="267">
        <v>63</v>
      </c>
      <c r="AW282" s="268">
        <v>357838</v>
      </c>
      <c r="AX282" s="252">
        <v>62</v>
      </c>
      <c r="AY282" s="253">
        <v>238584</v>
      </c>
      <c r="AZ282" s="267">
        <v>63</v>
      </c>
      <c r="BA282" s="268">
        <v>240239</v>
      </c>
      <c r="BB282" s="252"/>
      <c r="BC282" s="253"/>
      <c r="BD282" s="267"/>
      <c r="BE282" s="268"/>
      <c r="BF282" s="252">
        <v>62</v>
      </c>
      <c r="BG282" s="253">
        <v>189782</v>
      </c>
      <c r="BH282" s="267">
        <v>63</v>
      </c>
      <c r="BI282" s="268">
        <v>228122</v>
      </c>
      <c r="BJ282" s="252">
        <v>62</v>
      </c>
      <c r="BK282" s="253">
        <v>2481</v>
      </c>
      <c r="BL282" s="267">
        <v>0</v>
      </c>
      <c r="BM282" s="268"/>
      <c r="BN282" s="252">
        <v>62</v>
      </c>
      <c r="BO282" s="253">
        <v>6202</v>
      </c>
      <c r="BP282" s="267">
        <v>63</v>
      </c>
      <c r="BQ282" s="268">
        <v>7455</v>
      </c>
      <c r="BR282" s="252">
        <v>62</v>
      </c>
      <c r="BS282" s="253">
        <v>14885</v>
      </c>
      <c r="BT282" s="267">
        <v>63</v>
      </c>
      <c r="BU282" s="268">
        <v>18608</v>
      </c>
      <c r="BV282" s="252"/>
      <c r="BW282" s="253"/>
      <c r="BX282" s="267"/>
      <c r="BY282" s="268"/>
      <c r="BZ282" s="252"/>
      <c r="CA282" s="253"/>
      <c r="CB282" s="267">
        <v>0</v>
      </c>
      <c r="CC282" s="268"/>
      <c r="CD282" s="255">
        <f t="shared" si="60"/>
        <v>62</v>
      </c>
      <c r="CE282" s="256">
        <f t="shared" si="61"/>
        <v>711985</v>
      </c>
      <c r="CF282" s="257">
        <f t="shared" si="62"/>
        <v>63</v>
      </c>
      <c r="CG282" s="261">
        <f t="shared" si="63"/>
        <v>852262</v>
      </c>
      <c r="CH282" s="262"/>
      <c r="CI282" s="262"/>
      <c r="CJ282" s="262"/>
      <c r="CK282" s="262"/>
      <c r="CL282" s="262"/>
      <c r="CM282" s="262"/>
      <c r="CN282" s="262"/>
      <c r="CO282" s="262"/>
      <c r="CP282" s="262"/>
      <c r="CQ282" s="262"/>
      <c r="CR282" s="262"/>
      <c r="CS282" s="262"/>
      <c r="CT282" s="262"/>
      <c r="CU282" s="262"/>
      <c r="CV282" s="262"/>
      <c r="CW282" s="262"/>
      <c r="CX282" s="262"/>
      <c r="CY282" s="262"/>
      <c r="CZ282" s="262"/>
      <c r="DA282" s="262"/>
    </row>
    <row r="283" spans="1:105" s="416" customFormat="1" ht="12.75" customHeight="1">
      <c r="A283" s="413" t="s">
        <v>684</v>
      </c>
      <c r="B283" s="300" t="s">
        <v>1092</v>
      </c>
      <c r="C283" s="300"/>
      <c r="D283" s="301">
        <v>176008</v>
      </c>
      <c r="E283" s="302">
        <v>9</v>
      </c>
      <c r="F283" s="252">
        <v>109</v>
      </c>
      <c r="G283" s="253">
        <v>597152</v>
      </c>
      <c r="H283" s="267">
        <v>113</v>
      </c>
      <c r="I283" s="268">
        <v>681302</v>
      </c>
      <c r="J283" s="252">
        <v>109</v>
      </c>
      <c r="K283" s="253">
        <v>451613</v>
      </c>
      <c r="L283" s="267">
        <v>113</v>
      </c>
      <c r="M283" s="268">
        <v>476490</v>
      </c>
      <c r="N283" s="252"/>
      <c r="O283" s="253"/>
      <c r="P283" s="267"/>
      <c r="Q283" s="268"/>
      <c r="R283" s="252">
        <v>109</v>
      </c>
      <c r="S283" s="253">
        <v>403634</v>
      </c>
      <c r="T283" s="267">
        <v>113</v>
      </c>
      <c r="U283" s="268">
        <v>434330</v>
      </c>
      <c r="V283" s="252">
        <v>109</v>
      </c>
      <c r="W283" s="253">
        <v>5276</v>
      </c>
      <c r="X283" s="267">
        <v>113</v>
      </c>
      <c r="Y283" s="268"/>
      <c r="Z283" s="252">
        <v>109</v>
      </c>
      <c r="AA283" s="253">
        <v>13191</v>
      </c>
      <c r="AB283" s="267">
        <v>113</v>
      </c>
      <c r="AC283" s="268">
        <v>14194</v>
      </c>
      <c r="AD283" s="252">
        <v>109</v>
      </c>
      <c r="AE283" s="253">
        <v>26909</v>
      </c>
      <c r="AF283" s="267">
        <v>113</v>
      </c>
      <c r="AG283" s="268">
        <v>39334</v>
      </c>
      <c r="AH283" s="252"/>
      <c r="AI283" s="253"/>
      <c r="AJ283" s="267"/>
      <c r="AK283" s="268"/>
      <c r="AL283" s="252"/>
      <c r="AM283" s="253"/>
      <c r="AN283" s="267">
        <v>113</v>
      </c>
      <c r="AO283" s="268">
        <v>4961</v>
      </c>
      <c r="AP283" s="255">
        <f t="shared" si="56"/>
        <v>109</v>
      </c>
      <c r="AQ283" s="256">
        <f t="shared" si="57"/>
        <v>1497775</v>
      </c>
      <c r="AR283" s="257">
        <f t="shared" si="58"/>
        <v>113</v>
      </c>
      <c r="AS283" s="258">
        <f t="shared" si="59"/>
        <v>1650611</v>
      </c>
      <c r="AT283" s="259">
        <v>9</v>
      </c>
      <c r="AU283" s="253">
        <v>41555</v>
      </c>
      <c r="AV283" s="267">
        <v>4</v>
      </c>
      <c r="AW283" s="268">
        <v>19877</v>
      </c>
      <c r="AX283" s="252">
        <v>9</v>
      </c>
      <c r="AY283" s="253">
        <v>34596</v>
      </c>
      <c r="AZ283" s="267">
        <v>4</v>
      </c>
      <c r="BA283" s="268">
        <v>13902</v>
      </c>
      <c r="BB283" s="252"/>
      <c r="BC283" s="253"/>
      <c r="BD283" s="267"/>
      <c r="BE283" s="268"/>
      <c r="BF283" s="252">
        <v>9</v>
      </c>
      <c r="BG283" s="253">
        <v>29308</v>
      </c>
      <c r="BH283" s="267">
        <v>4</v>
      </c>
      <c r="BI283" s="268">
        <v>12672</v>
      </c>
      <c r="BJ283" s="252">
        <v>9</v>
      </c>
      <c r="BK283" s="253">
        <v>383</v>
      </c>
      <c r="BL283" s="267">
        <v>0</v>
      </c>
      <c r="BM283" s="268"/>
      <c r="BN283" s="252">
        <v>9</v>
      </c>
      <c r="BO283" s="253">
        <v>958</v>
      </c>
      <c r="BP283" s="267">
        <v>4</v>
      </c>
      <c r="BQ283" s="268">
        <v>414</v>
      </c>
      <c r="BR283" s="252">
        <v>9</v>
      </c>
      <c r="BS283" s="253">
        <v>1954</v>
      </c>
      <c r="BT283" s="267">
        <v>4</v>
      </c>
      <c r="BU283" s="268">
        <v>1148</v>
      </c>
      <c r="BV283" s="252"/>
      <c r="BW283" s="253"/>
      <c r="BX283" s="267"/>
      <c r="BY283" s="268"/>
      <c r="BZ283" s="252"/>
      <c r="CA283" s="253"/>
      <c r="CB283" s="267">
        <f>+BT283</f>
        <v>4</v>
      </c>
      <c r="CC283" s="268">
        <v>145</v>
      </c>
      <c r="CD283" s="255">
        <f t="shared" si="60"/>
        <v>9</v>
      </c>
      <c r="CE283" s="256">
        <f t="shared" si="61"/>
        <v>108754</v>
      </c>
      <c r="CF283" s="257">
        <f t="shared" si="62"/>
        <v>4</v>
      </c>
      <c r="CG283" s="261">
        <f t="shared" si="63"/>
        <v>48158</v>
      </c>
      <c r="CH283" s="262"/>
      <c r="CI283" s="262"/>
      <c r="CJ283" s="262"/>
      <c r="CK283" s="262"/>
      <c r="CL283" s="262"/>
      <c r="CM283" s="262"/>
      <c r="CN283" s="262"/>
      <c r="CO283" s="262"/>
      <c r="CP283" s="262"/>
      <c r="CQ283" s="262"/>
      <c r="CR283" s="262"/>
      <c r="CS283" s="262"/>
      <c r="CT283" s="262"/>
      <c r="CU283" s="262"/>
      <c r="CV283" s="262"/>
      <c r="CW283" s="262"/>
      <c r="CX283" s="262"/>
      <c r="CY283" s="262"/>
      <c r="CZ283" s="262"/>
      <c r="DA283" s="262"/>
    </row>
    <row r="284" spans="1:105" s="416" customFormat="1" ht="12.75" customHeight="1">
      <c r="A284" s="413" t="s">
        <v>684</v>
      </c>
      <c r="B284" s="300" t="s">
        <v>1093</v>
      </c>
      <c r="C284" s="300"/>
      <c r="D284" s="301">
        <v>176169</v>
      </c>
      <c r="E284" s="302">
        <v>9</v>
      </c>
      <c r="F284" s="252">
        <v>106</v>
      </c>
      <c r="G284" s="253">
        <v>607177</v>
      </c>
      <c r="H284" s="267">
        <v>103</v>
      </c>
      <c r="I284" s="268">
        <v>642198</v>
      </c>
      <c r="J284" s="252">
        <v>106</v>
      </c>
      <c r="K284" s="253">
        <v>400773</v>
      </c>
      <c r="L284" s="267">
        <v>103</v>
      </c>
      <c r="M284" s="268">
        <v>359397</v>
      </c>
      <c r="N284" s="252"/>
      <c r="O284" s="253"/>
      <c r="P284" s="267"/>
      <c r="Q284" s="268"/>
      <c r="R284" s="252">
        <v>106</v>
      </c>
      <c r="S284" s="253">
        <v>418951</v>
      </c>
      <c r="T284" s="267">
        <v>103</v>
      </c>
      <c r="U284" s="268">
        <v>409401</v>
      </c>
      <c r="V284" s="252">
        <v>106</v>
      </c>
      <c r="W284" s="253">
        <v>5476</v>
      </c>
      <c r="X284" s="267">
        <v>103</v>
      </c>
      <c r="Y284" s="268"/>
      <c r="Z284" s="252">
        <v>106</v>
      </c>
      <c r="AA284" s="253">
        <v>13691</v>
      </c>
      <c r="AB284" s="267">
        <v>103</v>
      </c>
      <c r="AC284" s="268">
        <v>13379</v>
      </c>
      <c r="AD284" s="252">
        <v>106</v>
      </c>
      <c r="AE284" s="253">
        <v>33954</v>
      </c>
      <c r="AF284" s="267">
        <v>103</v>
      </c>
      <c r="AG284" s="268">
        <v>35249</v>
      </c>
      <c r="AH284" s="252"/>
      <c r="AI284" s="253"/>
      <c r="AJ284" s="267"/>
      <c r="AK284" s="268"/>
      <c r="AL284" s="252"/>
      <c r="AM284" s="253"/>
      <c r="AN284" s="267"/>
      <c r="AO284" s="268"/>
      <c r="AP284" s="255">
        <f t="shared" si="56"/>
        <v>106</v>
      </c>
      <c r="AQ284" s="256">
        <f t="shared" si="57"/>
        <v>1480022</v>
      </c>
      <c r="AR284" s="257">
        <f t="shared" si="58"/>
        <v>103</v>
      </c>
      <c r="AS284" s="258">
        <f t="shared" si="59"/>
        <v>1459624</v>
      </c>
      <c r="AT284" s="259">
        <v>23</v>
      </c>
      <c r="AU284" s="253">
        <v>133455</v>
      </c>
      <c r="AV284" s="267">
        <v>22</v>
      </c>
      <c r="AW284" s="268">
        <v>166105</v>
      </c>
      <c r="AX284" s="252">
        <v>23</v>
      </c>
      <c r="AY284" s="253">
        <v>81636</v>
      </c>
      <c r="AZ284" s="267">
        <v>22</v>
      </c>
      <c r="BA284" s="268">
        <v>92959</v>
      </c>
      <c r="BB284" s="252"/>
      <c r="BC284" s="253"/>
      <c r="BD284" s="267"/>
      <c r="BE284" s="268"/>
      <c r="BF284" s="252">
        <v>23</v>
      </c>
      <c r="BG284" s="253">
        <v>89305</v>
      </c>
      <c r="BH284" s="267">
        <v>22</v>
      </c>
      <c r="BI284" s="268">
        <v>105892</v>
      </c>
      <c r="BJ284" s="252">
        <v>23</v>
      </c>
      <c r="BK284" s="253">
        <v>1167</v>
      </c>
      <c r="BL284" s="267">
        <v>0</v>
      </c>
      <c r="BM284" s="268"/>
      <c r="BN284" s="252">
        <v>23</v>
      </c>
      <c r="BO284" s="253">
        <v>2918</v>
      </c>
      <c r="BP284" s="267">
        <v>22</v>
      </c>
      <c r="BQ284" s="268">
        <v>3461</v>
      </c>
      <c r="BR284" s="252">
        <v>23</v>
      </c>
      <c r="BS284" s="253">
        <v>7004</v>
      </c>
      <c r="BT284" s="267">
        <v>22</v>
      </c>
      <c r="BU284" s="268">
        <v>9117</v>
      </c>
      <c r="BV284" s="252"/>
      <c r="BW284" s="253"/>
      <c r="BX284" s="267"/>
      <c r="BY284" s="268"/>
      <c r="BZ284" s="252"/>
      <c r="CA284" s="253"/>
      <c r="CB284" s="267">
        <v>0</v>
      </c>
      <c r="CC284" s="268"/>
      <c r="CD284" s="255">
        <f t="shared" si="60"/>
        <v>23</v>
      </c>
      <c r="CE284" s="256">
        <f t="shared" si="61"/>
        <v>315485</v>
      </c>
      <c r="CF284" s="257">
        <f t="shared" si="62"/>
        <v>22</v>
      </c>
      <c r="CG284" s="261">
        <f t="shared" si="63"/>
        <v>377534</v>
      </c>
      <c r="CH284" s="262"/>
      <c r="CI284" s="262"/>
      <c r="CJ284" s="262"/>
      <c r="CK284" s="262"/>
      <c r="CL284" s="262"/>
      <c r="CM284" s="262"/>
      <c r="CN284" s="262"/>
      <c r="CO284" s="262"/>
      <c r="CP284" s="262"/>
      <c r="CQ284" s="262"/>
      <c r="CR284" s="262"/>
      <c r="CS284" s="262"/>
      <c r="CT284" s="262"/>
      <c r="CU284" s="262"/>
      <c r="CV284" s="262"/>
      <c r="CW284" s="262"/>
      <c r="CX284" s="262"/>
      <c r="CY284" s="262"/>
      <c r="CZ284" s="262"/>
      <c r="DA284" s="262"/>
    </row>
    <row r="285" spans="1:105" s="416" customFormat="1" ht="12.75" customHeight="1">
      <c r="A285" s="413" t="s">
        <v>684</v>
      </c>
      <c r="B285" s="414" t="s">
        <v>1094</v>
      </c>
      <c r="C285" s="414"/>
      <c r="D285" s="415">
        <v>176239</v>
      </c>
      <c r="E285" s="302">
        <v>9</v>
      </c>
      <c r="F285" s="252">
        <v>187</v>
      </c>
      <c r="G285" s="253">
        <v>1261655</v>
      </c>
      <c r="H285" s="267">
        <v>183</v>
      </c>
      <c r="I285" s="268">
        <v>1244855</v>
      </c>
      <c r="J285" s="252">
        <v>187</v>
      </c>
      <c r="K285" s="253">
        <v>761445</v>
      </c>
      <c r="L285" s="267">
        <v>183</v>
      </c>
      <c r="M285" s="268">
        <v>814955</v>
      </c>
      <c r="N285" s="252"/>
      <c r="O285" s="253"/>
      <c r="P285" s="267"/>
      <c r="Q285" s="268"/>
      <c r="R285" s="252">
        <v>187</v>
      </c>
      <c r="S285" s="253">
        <v>804305</v>
      </c>
      <c r="T285" s="267">
        <v>183</v>
      </c>
      <c r="U285" s="268">
        <v>793595</v>
      </c>
      <c r="V285" s="252">
        <v>187</v>
      </c>
      <c r="W285" s="253">
        <v>10514</v>
      </c>
      <c r="X285" s="267">
        <v>183</v>
      </c>
      <c r="Y285" s="268">
        <v>13306</v>
      </c>
      <c r="Z285" s="252">
        <v>187</v>
      </c>
      <c r="AA285" s="253">
        <v>26284</v>
      </c>
      <c r="AB285" s="267">
        <v>183</v>
      </c>
      <c r="AC285" s="268">
        <v>25934</v>
      </c>
      <c r="AD285" s="252">
        <v>187</v>
      </c>
      <c r="AE285" s="253">
        <v>41004</v>
      </c>
      <c r="AF285" s="267">
        <v>183</v>
      </c>
      <c r="AG285" s="268">
        <v>39919</v>
      </c>
      <c r="AH285" s="252"/>
      <c r="AI285" s="253"/>
      <c r="AJ285" s="267"/>
      <c r="AK285" s="268"/>
      <c r="AL285" s="252"/>
      <c r="AM285" s="253"/>
      <c r="AN285" s="267"/>
      <c r="AO285" s="268"/>
      <c r="AP285" s="255">
        <f t="shared" si="56"/>
        <v>187</v>
      </c>
      <c r="AQ285" s="256">
        <f t="shared" si="57"/>
        <v>2905207</v>
      </c>
      <c r="AR285" s="257">
        <f t="shared" si="58"/>
        <v>183</v>
      </c>
      <c r="AS285" s="258">
        <f t="shared" si="59"/>
        <v>2932564</v>
      </c>
      <c r="AT285" s="259">
        <v>0</v>
      </c>
      <c r="AU285" s="253">
        <v>0</v>
      </c>
      <c r="AV285" s="267">
        <v>0</v>
      </c>
      <c r="AW285" s="268">
        <v>0</v>
      </c>
      <c r="AX285" s="252">
        <v>0</v>
      </c>
      <c r="AY285" s="253"/>
      <c r="AZ285" s="267">
        <v>0</v>
      </c>
      <c r="BA285" s="268">
        <v>0</v>
      </c>
      <c r="BB285" s="252"/>
      <c r="BC285" s="253"/>
      <c r="BD285" s="267"/>
      <c r="BE285" s="268"/>
      <c r="BF285" s="252">
        <v>0</v>
      </c>
      <c r="BG285" s="253"/>
      <c r="BH285" s="267">
        <v>0</v>
      </c>
      <c r="BI285" s="268">
        <v>0</v>
      </c>
      <c r="BJ285" s="252">
        <v>0</v>
      </c>
      <c r="BK285" s="253"/>
      <c r="BL285" s="267">
        <v>0</v>
      </c>
      <c r="BM285" s="268"/>
      <c r="BN285" s="252">
        <v>0</v>
      </c>
      <c r="BO285" s="253"/>
      <c r="BP285" s="267">
        <v>0</v>
      </c>
      <c r="BQ285" s="268">
        <v>0</v>
      </c>
      <c r="BR285" s="252">
        <v>0</v>
      </c>
      <c r="BS285" s="253"/>
      <c r="BT285" s="267">
        <v>0</v>
      </c>
      <c r="BU285" s="268">
        <v>0</v>
      </c>
      <c r="BV285" s="252"/>
      <c r="BW285" s="253"/>
      <c r="BX285" s="267"/>
      <c r="BY285" s="268"/>
      <c r="BZ285" s="252"/>
      <c r="CA285" s="253"/>
      <c r="CB285" s="267">
        <v>0</v>
      </c>
      <c r="CC285" s="268"/>
      <c r="CD285" s="255">
        <f t="shared" si="60"/>
        <v>0</v>
      </c>
      <c r="CE285" s="256">
        <f t="shared" si="61"/>
        <v>0</v>
      </c>
      <c r="CF285" s="257">
        <f t="shared" si="62"/>
        <v>0</v>
      </c>
      <c r="CG285" s="261">
        <f t="shared" si="63"/>
        <v>0</v>
      </c>
      <c r="CH285" s="262"/>
      <c r="CI285" s="262"/>
      <c r="CJ285" s="262"/>
      <c r="CK285" s="262"/>
      <c r="CL285" s="262"/>
      <c r="CM285" s="262"/>
      <c r="CN285" s="262"/>
      <c r="CO285" s="262"/>
      <c r="CP285" s="262"/>
      <c r="CQ285" s="262"/>
      <c r="CR285" s="262"/>
      <c r="CS285" s="262"/>
      <c r="CT285" s="262"/>
      <c r="CU285" s="262"/>
      <c r="CV285" s="262"/>
      <c r="CW285" s="262"/>
      <c r="CX285" s="262"/>
      <c r="CY285" s="262"/>
      <c r="CZ285" s="262"/>
      <c r="DA285" s="262"/>
    </row>
    <row r="286" spans="1:105" s="416" customFormat="1" ht="12.75" customHeight="1">
      <c r="A286" s="413" t="s">
        <v>684</v>
      </c>
      <c r="B286" s="414" t="s">
        <v>1095</v>
      </c>
      <c r="C286" s="510" t="s">
        <v>1190</v>
      </c>
      <c r="D286" s="301">
        <v>175519</v>
      </c>
      <c r="E286" s="302">
        <v>10</v>
      </c>
      <c r="F286" s="252">
        <v>52</v>
      </c>
      <c r="G286" s="253">
        <v>289565</v>
      </c>
      <c r="H286" s="267">
        <v>53</v>
      </c>
      <c r="I286" s="268">
        <v>285039</v>
      </c>
      <c r="J286" s="252">
        <v>52</v>
      </c>
      <c r="K286" s="253">
        <v>225264</v>
      </c>
      <c r="L286" s="267">
        <v>53</v>
      </c>
      <c r="M286" s="268">
        <v>237792</v>
      </c>
      <c r="N286" s="252"/>
      <c r="O286" s="253"/>
      <c r="P286" s="267"/>
      <c r="Q286" s="268"/>
      <c r="R286" s="252">
        <v>52</v>
      </c>
      <c r="S286" s="253">
        <v>185906</v>
      </c>
      <c r="T286" s="267">
        <v>53</v>
      </c>
      <c r="U286" s="268">
        <v>181713</v>
      </c>
      <c r="V286" s="252">
        <v>52</v>
      </c>
      <c r="W286" s="253">
        <v>2430</v>
      </c>
      <c r="X286" s="267">
        <v>53</v>
      </c>
      <c r="Y286" s="268">
        <v>8235</v>
      </c>
      <c r="Z286" s="252">
        <v>52</v>
      </c>
      <c r="AA286" s="253">
        <v>6075</v>
      </c>
      <c r="AB286" s="267">
        <v>53</v>
      </c>
      <c r="AC286" s="268">
        <v>5938</v>
      </c>
      <c r="AD286" s="252">
        <v>52</v>
      </c>
      <c r="AE286" s="253">
        <v>15067</v>
      </c>
      <c r="AF286" s="267">
        <v>53</v>
      </c>
      <c r="AG286" s="268">
        <v>17639</v>
      </c>
      <c r="AH286" s="252"/>
      <c r="AI286" s="253"/>
      <c r="AJ286" s="267"/>
      <c r="AK286" s="268"/>
      <c r="AL286" s="252"/>
      <c r="AM286" s="253"/>
      <c r="AN286" s="267"/>
      <c r="AO286" s="268"/>
      <c r="AP286" s="255">
        <f t="shared" si="56"/>
        <v>52</v>
      </c>
      <c r="AQ286" s="256">
        <f t="shared" si="57"/>
        <v>724307</v>
      </c>
      <c r="AR286" s="257">
        <f t="shared" si="58"/>
        <v>53</v>
      </c>
      <c r="AS286" s="258">
        <f t="shared" si="59"/>
        <v>736356</v>
      </c>
      <c r="AT286" s="259">
        <v>22</v>
      </c>
      <c r="AU286" s="253">
        <v>59782</v>
      </c>
      <c r="AV286" s="267">
        <v>21</v>
      </c>
      <c r="AW286" s="268">
        <v>97366</v>
      </c>
      <c r="AX286" s="252">
        <v>22</v>
      </c>
      <c r="AY286" s="253">
        <v>77666</v>
      </c>
      <c r="AZ286" s="267">
        <v>21</v>
      </c>
      <c r="BA286" s="268">
        <v>81227</v>
      </c>
      <c r="BB286" s="252"/>
      <c r="BC286" s="253"/>
      <c r="BD286" s="267"/>
      <c r="BE286" s="268"/>
      <c r="BF286" s="252">
        <v>22</v>
      </c>
      <c r="BG286" s="253">
        <v>49586</v>
      </c>
      <c r="BH286" s="267">
        <v>21</v>
      </c>
      <c r="BI286" s="268">
        <v>62071</v>
      </c>
      <c r="BJ286" s="252">
        <v>22</v>
      </c>
      <c r="BK286" s="253">
        <v>648</v>
      </c>
      <c r="BL286" s="267">
        <v>21</v>
      </c>
      <c r="BM286" s="268">
        <v>2813</v>
      </c>
      <c r="BN286" s="252">
        <v>22</v>
      </c>
      <c r="BO286" s="253">
        <v>1620</v>
      </c>
      <c r="BP286" s="267">
        <v>21</v>
      </c>
      <c r="BQ286" s="268">
        <v>2028</v>
      </c>
      <c r="BR286" s="252">
        <v>22</v>
      </c>
      <c r="BS286" s="253">
        <v>3889</v>
      </c>
      <c r="BT286" s="267">
        <v>21</v>
      </c>
      <c r="BU286" s="268">
        <v>6025</v>
      </c>
      <c r="BV286" s="252"/>
      <c r="BW286" s="253"/>
      <c r="BX286" s="267"/>
      <c r="BY286" s="268"/>
      <c r="BZ286" s="252"/>
      <c r="CA286" s="253"/>
      <c r="CB286" s="267">
        <v>0</v>
      </c>
      <c r="CC286" s="268"/>
      <c r="CD286" s="255">
        <f t="shared" si="60"/>
        <v>22</v>
      </c>
      <c r="CE286" s="256">
        <f t="shared" si="61"/>
        <v>193191</v>
      </c>
      <c r="CF286" s="257">
        <f t="shared" si="62"/>
        <v>21</v>
      </c>
      <c r="CG286" s="261">
        <f t="shared" si="63"/>
        <v>251530</v>
      </c>
      <c r="CH286" s="262"/>
      <c r="CI286" s="262"/>
      <c r="CJ286" s="262"/>
      <c r="CK286" s="262"/>
      <c r="CL286" s="262"/>
      <c r="CM286" s="262"/>
      <c r="CN286" s="262"/>
      <c r="CO286" s="262"/>
      <c r="CP286" s="262"/>
      <c r="CQ286" s="262"/>
      <c r="CR286" s="262"/>
      <c r="CS286" s="262"/>
      <c r="CT286" s="262"/>
      <c r="CU286" s="262"/>
      <c r="CV286" s="262"/>
      <c r="CW286" s="262"/>
      <c r="CX286" s="262"/>
      <c r="CY286" s="262"/>
      <c r="CZ286" s="262"/>
      <c r="DA286" s="262"/>
    </row>
    <row r="287" spans="1:105" s="416" customFormat="1" ht="12.75" customHeight="1">
      <c r="A287" s="413" t="s">
        <v>684</v>
      </c>
      <c r="B287" s="300" t="s">
        <v>1096</v>
      </c>
      <c r="C287" s="300"/>
      <c r="D287" s="301">
        <v>176354</v>
      </c>
      <c r="E287" s="302">
        <v>10</v>
      </c>
      <c r="F287" s="252">
        <v>65</v>
      </c>
      <c r="G287" s="253">
        <v>434792</v>
      </c>
      <c r="H287" s="267">
        <v>59</v>
      </c>
      <c r="I287" s="268">
        <v>392377</v>
      </c>
      <c r="J287" s="252">
        <v>65</v>
      </c>
      <c r="K287" s="253">
        <v>286691</v>
      </c>
      <c r="L287" s="267">
        <v>59</v>
      </c>
      <c r="M287" s="268">
        <v>242801</v>
      </c>
      <c r="N287" s="252"/>
      <c r="O287" s="253"/>
      <c r="P287" s="267"/>
      <c r="Q287" s="268"/>
      <c r="R287" s="252">
        <v>65</v>
      </c>
      <c r="S287" s="253">
        <v>273993</v>
      </c>
      <c r="T287" s="267">
        <v>59</v>
      </c>
      <c r="U287" s="268">
        <v>250140</v>
      </c>
      <c r="V287" s="252">
        <v>65</v>
      </c>
      <c r="W287" s="253">
        <v>3582</v>
      </c>
      <c r="X287" s="267">
        <v>59</v>
      </c>
      <c r="Y287" s="268">
        <v>2555</v>
      </c>
      <c r="Z287" s="252">
        <v>65</v>
      </c>
      <c r="AA287" s="253">
        <v>8954</v>
      </c>
      <c r="AB287" s="267">
        <v>59</v>
      </c>
      <c r="AC287" s="268">
        <v>8175</v>
      </c>
      <c r="AD287" s="252">
        <v>65</v>
      </c>
      <c r="AE287" s="253">
        <v>22206</v>
      </c>
      <c r="AF287" s="267">
        <v>59</v>
      </c>
      <c r="AG287" s="268">
        <v>8670</v>
      </c>
      <c r="AH287" s="252"/>
      <c r="AI287" s="253"/>
      <c r="AJ287" s="267"/>
      <c r="AK287" s="268"/>
      <c r="AL287" s="252"/>
      <c r="AM287" s="253"/>
      <c r="AN287" s="267"/>
      <c r="AO287" s="268"/>
      <c r="AP287" s="255">
        <f t="shared" si="56"/>
        <v>65</v>
      </c>
      <c r="AQ287" s="256">
        <f t="shared" si="57"/>
        <v>1030218</v>
      </c>
      <c r="AR287" s="257">
        <f t="shared" si="58"/>
        <v>59</v>
      </c>
      <c r="AS287" s="258">
        <f t="shared" si="59"/>
        <v>904718</v>
      </c>
      <c r="AT287" s="259">
        <v>7</v>
      </c>
      <c r="AU287" s="253">
        <v>24200</v>
      </c>
      <c r="AV287" s="267">
        <v>12</v>
      </c>
      <c r="AW287" s="268">
        <v>61011</v>
      </c>
      <c r="AX287" s="252">
        <v>7</v>
      </c>
      <c r="AY287" s="253">
        <v>25645</v>
      </c>
      <c r="AZ287" s="267">
        <v>12</v>
      </c>
      <c r="BA287" s="268">
        <v>37753</v>
      </c>
      <c r="BB287" s="252"/>
      <c r="BC287" s="253"/>
      <c r="BD287" s="267"/>
      <c r="BE287" s="268"/>
      <c r="BF287" s="252">
        <v>7</v>
      </c>
      <c r="BG287" s="253">
        <v>18615</v>
      </c>
      <c r="BH287" s="267">
        <v>12</v>
      </c>
      <c r="BI287" s="268">
        <v>38895</v>
      </c>
      <c r="BJ287" s="252">
        <v>7</v>
      </c>
      <c r="BK287" s="253">
        <v>243</v>
      </c>
      <c r="BL287" s="267">
        <v>12</v>
      </c>
      <c r="BM287" s="268">
        <v>397</v>
      </c>
      <c r="BN287" s="252">
        <v>7</v>
      </c>
      <c r="BO287" s="253">
        <v>608</v>
      </c>
      <c r="BP287" s="267">
        <v>12</v>
      </c>
      <c r="BQ287" s="268">
        <v>1271</v>
      </c>
      <c r="BR287" s="252">
        <v>7</v>
      </c>
      <c r="BS287" s="253">
        <v>681</v>
      </c>
      <c r="BT287" s="267">
        <v>12</v>
      </c>
      <c r="BU287" s="268">
        <v>1348</v>
      </c>
      <c r="BV287" s="252"/>
      <c r="BW287" s="253"/>
      <c r="BX287" s="267"/>
      <c r="BY287" s="268"/>
      <c r="BZ287" s="252"/>
      <c r="CA287" s="253"/>
      <c r="CB287" s="267">
        <v>0</v>
      </c>
      <c r="CC287" s="268"/>
      <c r="CD287" s="255">
        <f t="shared" si="60"/>
        <v>7</v>
      </c>
      <c r="CE287" s="256">
        <f t="shared" si="61"/>
        <v>69992</v>
      </c>
      <c r="CF287" s="257">
        <f t="shared" si="62"/>
        <v>12</v>
      </c>
      <c r="CG287" s="261">
        <f t="shared" si="63"/>
        <v>140675</v>
      </c>
      <c r="CH287" s="262"/>
      <c r="CI287" s="262"/>
      <c r="CJ287" s="262"/>
      <c r="CK287" s="262"/>
      <c r="CL287" s="262"/>
      <c r="CM287" s="262"/>
      <c r="CN287" s="262"/>
      <c r="CO287" s="262"/>
      <c r="CP287" s="262"/>
      <c r="CQ287" s="262"/>
      <c r="CR287" s="262"/>
      <c r="CS287" s="262"/>
      <c r="CT287" s="262"/>
      <c r="CU287" s="262"/>
      <c r="CV287" s="262"/>
      <c r="CW287" s="262"/>
      <c r="CX287" s="262"/>
      <c r="CY287" s="262"/>
      <c r="CZ287" s="262"/>
      <c r="DA287" s="262"/>
    </row>
    <row r="288" spans="1:105" s="263" customFormat="1" ht="12.75" customHeight="1">
      <c r="A288" s="418" t="s">
        <v>683</v>
      </c>
      <c r="B288" s="419" t="s">
        <v>504</v>
      </c>
      <c r="C288" s="419"/>
      <c r="D288" s="420">
        <v>199193</v>
      </c>
      <c r="E288" s="421">
        <v>1</v>
      </c>
      <c r="F288" s="252">
        <v>1773</v>
      </c>
      <c r="G288" s="253">
        <v>16946515</v>
      </c>
      <c r="H288" s="267">
        <v>1755</v>
      </c>
      <c r="I288" s="268">
        <v>18148498</v>
      </c>
      <c r="J288" s="252">
        <v>1773</v>
      </c>
      <c r="K288" s="253">
        <v>8026371</v>
      </c>
      <c r="L288" s="267">
        <v>1755</v>
      </c>
      <c r="M288" s="268">
        <v>8652150</v>
      </c>
      <c r="N288" s="252">
        <v>1773</v>
      </c>
      <c r="O288" s="253">
        <v>812431</v>
      </c>
      <c r="P288" s="267">
        <v>1755</v>
      </c>
      <c r="Q288" s="268">
        <v>808046</v>
      </c>
      <c r="R288" s="252">
        <v>1773</v>
      </c>
      <c r="S288" s="253">
        <v>11124234</v>
      </c>
      <c r="T288" s="267">
        <v>1755</v>
      </c>
      <c r="U288" s="268">
        <v>11168270</v>
      </c>
      <c r="V288" s="252">
        <v>1773</v>
      </c>
      <c r="W288" s="253">
        <v>140649</v>
      </c>
      <c r="X288" s="267">
        <v>1755</v>
      </c>
      <c r="Y288" s="268">
        <v>139883</v>
      </c>
      <c r="Z288" s="252">
        <v>366</v>
      </c>
      <c r="AA288" s="253">
        <v>46177</v>
      </c>
      <c r="AB288" s="267">
        <v>369</v>
      </c>
      <c r="AC288" s="268">
        <v>46448</v>
      </c>
      <c r="AD288" s="252">
        <v>1773</v>
      </c>
      <c r="AE288" s="253">
        <v>1359416</v>
      </c>
      <c r="AF288" s="267">
        <v>1755</v>
      </c>
      <c r="AG288" s="268">
        <v>1351966</v>
      </c>
      <c r="AH288" s="252"/>
      <c r="AI288" s="253"/>
      <c r="AJ288" s="267"/>
      <c r="AK288" s="268"/>
      <c r="AL288" s="252"/>
      <c r="AM288" s="253"/>
      <c r="AN288" s="267"/>
      <c r="AO288" s="268"/>
      <c r="AP288" s="255">
        <f t="shared" si="56"/>
        <v>1773</v>
      </c>
      <c r="AQ288" s="256">
        <f t="shared" si="57"/>
        <v>38455793</v>
      </c>
      <c r="AR288" s="257">
        <f t="shared" si="58"/>
        <v>1755</v>
      </c>
      <c r="AS288" s="258">
        <f t="shared" si="59"/>
        <v>40315261</v>
      </c>
      <c r="AT288" s="259"/>
      <c r="AU288" s="253"/>
      <c r="AV288" s="267"/>
      <c r="AW288" s="268"/>
      <c r="AX288" s="252"/>
      <c r="AY288" s="253"/>
      <c r="AZ288" s="267"/>
      <c r="BA288" s="268"/>
      <c r="BB288" s="252"/>
      <c r="BC288" s="253"/>
      <c r="BD288" s="267"/>
      <c r="BE288" s="268"/>
      <c r="BF288" s="252"/>
      <c r="BG288" s="253"/>
      <c r="BH288" s="267"/>
      <c r="BI288" s="268"/>
      <c r="BJ288" s="252"/>
      <c r="BK288" s="253"/>
      <c r="BL288" s="267"/>
      <c r="BM288" s="268"/>
      <c r="BN288" s="252"/>
      <c r="BO288" s="253"/>
      <c r="BP288" s="267"/>
      <c r="BQ288" s="268"/>
      <c r="BR288" s="252"/>
      <c r="BS288" s="253"/>
      <c r="BT288" s="267"/>
      <c r="BU288" s="268"/>
      <c r="BV288" s="252"/>
      <c r="BW288" s="253"/>
      <c r="BX288" s="267"/>
      <c r="BY288" s="268"/>
      <c r="BZ288" s="252"/>
      <c r="CA288" s="253"/>
      <c r="CB288" s="267"/>
      <c r="CC288" s="268"/>
      <c r="CD288" s="255">
        <f t="shared" si="60"/>
        <v>0</v>
      </c>
      <c r="CE288" s="256">
        <f t="shared" si="61"/>
        <v>0</v>
      </c>
      <c r="CF288" s="257">
        <f t="shared" si="62"/>
        <v>0</v>
      </c>
      <c r="CG288" s="261">
        <f t="shared" si="63"/>
        <v>0</v>
      </c>
    </row>
    <row r="289" spans="1:85" s="263" customFormat="1" ht="12.75" customHeight="1">
      <c r="A289" s="418" t="s">
        <v>683</v>
      </c>
      <c r="B289" s="419" t="s">
        <v>505</v>
      </c>
      <c r="C289" s="419"/>
      <c r="D289" s="420">
        <v>199120</v>
      </c>
      <c r="E289" s="421">
        <v>1</v>
      </c>
      <c r="F289" s="252">
        <v>1628</v>
      </c>
      <c r="G289" s="253">
        <v>18591061</v>
      </c>
      <c r="H289" s="267">
        <v>1671</v>
      </c>
      <c r="I289" s="268">
        <v>20489328</v>
      </c>
      <c r="J289" s="252">
        <v>1628</v>
      </c>
      <c r="K289" s="253">
        <v>7369956</v>
      </c>
      <c r="L289" s="267">
        <v>1671</v>
      </c>
      <c r="M289" s="268">
        <v>8238030</v>
      </c>
      <c r="N289" s="252">
        <v>1628</v>
      </c>
      <c r="O289" s="253">
        <v>887839</v>
      </c>
      <c r="P289" s="267">
        <v>1671</v>
      </c>
      <c r="Q289" s="268">
        <v>910956</v>
      </c>
      <c r="R289" s="252">
        <v>1628</v>
      </c>
      <c r="S289" s="253">
        <v>11155535</v>
      </c>
      <c r="T289" s="267">
        <v>1671</v>
      </c>
      <c r="U289" s="268">
        <v>11619512</v>
      </c>
      <c r="V289" s="252">
        <v>1628</v>
      </c>
      <c r="W289" s="253">
        <v>154620</v>
      </c>
      <c r="X289" s="267">
        <v>1671</v>
      </c>
      <c r="Y289" s="268">
        <v>158494</v>
      </c>
      <c r="Z289" s="252">
        <v>310</v>
      </c>
      <c r="AA289" s="253">
        <v>47039</v>
      </c>
      <c r="AB289" s="267">
        <v>336</v>
      </c>
      <c r="AC289" s="268">
        <v>50874</v>
      </c>
      <c r="AD289" s="252">
        <v>1628</v>
      </c>
      <c r="AE289" s="253">
        <v>1494110</v>
      </c>
      <c r="AF289" s="267">
        <v>1671</v>
      </c>
      <c r="AG289" s="268">
        <v>1531681</v>
      </c>
      <c r="AH289" s="252"/>
      <c r="AI289" s="253"/>
      <c r="AJ289" s="267"/>
      <c r="AK289" s="268"/>
      <c r="AL289" s="252"/>
      <c r="AM289" s="253"/>
      <c r="AN289" s="267"/>
      <c r="AO289" s="268"/>
      <c r="AP289" s="255">
        <f t="shared" si="56"/>
        <v>1628</v>
      </c>
      <c r="AQ289" s="256">
        <f t="shared" si="57"/>
        <v>39700160</v>
      </c>
      <c r="AR289" s="257">
        <f t="shared" si="58"/>
        <v>1671</v>
      </c>
      <c r="AS289" s="258">
        <f t="shared" si="59"/>
        <v>42998875</v>
      </c>
      <c r="AT289" s="259"/>
      <c r="AU289" s="253"/>
      <c r="AV289" s="267"/>
      <c r="AW289" s="268"/>
      <c r="AX289" s="252"/>
      <c r="AY289" s="253"/>
      <c r="AZ289" s="267"/>
      <c r="BA289" s="268"/>
      <c r="BB289" s="252"/>
      <c r="BC289" s="253"/>
      <c r="BD289" s="267"/>
      <c r="BE289" s="268"/>
      <c r="BF289" s="252"/>
      <c r="BG289" s="253"/>
      <c r="BH289" s="267"/>
      <c r="BI289" s="268"/>
      <c r="BJ289" s="252"/>
      <c r="BK289" s="253"/>
      <c r="BL289" s="267"/>
      <c r="BM289" s="268"/>
      <c r="BN289" s="252"/>
      <c r="BO289" s="253"/>
      <c r="BP289" s="267"/>
      <c r="BQ289" s="268"/>
      <c r="BR289" s="252"/>
      <c r="BS289" s="253"/>
      <c r="BT289" s="267"/>
      <c r="BU289" s="268"/>
      <c r="BV289" s="252"/>
      <c r="BW289" s="253"/>
      <c r="BX289" s="267"/>
      <c r="BY289" s="268"/>
      <c r="BZ289" s="252"/>
      <c r="CA289" s="253"/>
      <c r="CB289" s="267"/>
      <c r="CC289" s="268"/>
      <c r="CD289" s="255">
        <f t="shared" si="60"/>
        <v>0</v>
      </c>
      <c r="CE289" s="256">
        <f t="shared" si="61"/>
        <v>0</v>
      </c>
      <c r="CF289" s="257">
        <f t="shared" si="62"/>
        <v>0</v>
      </c>
      <c r="CG289" s="261">
        <f t="shared" si="63"/>
        <v>0</v>
      </c>
    </row>
    <row r="290" spans="1:85" s="263" customFormat="1" ht="12.75" customHeight="1">
      <c r="A290" s="418" t="s">
        <v>683</v>
      </c>
      <c r="B290" s="419" t="s">
        <v>510</v>
      </c>
      <c r="C290" s="419"/>
      <c r="D290" s="420">
        <v>199139</v>
      </c>
      <c r="E290" s="421">
        <v>2</v>
      </c>
      <c r="F290" s="252">
        <v>953</v>
      </c>
      <c r="G290" s="253">
        <v>7893303</v>
      </c>
      <c r="H290" s="267">
        <v>949</v>
      </c>
      <c r="I290" s="268">
        <v>8501614</v>
      </c>
      <c r="J290" s="252">
        <v>953</v>
      </c>
      <c r="K290" s="253">
        <v>4314231</v>
      </c>
      <c r="L290" s="267">
        <v>949</v>
      </c>
      <c r="M290" s="268">
        <v>4678570</v>
      </c>
      <c r="N290" s="252">
        <v>953</v>
      </c>
      <c r="O290" s="253">
        <v>383195</v>
      </c>
      <c r="P290" s="267">
        <v>949</v>
      </c>
      <c r="Q290" s="268">
        <v>384505</v>
      </c>
      <c r="R290" s="252">
        <v>953</v>
      </c>
      <c r="S290" s="253">
        <v>5385383</v>
      </c>
      <c r="T290" s="267">
        <v>949</v>
      </c>
      <c r="U290" s="268">
        <v>5417780</v>
      </c>
      <c r="V290" s="252">
        <v>953</v>
      </c>
      <c r="W290" s="253">
        <v>66384</v>
      </c>
      <c r="X290" s="267">
        <v>949</v>
      </c>
      <c r="Y290" s="268">
        <v>66612</v>
      </c>
      <c r="Z290" s="252">
        <v>231</v>
      </c>
      <c r="AA290" s="253">
        <v>26596</v>
      </c>
      <c r="AB290" s="267">
        <v>254</v>
      </c>
      <c r="AC290" s="268">
        <v>29002</v>
      </c>
      <c r="AD290" s="252">
        <v>953</v>
      </c>
      <c r="AE290" s="253">
        <v>641487</v>
      </c>
      <c r="AF290" s="267">
        <v>949</v>
      </c>
      <c r="AG290" s="268">
        <v>643635</v>
      </c>
      <c r="AH290" s="252"/>
      <c r="AI290" s="253"/>
      <c r="AJ290" s="267"/>
      <c r="AK290" s="268"/>
      <c r="AL290" s="252"/>
      <c r="AM290" s="253"/>
      <c r="AN290" s="267"/>
      <c r="AO290" s="268"/>
      <c r="AP290" s="255">
        <f t="shared" si="56"/>
        <v>953</v>
      </c>
      <c r="AQ290" s="256">
        <f t="shared" si="57"/>
        <v>18710579</v>
      </c>
      <c r="AR290" s="257">
        <f t="shared" si="58"/>
        <v>949</v>
      </c>
      <c r="AS290" s="258">
        <f t="shared" si="59"/>
        <v>19721718</v>
      </c>
      <c r="AT290" s="259"/>
      <c r="AU290" s="253"/>
      <c r="AV290" s="267"/>
      <c r="AW290" s="268"/>
      <c r="AX290" s="252"/>
      <c r="AY290" s="253"/>
      <c r="AZ290" s="267"/>
      <c r="BA290" s="268"/>
      <c r="BB290" s="252"/>
      <c r="BC290" s="253"/>
      <c r="BD290" s="267"/>
      <c r="BE290" s="268"/>
      <c r="BF290" s="252"/>
      <c r="BG290" s="253"/>
      <c r="BH290" s="267"/>
      <c r="BI290" s="268"/>
      <c r="BJ290" s="252"/>
      <c r="BK290" s="253"/>
      <c r="BL290" s="267"/>
      <c r="BM290" s="268"/>
      <c r="BN290" s="252"/>
      <c r="BO290" s="253"/>
      <c r="BP290" s="267"/>
      <c r="BQ290" s="268"/>
      <c r="BR290" s="252"/>
      <c r="BS290" s="253"/>
      <c r="BT290" s="267"/>
      <c r="BU290" s="268"/>
      <c r="BV290" s="252"/>
      <c r="BW290" s="253"/>
      <c r="BX290" s="267"/>
      <c r="BY290" s="268"/>
      <c r="BZ290" s="252"/>
      <c r="CA290" s="253"/>
      <c r="CB290" s="267"/>
      <c r="CC290" s="268"/>
      <c r="CD290" s="255">
        <f t="shared" si="60"/>
        <v>0</v>
      </c>
      <c r="CE290" s="256">
        <f t="shared" si="61"/>
        <v>0</v>
      </c>
      <c r="CF290" s="257">
        <f t="shared" si="62"/>
        <v>0</v>
      </c>
      <c r="CG290" s="261">
        <f t="shared" si="63"/>
        <v>0</v>
      </c>
    </row>
    <row r="291" spans="1:85" s="263" customFormat="1" ht="12.75" customHeight="1">
      <c r="A291" s="418" t="s">
        <v>683</v>
      </c>
      <c r="B291" s="460" t="s">
        <v>506</v>
      </c>
      <c r="C291" s="513" t="s">
        <v>1249</v>
      </c>
      <c r="D291" s="420">
        <v>199148</v>
      </c>
      <c r="E291" s="421">
        <v>2</v>
      </c>
      <c r="F291" s="252">
        <v>788</v>
      </c>
      <c r="G291" s="253">
        <v>6391668</v>
      </c>
      <c r="H291" s="267">
        <v>839</v>
      </c>
      <c r="I291" s="268">
        <v>7234398</v>
      </c>
      <c r="J291" s="252">
        <v>788</v>
      </c>
      <c r="K291" s="253">
        <v>3567276</v>
      </c>
      <c r="L291" s="267">
        <v>839</v>
      </c>
      <c r="M291" s="268">
        <v>4136270</v>
      </c>
      <c r="N291" s="252">
        <v>788</v>
      </c>
      <c r="O291" s="253">
        <v>303215</v>
      </c>
      <c r="P291" s="267">
        <v>839</v>
      </c>
      <c r="Q291" s="268">
        <v>319789</v>
      </c>
      <c r="R291" s="252">
        <v>788</v>
      </c>
      <c r="S291" s="253">
        <v>4285315</v>
      </c>
      <c r="T291" s="267">
        <v>839</v>
      </c>
      <c r="U291" s="268">
        <v>4551543</v>
      </c>
      <c r="V291" s="252">
        <v>788</v>
      </c>
      <c r="W291" s="253">
        <v>52504</v>
      </c>
      <c r="X291" s="267">
        <v>839</v>
      </c>
      <c r="Y291" s="268">
        <v>55372</v>
      </c>
      <c r="Z291" s="252">
        <v>139</v>
      </c>
      <c r="AA291" s="253">
        <v>13996</v>
      </c>
      <c r="AB291" s="267">
        <v>157</v>
      </c>
      <c r="AC291" s="268">
        <v>15685</v>
      </c>
      <c r="AD291" s="252">
        <v>788</v>
      </c>
      <c r="AE291" s="253">
        <v>507304</v>
      </c>
      <c r="AF291" s="267">
        <v>839</v>
      </c>
      <c r="AG291" s="268">
        <v>535039</v>
      </c>
      <c r="AH291" s="252"/>
      <c r="AI291" s="253"/>
      <c r="AJ291" s="267"/>
      <c r="AK291" s="268"/>
      <c r="AL291" s="252"/>
      <c r="AM291" s="253"/>
      <c r="AN291" s="267"/>
      <c r="AO291" s="268"/>
      <c r="AP291" s="255">
        <f t="shared" si="56"/>
        <v>788</v>
      </c>
      <c r="AQ291" s="256">
        <f t="shared" si="57"/>
        <v>15121278</v>
      </c>
      <c r="AR291" s="257">
        <f t="shared" si="58"/>
        <v>839</v>
      </c>
      <c r="AS291" s="258">
        <f t="shared" si="59"/>
        <v>16848096</v>
      </c>
      <c r="AT291" s="259"/>
      <c r="AU291" s="253"/>
      <c r="AV291" s="267"/>
      <c r="AW291" s="268"/>
      <c r="AX291" s="252"/>
      <c r="AY291" s="253"/>
      <c r="AZ291" s="267"/>
      <c r="BA291" s="268"/>
      <c r="BB291" s="252"/>
      <c r="BC291" s="253"/>
      <c r="BD291" s="267"/>
      <c r="BE291" s="268"/>
      <c r="BF291" s="252"/>
      <c r="BG291" s="253"/>
      <c r="BH291" s="267"/>
      <c r="BI291" s="268"/>
      <c r="BJ291" s="252"/>
      <c r="BK291" s="253"/>
      <c r="BL291" s="267"/>
      <c r="BM291" s="268"/>
      <c r="BN291" s="252"/>
      <c r="BO291" s="253"/>
      <c r="BP291" s="267"/>
      <c r="BQ291" s="268"/>
      <c r="BR291" s="252"/>
      <c r="BS291" s="253"/>
      <c r="BT291" s="267"/>
      <c r="BU291" s="268"/>
      <c r="BV291" s="252"/>
      <c r="BW291" s="253"/>
      <c r="BX291" s="267"/>
      <c r="BY291" s="268"/>
      <c r="BZ291" s="252"/>
      <c r="CA291" s="253"/>
      <c r="CB291" s="267"/>
      <c r="CC291" s="268"/>
      <c r="CD291" s="255">
        <f t="shared" si="60"/>
        <v>0</v>
      </c>
      <c r="CE291" s="256">
        <f t="shared" si="61"/>
        <v>0</v>
      </c>
      <c r="CF291" s="257">
        <f t="shared" si="62"/>
        <v>0</v>
      </c>
      <c r="CG291" s="261">
        <f t="shared" si="63"/>
        <v>0</v>
      </c>
    </row>
    <row r="292" spans="1:85" s="263" customFormat="1" ht="12.75" customHeight="1">
      <c r="A292" s="418" t="s">
        <v>683</v>
      </c>
      <c r="B292" s="419" t="s">
        <v>507</v>
      </c>
      <c r="C292" s="419"/>
      <c r="D292" s="420">
        <v>197869</v>
      </c>
      <c r="E292" s="421">
        <v>3</v>
      </c>
      <c r="F292" s="252">
        <v>824</v>
      </c>
      <c r="G292" s="253">
        <v>6201688</v>
      </c>
      <c r="H292" s="267">
        <v>862</v>
      </c>
      <c r="I292" s="268">
        <v>6881965</v>
      </c>
      <c r="J292" s="252">
        <v>824</v>
      </c>
      <c r="K292" s="253">
        <v>3730248</v>
      </c>
      <c r="L292" s="267">
        <v>862</v>
      </c>
      <c r="M292" s="268">
        <v>4249660</v>
      </c>
      <c r="N292" s="252">
        <v>824</v>
      </c>
      <c r="O292" s="253">
        <v>299185</v>
      </c>
      <c r="P292" s="267">
        <v>862</v>
      </c>
      <c r="Q292" s="268">
        <v>307667</v>
      </c>
      <c r="R292" s="252">
        <v>824</v>
      </c>
      <c r="S292" s="253">
        <v>4330292</v>
      </c>
      <c r="T292" s="267">
        <v>862</v>
      </c>
      <c r="U292" s="268">
        <v>4473668</v>
      </c>
      <c r="V292" s="252">
        <v>824</v>
      </c>
      <c r="W292" s="253">
        <v>51800</v>
      </c>
      <c r="X292" s="267">
        <v>862</v>
      </c>
      <c r="Y292" s="268">
        <v>53267</v>
      </c>
      <c r="Z292" s="252">
        <v>186</v>
      </c>
      <c r="AA292" s="253">
        <v>18885</v>
      </c>
      <c r="AB292" s="267">
        <v>196</v>
      </c>
      <c r="AC292" s="268">
        <v>19133</v>
      </c>
      <c r="AD292" s="252">
        <v>824</v>
      </c>
      <c r="AE292" s="253">
        <v>500573</v>
      </c>
      <c r="AF292" s="267">
        <v>862</v>
      </c>
      <c r="AG292" s="268">
        <v>514770</v>
      </c>
      <c r="AH292" s="252"/>
      <c r="AI292" s="253"/>
      <c r="AJ292" s="267"/>
      <c r="AK292" s="268"/>
      <c r="AL292" s="252"/>
      <c r="AM292" s="253"/>
      <c r="AN292" s="267"/>
      <c r="AO292" s="268"/>
      <c r="AP292" s="255">
        <f t="shared" si="56"/>
        <v>824</v>
      </c>
      <c r="AQ292" s="256">
        <f t="shared" si="57"/>
        <v>15132671</v>
      </c>
      <c r="AR292" s="257">
        <f t="shared" si="58"/>
        <v>862</v>
      </c>
      <c r="AS292" s="258">
        <f t="shared" si="59"/>
        <v>16500130</v>
      </c>
      <c r="AT292" s="259"/>
      <c r="AU292" s="253"/>
      <c r="AV292" s="267"/>
      <c r="AW292" s="268"/>
      <c r="AX292" s="252"/>
      <c r="AY292" s="253"/>
      <c r="AZ292" s="267"/>
      <c r="BA292" s="268"/>
      <c r="BB292" s="252"/>
      <c r="BC292" s="253"/>
      <c r="BD292" s="267"/>
      <c r="BE292" s="268"/>
      <c r="BF292" s="252"/>
      <c r="BG292" s="253"/>
      <c r="BH292" s="267"/>
      <c r="BI292" s="268"/>
      <c r="BJ292" s="252"/>
      <c r="BK292" s="253"/>
      <c r="BL292" s="267"/>
      <c r="BM292" s="268"/>
      <c r="BN292" s="252"/>
      <c r="BO292" s="253"/>
      <c r="BP292" s="267"/>
      <c r="BQ292" s="268"/>
      <c r="BR292" s="252"/>
      <c r="BS292" s="253"/>
      <c r="BT292" s="267"/>
      <c r="BU292" s="268"/>
      <c r="BV292" s="252"/>
      <c r="BW292" s="253"/>
      <c r="BX292" s="267"/>
      <c r="BY292" s="268"/>
      <c r="BZ292" s="252"/>
      <c r="CA292" s="253"/>
      <c r="CB292" s="267"/>
      <c r="CC292" s="268"/>
      <c r="CD292" s="255">
        <f t="shared" si="60"/>
        <v>0</v>
      </c>
      <c r="CE292" s="256">
        <f t="shared" si="61"/>
        <v>0</v>
      </c>
      <c r="CF292" s="257">
        <f t="shared" si="62"/>
        <v>0</v>
      </c>
      <c r="CG292" s="261">
        <f t="shared" si="63"/>
        <v>0</v>
      </c>
    </row>
    <row r="293" spans="1:85" s="263" customFormat="1" ht="12.75" customHeight="1">
      <c r="A293" s="418" t="s">
        <v>683</v>
      </c>
      <c r="B293" s="460" t="s">
        <v>508</v>
      </c>
      <c r="C293" s="513" t="s">
        <v>1184</v>
      </c>
      <c r="D293" s="420">
        <v>198464</v>
      </c>
      <c r="E293" s="421">
        <v>3</v>
      </c>
      <c r="F293" s="252">
        <v>1234</v>
      </c>
      <c r="G293" s="253">
        <v>9185146</v>
      </c>
      <c r="H293" s="267">
        <v>1246</v>
      </c>
      <c r="I293" s="268">
        <v>10043712</v>
      </c>
      <c r="J293" s="252">
        <v>1234</v>
      </c>
      <c r="K293" s="253">
        <v>5586318</v>
      </c>
      <c r="L293" s="267">
        <v>1246</v>
      </c>
      <c r="M293" s="268">
        <v>6142780</v>
      </c>
      <c r="N293" s="252">
        <v>1234</v>
      </c>
      <c r="O293" s="253">
        <v>451494</v>
      </c>
      <c r="P293" s="267">
        <v>1246</v>
      </c>
      <c r="Q293" s="268">
        <v>455495</v>
      </c>
      <c r="R293" s="252">
        <v>1234</v>
      </c>
      <c r="S293" s="253">
        <v>6524060</v>
      </c>
      <c r="T293" s="267">
        <v>1246</v>
      </c>
      <c r="U293" s="268">
        <v>6604924</v>
      </c>
      <c r="V293" s="252">
        <v>1234</v>
      </c>
      <c r="W293" s="253">
        <v>78150</v>
      </c>
      <c r="X293" s="267">
        <v>1246</v>
      </c>
      <c r="Y293" s="268">
        <v>78843</v>
      </c>
      <c r="Z293" s="252">
        <v>362</v>
      </c>
      <c r="AA293" s="253">
        <v>36881</v>
      </c>
      <c r="AB293" s="267">
        <v>351</v>
      </c>
      <c r="AC293" s="268">
        <v>35796</v>
      </c>
      <c r="AD293" s="252">
        <v>1234</v>
      </c>
      <c r="AE293" s="253">
        <v>755399</v>
      </c>
      <c r="AF293" s="267">
        <v>1246</v>
      </c>
      <c r="AG293" s="268">
        <v>762103</v>
      </c>
      <c r="AH293" s="252"/>
      <c r="AI293" s="253"/>
      <c r="AJ293" s="267"/>
      <c r="AK293" s="268"/>
      <c r="AL293" s="252"/>
      <c r="AM293" s="253"/>
      <c r="AN293" s="267"/>
      <c r="AO293" s="268"/>
      <c r="AP293" s="255">
        <f t="shared" si="56"/>
        <v>1234</v>
      </c>
      <c r="AQ293" s="256">
        <f t="shared" si="57"/>
        <v>22617448</v>
      </c>
      <c r="AR293" s="257">
        <f t="shared" si="58"/>
        <v>1246</v>
      </c>
      <c r="AS293" s="258">
        <f t="shared" si="59"/>
        <v>24123653</v>
      </c>
      <c r="AT293" s="259"/>
      <c r="AU293" s="253"/>
      <c r="AV293" s="267"/>
      <c r="AW293" s="268"/>
      <c r="AX293" s="252"/>
      <c r="AY293" s="253"/>
      <c r="AZ293" s="267"/>
      <c r="BA293" s="268"/>
      <c r="BB293" s="252"/>
      <c r="BC293" s="253"/>
      <c r="BD293" s="267"/>
      <c r="BE293" s="268"/>
      <c r="BF293" s="252"/>
      <c r="BG293" s="253"/>
      <c r="BH293" s="267"/>
      <c r="BI293" s="268"/>
      <c r="BJ293" s="252"/>
      <c r="BK293" s="253"/>
      <c r="BL293" s="267"/>
      <c r="BM293" s="268"/>
      <c r="BN293" s="252"/>
      <c r="BO293" s="253"/>
      <c r="BP293" s="267"/>
      <c r="BQ293" s="268"/>
      <c r="BR293" s="252"/>
      <c r="BS293" s="253"/>
      <c r="BT293" s="267"/>
      <c r="BU293" s="268"/>
      <c r="BV293" s="252"/>
      <c r="BW293" s="253"/>
      <c r="BX293" s="267"/>
      <c r="BY293" s="268"/>
      <c r="BZ293" s="252"/>
      <c r="CA293" s="253"/>
      <c r="CB293" s="267"/>
      <c r="CC293" s="268"/>
      <c r="CD293" s="255">
        <f t="shared" si="60"/>
        <v>0</v>
      </c>
      <c r="CE293" s="256">
        <f t="shared" si="61"/>
        <v>0</v>
      </c>
      <c r="CF293" s="257">
        <f t="shared" si="62"/>
        <v>0</v>
      </c>
      <c r="CG293" s="261">
        <f t="shared" si="63"/>
        <v>0</v>
      </c>
    </row>
    <row r="294" spans="1:85" s="263" customFormat="1" ht="12.75" customHeight="1">
      <c r="A294" s="418" t="s">
        <v>683</v>
      </c>
      <c r="B294" s="419" t="s">
        <v>8</v>
      </c>
      <c r="C294" s="419"/>
      <c r="D294" s="420">
        <v>199102</v>
      </c>
      <c r="E294" s="421">
        <v>3</v>
      </c>
      <c r="F294" s="252">
        <v>522</v>
      </c>
      <c r="G294" s="253">
        <v>3848769</v>
      </c>
      <c r="H294" s="267">
        <v>519</v>
      </c>
      <c r="I294" s="268">
        <v>4195099</v>
      </c>
      <c r="J294" s="252">
        <v>522</v>
      </c>
      <c r="K294" s="253">
        <v>2363094</v>
      </c>
      <c r="L294" s="267">
        <v>519</v>
      </c>
      <c r="M294" s="268">
        <v>2558670</v>
      </c>
      <c r="N294" s="252">
        <v>522</v>
      </c>
      <c r="O294" s="253">
        <v>196551</v>
      </c>
      <c r="P294" s="267">
        <v>519</v>
      </c>
      <c r="Q294" s="268">
        <v>196681</v>
      </c>
      <c r="R294" s="252">
        <v>522</v>
      </c>
      <c r="S294" s="253">
        <v>2853331</v>
      </c>
      <c r="T294" s="267">
        <v>519</v>
      </c>
      <c r="U294" s="268">
        <v>2864424</v>
      </c>
      <c r="V294" s="252">
        <v>522</v>
      </c>
      <c r="W294" s="253">
        <v>34022</v>
      </c>
      <c r="X294" s="267">
        <v>519</v>
      </c>
      <c r="Y294" s="268">
        <v>34054</v>
      </c>
      <c r="Z294" s="252">
        <v>209</v>
      </c>
      <c r="AA294" s="253">
        <v>23274</v>
      </c>
      <c r="AB294" s="267">
        <v>209</v>
      </c>
      <c r="AC294" s="268">
        <v>22737</v>
      </c>
      <c r="AD294" s="252">
        <v>522</v>
      </c>
      <c r="AE294" s="253">
        <v>328846</v>
      </c>
      <c r="AF294" s="267">
        <v>519</v>
      </c>
      <c r="AG294" s="268">
        <v>329059</v>
      </c>
      <c r="AH294" s="252"/>
      <c r="AI294" s="253"/>
      <c r="AJ294" s="267"/>
      <c r="AK294" s="268"/>
      <c r="AL294" s="252"/>
      <c r="AM294" s="253"/>
      <c r="AN294" s="267"/>
      <c r="AO294" s="268"/>
      <c r="AP294" s="255">
        <f t="shared" si="56"/>
        <v>522</v>
      </c>
      <c r="AQ294" s="256">
        <f t="shared" si="57"/>
        <v>9647887</v>
      </c>
      <c r="AR294" s="257">
        <f t="shared" si="58"/>
        <v>519</v>
      </c>
      <c r="AS294" s="258">
        <f t="shared" si="59"/>
        <v>10200724</v>
      </c>
      <c r="AT294" s="259"/>
      <c r="AU294" s="253"/>
      <c r="AV294" s="267"/>
      <c r="AW294" s="268"/>
      <c r="AX294" s="252"/>
      <c r="AY294" s="253"/>
      <c r="AZ294" s="267"/>
      <c r="BA294" s="268"/>
      <c r="BB294" s="252"/>
      <c r="BC294" s="253"/>
      <c r="BD294" s="267"/>
      <c r="BE294" s="268"/>
      <c r="BF294" s="252"/>
      <c r="BG294" s="253"/>
      <c r="BH294" s="267"/>
      <c r="BI294" s="268"/>
      <c r="BJ294" s="252"/>
      <c r="BK294" s="253"/>
      <c r="BL294" s="267"/>
      <c r="BM294" s="268"/>
      <c r="BN294" s="252"/>
      <c r="BO294" s="253"/>
      <c r="BP294" s="267"/>
      <c r="BQ294" s="268"/>
      <c r="BR294" s="252"/>
      <c r="BS294" s="253"/>
      <c r="BT294" s="267"/>
      <c r="BU294" s="268"/>
      <c r="BV294" s="252"/>
      <c r="BW294" s="253"/>
      <c r="BX294" s="267"/>
      <c r="BY294" s="268"/>
      <c r="BZ294" s="252"/>
      <c r="CA294" s="253"/>
      <c r="CB294" s="267"/>
      <c r="CC294" s="268"/>
      <c r="CD294" s="255">
        <f t="shared" si="60"/>
        <v>0</v>
      </c>
      <c r="CE294" s="256">
        <f t="shared" si="61"/>
        <v>0</v>
      </c>
      <c r="CF294" s="257">
        <f t="shared" si="62"/>
        <v>0</v>
      </c>
      <c r="CG294" s="261">
        <f t="shared" si="63"/>
        <v>0</v>
      </c>
    </row>
    <row r="295" spans="1:85" s="263" customFormat="1" ht="12.75" customHeight="1">
      <c r="A295" s="418" t="s">
        <v>683</v>
      </c>
      <c r="B295" s="419" t="s">
        <v>509</v>
      </c>
      <c r="C295" s="419"/>
      <c r="D295" s="420">
        <v>199157</v>
      </c>
      <c r="E295" s="421">
        <v>3</v>
      </c>
      <c r="F295" s="252">
        <v>369</v>
      </c>
      <c r="G295" s="253">
        <v>2901665</v>
      </c>
      <c r="H295" s="267">
        <v>412</v>
      </c>
      <c r="I295" s="268">
        <v>3394147</v>
      </c>
      <c r="J295" s="252">
        <v>369</v>
      </c>
      <c r="K295" s="253">
        <v>1670463</v>
      </c>
      <c r="L295" s="267">
        <v>412</v>
      </c>
      <c r="M295" s="268">
        <v>2031160</v>
      </c>
      <c r="N295" s="252">
        <v>369</v>
      </c>
      <c r="O295" s="253">
        <v>140626</v>
      </c>
      <c r="P295" s="267">
        <v>412</v>
      </c>
      <c r="Q295" s="268">
        <v>153266</v>
      </c>
      <c r="R295" s="252">
        <v>369</v>
      </c>
      <c r="S295" s="253">
        <v>2025140</v>
      </c>
      <c r="T295" s="267">
        <v>412</v>
      </c>
      <c r="U295" s="268">
        <v>2211960</v>
      </c>
      <c r="V295" s="252">
        <v>369</v>
      </c>
      <c r="W295" s="253">
        <v>24342</v>
      </c>
      <c r="X295" s="267">
        <v>412</v>
      </c>
      <c r="Y295" s="268">
        <v>26532</v>
      </c>
      <c r="Z295" s="252">
        <v>75</v>
      </c>
      <c r="AA295" s="253">
        <v>9526</v>
      </c>
      <c r="AB295" s="267">
        <v>95</v>
      </c>
      <c r="AC295" s="268">
        <v>11301</v>
      </c>
      <c r="AD295" s="252">
        <v>369</v>
      </c>
      <c r="AE295" s="253">
        <v>235296</v>
      </c>
      <c r="AF295" s="267">
        <v>412</v>
      </c>
      <c r="AG295" s="268">
        <v>256444</v>
      </c>
      <c r="AH295" s="252"/>
      <c r="AI295" s="253"/>
      <c r="AJ295" s="267"/>
      <c r="AK295" s="268"/>
      <c r="AL295" s="252"/>
      <c r="AM295" s="253"/>
      <c r="AN295" s="267"/>
      <c r="AO295" s="268"/>
      <c r="AP295" s="255">
        <f t="shared" si="56"/>
        <v>369</v>
      </c>
      <c r="AQ295" s="256">
        <f t="shared" si="57"/>
        <v>7007058</v>
      </c>
      <c r="AR295" s="257">
        <f t="shared" si="58"/>
        <v>412</v>
      </c>
      <c r="AS295" s="258">
        <f t="shared" si="59"/>
        <v>8084810</v>
      </c>
      <c r="AT295" s="259"/>
      <c r="AU295" s="253"/>
      <c r="AV295" s="267"/>
      <c r="AW295" s="268"/>
      <c r="AX295" s="252"/>
      <c r="AY295" s="253"/>
      <c r="AZ295" s="267"/>
      <c r="BA295" s="268"/>
      <c r="BB295" s="252"/>
      <c r="BC295" s="253"/>
      <c r="BD295" s="267"/>
      <c r="BE295" s="268"/>
      <c r="BF295" s="252"/>
      <c r="BG295" s="253"/>
      <c r="BH295" s="267"/>
      <c r="BI295" s="268"/>
      <c r="BJ295" s="252"/>
      <c r="BK295" s="253"/>
      <c r="BL295" s="267"/>
      <c r="BM295" s="268"/>
      <c r="BN295" s="252"/>
      <c r="BO295" s="253"/>
      <c r="BP295" s="267"/>
      <c r="BQ295" s="268"/>
      <c r="BR295" s="252"/>
      <c r="BS295" s="253"/>
      <c r="BT295" s="267"/>
      <c r="BU295" s="268"/>
      <c r="BV295" s="252"/>
      <c r="BW295" s="253"/>
      <c r="BX295" s="267"/>
      <c r="BY295" s="268"/>
      <c r="BZ295" s="252"/>
      <c r="CA295" s="253"/>
      <c r="CB295" s="267"/>
      <c r="CC295" s="268"/>
      <c r="CD295" s="255">
        <f t="shared" si="60"/>
        <v>0</v>
      </c>
      <c r="CE295" s="256">
        <f t="shared" si="61"/>
        <v>0</v>
      </c>
      <c r="CF295" s="257">
        <f t="shared" si="62"/>
        <v>0</v>
      </c>
      <c r="CG295" s="261">
        <f t="shared" si="63"/>
        <v>0</v>
      </c>
    </row>
    <row r="296" spans="1:85" s="263" customFormat="1" ht="12.75" customHeight="1">
      <c r="A296" s="418" t="s">
        <v>683</v>
      </c>
      <c r="B296" s="419" t="s">
        <v>511</v>
      </c>
      <c r="C296" s="419"/>
      <c r="D296" s="420">
        <v>199218</v>
      </c>
      <c r="E296" s="421">
        <v>3</v>
      </c>
      <c r="F296" s="252">
        <v>617</v>
      </c>
      <c r="G296" s="253">
        <v>4741150</v>
      </c>
      <c r="H296" s="267">
        <v>617</v>
      </c>
      <c r="I296" s="268">
        <v>5119534</v>
      </c>
      <c r="J296" s="252">
        <v>617</v>
      </c>
      <c r="K296" s="253">
        <v>2793159</v>
      </c>
      <c r="L296" s="267">
        <v>617</v>
      </c>
      <c r="M296" s="268">
        <v>3041810</v>
      </c>
      <c r="N296" s="252">
        <v>617</v>
      </c>
      <c r="O296" s="253">
        <v>230195</v>
      </c>
      <c r="P296" s="267">
        <v>617</v>
      </c>
      <c r="Q296" s="268">
        <v>230430</v>
      </c>
      <c r="R296" s="252">
        <v>617</v>
      </c>
      <c r="S296" s="253">
        <v>3317539</v>
      </c>
      <c r="T296" s="267">
        <v>617</v>
      </c>
      <c r="U296" s="268">
        <v>3341294</v>
      </c>
      <c r="V296" s="252">
        <v>617</v>
      </c>
      <c r="W296" s="253">
        <v>39849</v>
      </c>
      <c r="X296" s="267">
        <v>617</v>
      </c>
      <c r="Y296" s="268">
        <v>39888</v>
      </c>
      <c r="Z296" s="252">
        <v>152</v>
      </c>
      <c r="AA296" s="253">
        <v>15999</v>
      </c>
      <c r="AB296" s="267">
        <v>154</v>
      </c>
      <c r="AC296" s="268">
        <v>16125</v>
      </c>
      <c r="AD296" s="252">
        <v>617</v>
      </c>
      <c r="AE296" s="253">
        <v>385131</v>
      </c>
      <c r="AF296" s="267">
        <v>617</v>
      </c>
      <c r="AG296" s="268">
        <v>385534</v>
      </c>
      <c r="AH296" s="252"/>
      <c r="AI296" s="253"/>
      <c r="AJ296" s="267"/>
      <c r="AK296" s="268"/>
      <c r="AL296" s="252"/>
      <c r="AM296" s="253"/>
      <c r="AN296" s="267"/>
      <c r="AO296" s="268"/>
      <c r="AP296" s="255">
        <f t="shared" si="56"/>
        <v>617</v>
      </c>
      <c r="AQ296" s="256">
        <f t="shared" si="57"/>
        <v>11523022</v>
      </c>
      <c r="AR296" s="257">
        <f t="shared" si="58"/>
        <v>617</v>
      </c>
      <c r="AS296" s="258">
        <f t="shared" si="59"/>
        <v>12174615</v>
      </c>
      <c r="AT296" s="259"/>
      <c r="AU296" s="253"/>
      <c r="AV296" s="267"/>
      <c r="AW296" s="268"/>
      <c r="AX296" s="252"/>
      <c r="AY296" s="253"/>
      <c r="AZ296" s="267"/>
      <c r="BA296" s="268"/>
      <c r="BB296" s="252"/>
      <c r="BC296" s="253"/>
      <c r="BD296" s="267"/>
      <c r="BE296" s="268"/>
      <c r="BF296" s="252"/>
      <c r="BG296" s="253"/>
      <c r="BH296" s="267"/>
      <c r="BI296" s="268"/>
      <c r="BJ296" s="252"/>
      <c r="BK296" s="253"/>
      <c r="BL296" s="267"/>
      <c r="BM296" s="268"/>
      <c r="BN296" s="252"/>
      <c r="BO296" s="253"/>
      <c r="BP296" s="267"/>
      <c r="BQ296" s="268"/>
      <c r="BR296" s="252"/>
      <c r="BS296" s="253"/>
      <c r="BT296" s="267"/>
      <c r="BU296" s="268"/>
      <c r="BV296" s="252"/>
      <c r="BW296" s="253"/>
      <c r="BX296" s="267"/>
      <c r="BY296" s="268"/>
      <c r="BZ296" s="252"/>
      <c r="CA296" s="253"/>
      <c r="CB296" s="267"/>
      <c r="CC296" s="268"/>
      <c r="CD296" s="255">
        <f t="shared" si="60"/>
        <v>0</v>
      </c>
      <c r="CE296" s="256">
        <f t="shared" si="61"/>
        <v>0</v>
      </c>
      <c r="CF296" s="257">
        <f t="shared" si="62"/>
        <v>0</v>
      </c>
      <c r="CG296" s="261">
        <f t="shared" si="63"/>
        <v>0</v>
      </c>
    </row>
    <row r="297" spans="1:85" s="263" customFormat="1" ht="12.75" customHeight="1">
      <c r="A297" s="418" t="s">
        <v>683</v>
      </c>
      <c r="B297" s="419" t="s">
        <v>512</v>
      </c>
      <c r="C297" s="419"/>
      <c r="D297" s="420">
        <v>200004</v>
      </c>
      <c r="E297" s="421">
        <v>3</v>
      </c>
      <c r="F297" s="252">
        <v>460</v>
      </c>
      <c r="G297" s="253">
        <v>3320303</v>
      </c>
      <c r="H297" s="267">
        <v>451</v>
      </c>
      <c r="I297" s="268">
        <v>3498027</v>
      </c>
      <c r="J297" s="252">
        <v>460</v>
      </c>
      <c r="K297" s="253">
        <v>2082420</v>
      </c>
      <c r="L297" s="267">
        <v>451</v>
      </c>
      <c r="M297" s="268">
        <v>2223430</v>
      </c>
      <c r="N297" s="252">
        <v>460</v>
      </c>
      <c r="O297" s="253">
        <v>162553</v>
      </c>
      <c r="P297" s="267">
        <v>451</v>
      </c>
      <c r="Q297" s="268">
        <v>158880</v>
      </c>
      <c r="R297" s="252">
        <v>460</v>
      </c>
      <c r="S297" s="253">
        <v>2366893</v>
      </c>
      <c r="T297" s="267">
        <v>451</v>
      </c>
      <c r="U297" s="268">
        <v>2320969</v>
      </c>
      <c r="V297" s="252">
        <v>460</v>
      </c>
      <c r="W297" s="253">
        <v>28141</v>
      </c>
      <c r="X297" s="267">
        <v>451</v>
      </c>
      <c r="Y297" s="268">
        <v>27511</v>
      </c>
      <c r="Z297" s="252">
        <v>122</v>
      </c>
      <c r="AA297" s="253">
        <v>12632</v>
      </c>
      <c r="AB297" s="267">
        <v>121</v>
      </c>
      <c r="AC297" s="268">
        <v>12751</v>
      </c>
      <c r="AD297" s="252">
        <v>460</v>
      </c>
      <c r="AE297" s="253">
        <v>271965</v>
      </c>
      <c r="AF297" s="267">
        <v>451</v>
      </c>
      <c r="AG297" s="268">
        <v>265817</v>
      </c>
      <c r="AH297" s="252"/>
      <c r="AI297" s="253"/>
      <c r="AJ297" s="267"/>
      <c r="AK297" s="268"/>
      <c r="AL297" s="252"/>
      <c r="AM297" s="253"/>
      <c r="AN297" s="267"/>
      <c r="AO297" s="268"/>
      <c r="AP297" s="255">
        <f t="shared" si="56"/>
        <v>460</v>
      </c>
      <c r="AQ297" s="256">
        <f t="shared" si="57"/>
        <v>8244907</v>
      </c>
      <c r="AR297" s="257">
        <f t="shared" si="58"/>
        <v>451</v>
      </c>
      <c r="AS297" s="258">
        <f t="shared" si="59"/>
        <v>8507385</v>
      </c>
      <c r="AT297" s="259"/>
      <c r="AU297" s="253"/>
      <c r="AV297" s="267"/>
      <c r="AW297" s="268"/>
      <c r="AX297" s="252"/>
      <c r="AY297" s="253"/>
      <c r="AZ297" s="267"/>
      <c r="BA297" s="268"/>
      <c r="BB297" s="252"/>
      <c r="BC297" s="253"/>
      <c r="BD297" s="267"/>
      <c r="BE297" s="268"/>
      <c r="BF297" s="252"/>
      <c r="BG297" s="253"/>
      <c r="BH297" s="267"/>
      <c r="BI297" s="268"/>
      <c r="BJ297" s="252"/>
      <c r="BK297" s="253"/>
      <c r="BL297" s="267"/>
      <c r="BM297" s="268"/>
      <c r="BN297" s="252"/>
      <c r="BO297" s="253"/>
      <c r="BP297" s="267"/>
      <c r="BQ297" s="268"/>
      <c r="BR297" s="252"/>
      <c r="BS297" s="253"/>
      <c r="BT297" s="267"/>
      <c r="BU297" s="268"/>
      <c r="BV297" s="252"/>
      <c r="BW297" s="253"/>
      <c r="BX297" s="267"/>
      <c r="BY297" s="268"/>
      <c r="BZ297" s="252"/>
      <c r="CA297" s="253"/>
      <c r="CB297" s="267"/>
      <c r="CC297" s="268"/>
      <c r="CD297" s="255">
        <f t="shared" si="60"/>
        <v>0</v>
      </c>
      <c r="CE297" s="256">
        <f t="shared" si="61"/>
        <v>0</v>
      </c>
      <c r="CF297" s="257">
        <f t="shared" si="62"/>
        <v>0</v>
      </c>
      <c r="CG297" s="261">
        <f t="shared" si="63"/>
        <v>0</v>
      </c>
    </row>
    <row r="298" spans="1:85" s="263" customFormat="1" ht="12.75" customHeight="1">
      <c r="A298" s="418" t="s">
        <v>683</v>
      </c>
      <c r="B298" s="460" t="s">
        <v>513</v>
      </c>
      <c r="C298" s="513" t="s">
        <v>1185</v>
      </c>
      <c r="D298" s="420">
        <v>198543</v>
      </c>
      <c r="E298" s="421">
        <v>4</v>
      </c>
      <c r="F298" s="252">
        <v>287</v>
      </c>
      <c r="G298" s="253">
        <v>1948596</v>
      </c>
      <c r="H298" s="267">
        <v>277</v>
      </c>
      <c r="I298" s="268">
        <v>2072734</v>
      </c>
      <c r="J298" s="252">
        <v>287</v>
      </c>
      <c r="K298" s="253">
        <v>1299249</v>
      </c>
      <c r="L298" s="267">
        <v>277</v>
      </c>
      <c r="M298" s="268">
        <v>1365610</v>
      </c>
      <c r="N298" s="252">
        <v>287</v>
      </c>
      <c r="O298" s="253">
        <v>100986</v>
      </c>
      <c r="P298" s="267">
        <v>277</v>
      </c>
      <c r="Q298" s="268">
        <v>98965</v>
      </c>
      <c r="R298" s="252">
        <v>287</v>
      </c>
      <c r="S298" s="253">
        <v>1477055</v>
      </c>
      <c r="T298" s="267">
        <v>277</v>
      </c>
      <c r="U298" s="268">
        <v>1453618</v>
      </c>
      <c r="V298" s="252">
        <v>287</v>
      </c>
      <c r="W298" s="253">
        <v>17476</v>
      </c>
      <c r="X298" s="267">
        <v>277</v>
      </c>
      <c r="Y298" s="268">
        <v>17132</v>
      </c>
      <c r="Z298" s="252">
        <v>129</v>
      </c>
      <c r="AA298" s="253">
        <v>13351</v>
      </c>
      <c r="AB298" s="267">
        <v>124</v>
      </c>
      <c r="AC298" s="268">
        <v>13413</v>
      </c>
      <c r="AD298" s="252">
        <v>287</v>
      </c>
      <c r="AE298" s="253">
        <v>168967</v>
      </c>
      <c r="AF298" s="267">
        <v>277</v>
      </c>
      <c r="AG298" s="268">
        <v>165583</v>
      </c>
      <c r="AH298" s="252"/>
      <c r="AI298" s="253"/>
      <c r="AJ298" s="267"/>
      <c r="AK298" s="268"/>
      <c r="AL298" s="252"/>
      <c r="AM298" s="253"/>
      <c r="AN298" s="267"/>
      <c r="AO298" s="268"/>
      <c r="AP298" s="255">
        <f t="shared" si="56"/>
        <v>287</v>
      </c>
      <c r="AQ298" s="256">
        <f t="shared" si="57"/>
        <v>5025680</v>
      </c>
      <c r="AR298" s="257">
        <f t="shared" si="58"/>
        <v>277</v>
      </c>
      <c r="AS298" s="258">
        <f t="shared" si="59"/>
        <v>5187055</v>
      </c>
      <c r="AT298" s="259"/>
      <c r="AU298" s="253"/>
      <c r="AV298" s="267"/>
      <c r="AW298" s="268"/>
      <c r="AX298" s="252"/>
      <c r="AY298" s="253"/>
      <c r="AZ298" s="267"/>
      <c r="BA298" s="268"/>
      <c r="BB298" s="252"/>
      <c r="BC298" s="253"/>
      <c r="BD298" s="267"/>
      <c r="BE298" s="268"/>
      <c r="BF298" s="252"/>
      <c r="BG298" s="253"/>
      <c r="BH298" s="267"/>
      <c r="BI298" s="268"/>
      <c r="BJ298" s="252"/>
      <c r="BK298" s="253"/>
      <c r="BL298" s="267"/>
      <c r="BM298" s="268"/>
      <c r="BN298" s="252"/>
      <c r="BO298" s="253"/>
      <c r="BP298" s="267"/>
      <c r="BQ298" s="268"/>
      <c r="BR298" s="252"/>
      <c r="BS298" s="253"/>
      <c r="BT298" s="267"/>
      <c r="BU298" s="268"/>
      <c r="BV298" s="252"/>
      <c r="BW298" s="253"/>
      <c r="BX298" s="267"/>
      <c r="BY298" s="268"/>
      <c r="BZ298" s="252"/>
      <c r="CA298" s="253"/>
      <c r="CB298" s="267"/>
      <c r="CC298" s="268"/>
      <c r="CD298" s="255">
        <f t="shared" si="60"/>
        <v>0</v>
      </c>
      <c r="CE298" s="256">
        <f t="shared" si="61"/>
        <v>0</v>
      </c>
      <c r="CF298" s="257">
        <f t="shared" si="62"/>
        <v>0</v>
      </c>
      <c r="CG298" s="261">
        <f t="shared" si="63"/>
        <v>0</v>
      </c>
    </row>
    <row r="299" spans="1:85" s="263" customFormat="1" ht="12.75" customHeight="1">
      <c r="A299" s="418" t="s">
        <v>683</v>
      </c>
      <c r="B299" s="419" t="s">
        <v>514</v>
      </c>
      <c r="C299" s="419"/>
      <c r="D299" s="420">
        <v>199281</v>
      </c>
      <c r="E299" s="421">
        <v>5</v>
      </c>
      <c r="F299" s="252">
        <v>293</v>
      </c>
      <c r="G299" s="253">
        <v>1961180</v>
      </c>
      <c r="H299" s="267">
        <v>329</v>
      </c>
      <c r="I299" s="268">
        <v>2343646</v>
      </c>
      <c r="J299" s="252">
        <v>293</v>
      </c>
      <c r="K299" s="253">
        <v>1326411</v>
      </c>
      <c r="L299" s="267">
        <v>329</v>
      </c>
      <c r="M299" s="268">
        <v>1621970</v>
      </c>
      <c r="N299" s="252">
        <v>293</v>
      </c>
      <c r="O299" s="253">
        <v>95176</v>
      </c>
      <c r="P299" s="267">
        <v>329</v>
      </c>
      <c r="Q299" s="268">
        <v>105877</v>
      </c>
      <c r="R299" s="252">
        <v>293</v>
      </c>
      <c r="S299" s="253">
        <v>1390867</v>
      </c>
      <c r="T299" s="267">
        <v>329</v>
      </c>
      <c r="U299" s="268">
        <v>1550303</v>
      </c>
      <c r="V299" s="252">
        <v>293</v>
      </c>
      <c r="W299" s="253">
        <v>16477</v>
      </c>
      <c r="X299" s="267">
        <v>329</v>
      </c>
      <c r="Y299" s="268">
        <v>18336</v>
      </c>
      <c r="Z299" s="252">
        <v>68</v>
      </c>
      <c r="AA299" s="253">
        <v>6562</v>
      </c>
      <c r="AB299" s="267">
        <v>83</v>
      </c>
      <c r="AC299" s="268">
        <v>7842</v>
      </c>
      <c r="AD299" s="252">
        <v>293</v>
      </c>
      <c r="AE299" s="253">
        <v>159225</v>
      </c>
      <c r="AF299" s="267">
        <v>329</v>
      </c>
      <c r="AG299" s="268">
        <v>177125</v>
      </c>
      <c r="AH299" s="252"/>
      <c r="AI299" s="253"/>
      <c r="AJ299" s="267"/>
      <c r="AK299" s="268"/>
      <c r="AL299" s="252"/>
      <c r="AM299" s="253"/>
      <c r="AN299" s="267"/>
      <c r="AO299" s="268"/>
      <c r="AP299" s="255">
        <f t="shared" si="56"/>
        <v>293</v>
      </c>
      <c r="AQ299" s="256">
        <f t="shared" si="57"/>
        <v>4955898</v>
      </c>
      <c r="AR299" s="257">
        <f t="shared" si="58"/>
        <v>329</v>
      </c>
      <c r="AS299" s="258">
        <f t="shared" si="59"/>
        <v>5825099</v>
      </c>
      <c r="AT299" s="259"/>
      <c r="AU299" s="253"/>
      <c r="AV299" s="267"/>
      <c r="AW299" s="268"/>
      <c r="AX299" s="252"/>
      <c r="AY299" s="253"/>
      <c r="AZ299" s="267"/>
      <c r="BA299" s="268"/>
      <c r="BB299" s="252"/>
      <c r="BC299" s="253"/>
      <c r="BD299" s="267"/>
      <c r="BE299" s="268"/>
      <c r="BF299" s="252"/>
      <c r="BG299" s="253"/>
      <c r="BH299" s="267"/>
      <c r="BI299" s="268"/>
      <c r="BJ299" s="252"/>
      <c r="BK299" s="253"/>
      <c r="BL299" s="267"/>
      <c r="BM299" s="268"/>
      <c r="BN299" s="252"/>
      <c r="BO299" s="253"/>
      <c r="BP299" s="267"/>
      <c r="BQ299" s="268"/>
      <c r="BR299" s="252"/>
      <c r="BS299" s="253"/>
      <c r="BT299" s="267"/>
      <c r="BU299" s="268"/>
      <c r="BV299" s="252"/>
      <c r="BW299" s="253"/>
      <c r="BX299" s="267"/>
      <c r="BY299" s="268"/>
      <c r="BZ299" s="252"/>
      <c r="CA299" s="253"/>
      <c r="CB299" s="267"/>
      <c r="CC299" s="268"/>
      <c r="CD299" s="255">
        <f t="shared" si="60"/>
        <v>0</v>
      </c>
      <c r="CE299" s="256">
        <f t="shared" si="61"/>
        <v>0</v>
      </c>
      <c r="CF299" s="257">
        <f t="shared" si="62"/>
        <v>0</v>
      </c>
      <c r="CG299" s="261">
        <f t="shared" si="63"/>
        <v>0</v>
      </c>
    </row>
    <row r="300" spans="1:85" s="263" customFormat="1" ht="12.75" customHeight="1">
      <c r="A300" s="418" t="s">
        <v>683</v>
      </c>
      <c r="B300" s="419" t="s">
        <v>517</v>
      </c>
      <c r="C300" s="419"/>
      <c r="D300" s="420">
        <v>199999</v>
      </c>
      <c r="E300" s="421">
        <v>5</v>
      </c>
      <c r="F300" s="252">
        <v>325</v>
      </c>
      <c r="G300" s="253">
        <v>1871707</v>
      </c>
      <c r="H300" s="267">
        <v>343</v>
      </c>
      <c r="I300" s="268">
        <v>2189345</v>
      </c>
      <c r="J300" s="252">
        <v>325</v>
      </c>
      <c r="K300" s="253">
        <v>1471275</v>
      </c>
      <c r="L300" s="267">
        <v>343</v>
      </c>
      <c r="M300" s="268">
        <v>1690990</v>
      </c>
      <c r="N300" s="252">
        <v>325</v>
      </c>
      <c r="O300" s="253">
        <v>119568</v>
      </c>
      <c r="P300" s="267">
        <v>343</v>
      </c>
      <c r="Q300" s="268">
        <v>124414</v>
      </c>
      <c r="R300" s="252">
        <v>325</v>
      </c>
      <c r="S300" s="253">
        <v>1742067</v>
      </c>
      <c r="T300" s="267">
        <v>343</v>
      </c>
      <c r="U300" s="268">
        <v>1822623</v>
      </c>
      <c r="V300" s="252">
        <v>325</v>
      </c>
      <c r="W300" s="253">
        <v>20705</v>
      </c>
      <c r="X300" s="267">
        <v>343</v>
      </c>
      <c r="Y300" s="268">
        <v>21533</v>
      </c>
      <c r="Z300" s="252">
        <v>325</v>
      </c>
      <c r="AA300" s="253">
        <v>36791</v>
      </c>
      <c r="AB300" s="267">
        <v>343</v>
      </c>
      <c r="AC300" s="268">
        <v>38284</v>
      </c>
      <c r="AD300" s="252">
        <v>325</v>
      </c>
      <c r="AE300" s="253">
        <v>200062</v>
      </c>
      <c r="AF300" s="267">
        <v>343</v>
      </c>
      <c r="AG300" s="268">
        <v>208182</v>
      </c>
      <c r="AH300" s="252"/>
      <c r="AI300" s="253"/>
      <c r="AJ300" s="267"/>
      <c r="AK300" s="268"/>
      <c r="AL300" s="252"/>
      <c r="AM300" s="253"/>
      <c r="AN300" s="267"/>
      <c r="AO300" s="268"/>
      <c r="AP300" s="255">
        <f t="shared" si="56"/>
        <v>325</v>
      </c>
      <c r="AQ300" s="256">
        <f t="shared" si="57"/>
        <v>5462175</v>
      </c>
      <c r="AR300" s="257">
        <f t="shared" si="58"/>
        <v>343</v>
      </c>
      <c r="AS300" s="258">
        <f t="shared" si="59"/>
        <v>6095371</v>
      </c>
      <c r="AT300" s="259"/>
      <c r="AU300" s="253"/>
      <c r="AV300" s="267"/>
      <c r="AW300" s="268"/>
      <c r="AX300" s="252"/>
      <c r="AY300" s="253"/>
      <c r="AZ300" s="267"/>
      <c r="BA300" s="268"/>
      <c r="BB300" s="252"/>
      <c r="BC300" s="253"/>
      <c r="BD300" s="267"/>
      <c r="BE300" s="268"/>
      <c r="BF300" s="252"/>
      <c r="BG300" s="253"/>
      <c r="BH300" s="267"/>
      <c r="BI300" s="268"/>
      <c r="BJ300" s="252"/>
      <c r="BK300" s="253"/>
      <c r="BL300" s="267"/>
      <c r="BM300" s="268"/>
      <c r="BN300" s="252"/>
      <c r="BO300" s="253"/>
      <c r="BP300" s="267"/>
      <c r="BQ300" s="268"/>
      <c r="BR300" s="252"/>
      <c r="BS300" s="253"/>
      <c r="BT300" s="267"/>
      <c r="BU300" s="268"/>
      <c r="BV300" s="252"/>
      <c r="BW300" s="253"/>
      <c r="BX300" s="267"/>
      <c r="BY300" s="268"/>
      <c r="BZ300" s="252"/>
      <c r="CA300" s="253"/>
      <c r="CB300" s="267"/>
      <c r="CC300" s="268"/>
      <c r="CD300" s="255">
        <f t="shared" si="60"/>
        <v>0</v>
      </c>
      <c r="CE300" s="256">
        <f t="shared" si="61"/>
        <v>0</v>
      </c>
      <c r="CF300" s="257">
        <f t="shared" si="62"/>
        <v>0</v>
      </c>
      <c r="CG300" s="261">
        <f t="shared" si="63"/>
        <v>0</v>
      </c>
    </row>
    <row r="301" spans="1:85" s="263" customFormat="1" ht="12.75" customHeight="1">
      <c r="A301" s="418" t="s">
        <v>683</v>
      </c>
      <c r="B301" s="419" t="s">
        <v>515</v>
      </c>
      <c r="C301" s="419"/>
      <c r="D301" s="420">
        <v>198507</v>
      </c>
      <c r="E301" s="421">
        <v>6</v>
      </c>
      <c r="F301" s="252">
        <v>165</v>
      </c>
      <c r="G301" s="253">
        <v>1054356</v>
      </c>
      <c r="H301" s="267">
        <v>170</v>
      </c>
      <c r="I301" s="268">
        <v>1183309</v>
      </c>
      <c r="J301" s="252">
        <v>165</v>
      </c>
      <c r="K301" s="253">
        <v>746955</v>
      </c>
      <c r="L301" s="267">
        <v>170</v>
      </c>
      <c r="M301" s="268">
        <v>838100</v>
      </c>
      <c r="N301" s="252">
        <v>165</v>
      </c>
      <c r="O301" s="253">
        <v>57817</v>
      </c>
      <c r="P301" s="267">
        <v>170</v>
      </c>
      <c r="Q301" s="268">
        <v>59989</v>
      </c>
      <c r="R301" s="252">
        <v>165</v>
      </c>
      <c r="S301" s="253">
        <v>847026</v>
      </c>
      <c r="T301" s="267">
        <v>170</v>
      </c>
      <c r="U301" s="268">
        <v>880249</v>
      </c>
      <c r="V301" s="252">
        <v>165</v>
      </c>
      <c r="W301" s="253">
        <v>10011</v>
      </c>
      <c r="X301" s="267">
        <v>170</v>
      </c>
      <c r="Y301" s="268">
        <v>10389</v>
      </c>
      <c r="Z301" s="252">
        <v>100</v>
      </c>
      <c r="AA301" s="253">
        <v>10595</v>
      </c>
      <c r="AB301" s="267">
        <v>111</v>
      </c>
      <c r="AC301" s="268">
        <v>11889</v>
      </c>
      <c r="AD301" s="252">
        <v>165</v>
      </c>
      <c r="AE301" s="253">
        <v>96733</v>
      </c>
      <c r="AF301" s="267">
        <v>170</v>
      </c>
      <c r="AG301" s="268">
        <v>100369</v>
      </c>
      <c r="AH301" s="252"/>
      <c r="AI301" s="253"/>
      <c r="AJ301" s="267"/>
      <c r="AK301" s="268"/>
      <c r="AL301" s="252"/>
      <c r="AM301" s="253"/>
      <c r="AN301" s="267"/>
      <c r="AO301" s="268"/>
      <c r="AP301" s="255">
        <f t="shared" si="56"/>
        <v>165</v>
      </c>
      <c r="AQ301" s="256">
        <f t="shared" si="57"/>
        <v>2823493</v>
      </c>
      <c r="AR301" s="257">
        <f t="shared" si="58"/>
        <v>170</v>
      </c>
      <c r="AS301" s="258">
        <f t="shared" si="59"/>
        <v>3084294</v>
      </c>
      <c r="AT301" s="259"/>
      <c r="AU301" s="253"/>
      <c r="AV301" s="267"/>
      <c r="AW301" s="268"/>
      <c r="AX301" s="252"/>
      <c r="AY301" s="253"/>
      <c r="AZ301" s="267"/>
      <c r="BA301" s="268"/>
      <c r="BB301" s="252"/>
      <c r="BC301" s="253"/>
      <c r="BD301" s="267"/>
      <c r="BE301" s="268"/>
      <c r="BF301" s="252"/>
      <c r="BG301" s="253"/>
      <c r="BH301" s="267"/>
      <c r="BI301" s="268"/>
      <c r="BJ301" s="252"/>
      <c r="BK301" s="253"/>
      <c r="BL301" s="267"/>
      <c r="BM301" s="268"/>
      <c r="BN301" s="252"/>
      <c r="BO301" s="253"/>
      <c r="BP301" s="267"/>
      <c r="BQ301" s="268"/>
      <c r="BR301" s="252"/>
      <c r="BS301" s="253"/>
      <c r="BT301" s="267"/>
      <c r="BU301" s="268"/>
      <c r="BV301" s="252"/>
      <c r="BW301" s="253"/>
      <c r="BX301" s="267"/>
      <c r="BY301" s="268"/>
      <c r="BZ301" s="252"/>
      <c r="CA301" s="253"/>
      <c r="CB301" s="267"/>
      <c r="CC301" s="268"/>
      <c r="CD301" s="255">
        <f t="shared" si="60"/>
        <v>0</v>
      </c>
      <c r="CE301" s="256">
        <f t="shared" si="61"/>
        <v>0</v>
      </c>
      <c r="CF301" s="257">
        <f t="shared" si="62"/>
        <v>0</v>
      </c>
      <c r="CG301" s="261">
        <f t="shared" si="63"/>
        <v>0</v>
      </c>
    </row>
    <row r="302" spans="1:85" s="263" customFormat="1" ht="12.75" customHeight="1">
      <c r="A302" s="418" t="s">
        <v>683</v>
      </c>
      <c r="B302" s="419" t="s">
        <v>516</v>
      </c>
      <c r="C302" s="419"/>
      <c r="D302" s="420">
        <v>199111</v>
      </c>
      <c r="E302" s="421">
        <v>6</v>
      </c>
      <c r="F302" s="252">
        <v>208</v>
      </c>
      <c r="G302" s="253">
        <v>1251335</v>
      </c>
      <c r="H302" s="267">
        <v>217</v>
      </c>
      <c r="I302" s="268">
        <v>1440139</v>
      </c>
      <c r="J302" s="252">
        <v>208</v>
      </c>
      <c r="K302" s="253">
        <v>941616</v>
      </c>
      <c r="L302" s="267">
        <v>217</v>
      </c>
      <c r="M302" s="268">
        <v>1069810</v>
      </c>
      <c r="N302" s="252">
        <v>208</v>
      </c>
      <c r="O302" s="253">
        <v>73872</v>
      </c>
      <c r="P302" s="267">
        <v>217</v>
      </c>
      <c r="Q302" s="268">
        <v>76667</v>
      </c>
      <c r="R302" s="252">
        <v>208</v>
      </c>
      <c r="S302" s="253">
        <v>1080485</v>
      </c>
      <c r="T302" s="267">
        <v>217</v>
      </c>
      <c r="U302" s="268">
        <v>1122298</v>
      </c>
      <c r="V302" s="252">
        <v>208</v>
      </c>
      <c r="W302" s="253">
        <v>12793</v>
      </c>
      <c r="X302" s="267">
        <v>217</v>
      </c>
      <c r="Y302" s="268">
        <v>13277</v>
      </c>
      <c r="Z302" s="252">
        <v>164</v>
      </c>
      <c r="AA302" s="253">
        <v>18153</v>
      </c>
      <c r="AB302" s="267">
        <v>171</v>
      </c>
      <c r="AC302" s="268">
        <v>18900</v>
      </c>
      <c r="AD302" s="252">
        <v>208</v>
      </c>
      <c r="AE302" s="253">
        <v>123583</v>
      </c>
      <c r="AF302" s="267">
        <v>217</v>
      </c>
      <c r="AG302" s="268">
        <v>128250</v>
      </c>
      <c r="AH302" s="252"/>
      <c r="AI302" s="253"/>
      <c r="AJ302" s="267"/>
      <c r="AK302" s="268"/>
      <c r="AL302" s="252"/>
      <c r="AM302" s="253"/>
      <c r="AN302" s="267"/>
      <c r="AO302" s="268"/>
      <c r="AP302" s="255">
        <f t="shared" si="56"/>
        <v>208</v>
      </c>
      <c r="AQ302" s="256">
        <f t="shared" si="57"/>
        <v>3501837</v>
      </c>
      <c r="AR302" s="257">
        <f t="shared" si="58"/>
        <v>217</v>
      </c>
      <c r="AS302" s="258">
        <f t="shared" si="59"/>
        <v>3869341</v>
      </c>
      <c r="AT302" s="259"/>
      <c r="AU302" s="253"/>
      <c r="AV302" s="267"/>
      <c r="AW302" s="268"/>
      <c r="AX302" s="252"/>
      <c r="AY302" s="253"/>
      <c r="AZ302" s="267"/>
      <c r="BA302" s="268"/>
      <c r="BB302" s="252"/>
      <c r="BC302" s="253"/>
      <c r="BD302" s="267"/>
      <c r="BE302" s="268"/>
      <c r="BF302" s="252"/>
      <c r="BG302" s="253"/>
      <c r="BH302" s="267"/>
      <c r="BI302" s="268"/>
      <c r="BJ302" s="252"/>
      <c r="BK302" s="253"/>
      <c r="BL302" s="267"/>
      <c r="BM302" s="268"/>
      <c r="BN302" s="252"/>
      <c r="BO302" s="253"/>
      <c r="BP302" s="267"/>
      <c r="BQ302" s="268"/>
      <c r="BR302" s="252"/>
      <c r="BS302" s="253"/>
      <c r="BT302" s="267"/>
      <c r="BU302" s="268"/>
      <c r="BV302" s="252"/>
      <c r="BW302" s="253"/>
      <c r="BX302" s="267"/>
      <c r="BY302" s="268"/>
      <c r="BZ302" s="252"/>
      <c r="CA302" s="253"/>
      <c r="CB302" s="267"/>
      <c r="CC302" s="268"/>
      <c r="CD302" s="255">
        <f t="shared" si="60"/>
        <v>0</v>
      </c>
      <c r="CE302" s="256">
        <f t="shared" si="61"/>
        <v>0</v>
      </c>
      <c r="CF302" s="257">
        <f t="shared" si="62"/>
        <v>0</v>
      </c>
      <c r="CG302" s="261">
        <f t="shared" si="63"/>
        <v>0</v>
      </c>
    </row>
    <row r="303" spans="1:85" s="263" customFormat="1" ht="12.75" customHeight="1">
      <c r="A303" s="422" t="s">
        <v>683</v>
      </c>
      <c r="B303" s="423" t="s">
        <v>518</v>
      </c>
      <c r="C303" s="423"/>
      <c r="D303" s="424">
        <v>197887</v>
      </c>
      <c r="E303" s="425">
        <v>8</v>
      </c>
      <c r="F303" s="252">
        <v>172</v>
      </c>
      <c r="G303" s="253">
        <v>641858</v>
      </c>
      <c r="H303" s="267">
        <v>169</v>
      </c>
      <c r="I303" s="268">
        <v>787791</v>
      </c>
      <c r="J303" s="252">
        <v>172</v>
      </c>
      <c r="K303" s="253">
        <v>631367</v>
      </c>
      <c r="L303" s="267">
        <v>165</v>
      </c>
      <c r="M303" s="268">
        <v>657189</v>
      </c>
      <c r="N303" s="252"/>
      <c r="O303" s="253"/>
      <c r="P303" s="267"/>
      <c r="Q303" s="268"/>
      <c r="R303" s="252">
        <v>172</v>
      </c>
      <c r="S303" s="253">
        <v>561168</v>
      </c>
      <c r="T303" s="267">
        <v>169</v>
      </c>
      <c r="U303" s="268">
        <v>573416</v>
      </c>
      <c r="V303" s="252"/>
      <c r="W303" s="253"/>
      <c r="X303" s="267"/>
      <c r="Y303" s="268"/>
      <c r="Z303" s="252">
        <v>172</v>
      </c>
      <c r="AA303" s="253">
        <v>37576</v>
      </c>
      <c r="AB303" s="267">
        <v>169</v>
      </c>
      <c r="AC303" s="268">
        <v>24648</v>
      </c>
      <c r="AD303" s="252"/>
      <c r="AE303" s="253"/>
      <c r="AF303" s="267"/>
      <c r="AG303" s="268"/>
      <c r="AH303" s="252"/>
      <c r="AI303" s="253"/>
      <c r="AJ303" s="267"/>
      <c r="AK303" s="268"/>
      <c r="AL303" s="252">
        <v>172</v>
      </c>
      <c r="AM303" s="253">
        <v>38700</v>
      </c>
      <c r="AN303" s="267">
        <v>169</v>
      </c>
      <c r="AO303" s="268">
        <v>38025</v>
      </c>
      <c r="AP303" s="255">
        <f t="shared" si="56"/>
        <v>172</v>
      </c>
      <c r="AQ303" s="256">
        <f t="shared" si="57"/>
        <v>1910669</v>
      </c>
      <c r="AR303" s="257">
        <f t="shared" si="58"/>
        <v>169</v>
      </c>
      <c r="AS303" s="258">
        <f t="shared" si="59"/>
        <v>2081069</v>
      </c>
      <c r="AT303" s="259"/>
      <c r="AU303" s="253"/>
      <c r="AV303" s="267"/>
      <c r="AW303" s="268"/>
      <c r="AX303" s="252"/>
      <c r="AY303" s="253"/>
      <c r="AZ303" s="267"/>
      <c r="BA303" s="268"/>
      <c r="BB303" s="252"/>
      <c r="BC303" s="253"/>
      <c r="BD303" s="267"/>
      <c r="BE303" s="268"/>
      <c r="BF303" s="252"/>
      <c r="BG303" s="253"/>
      <c r="BH303" s="267"/>
      <c r="BI303" s="268"/>
      <c r="BJ303" s="252"/>
      <c r="BK303" s="253"/>
      <c r="BL303" s="267"/>
      <c r="BM303" s="268"/>
      <c r="BN303" s="252"/>
      <c r="BO303" s="253"/>
      <c r="BP303" s="267"/>
      <c r="BQ303" s="268"/>
      <c r="BR303" s="252"/>
      <c r="BS303" s="253"/>
      <c r="BT303" s="267"/>
      <c r="BU303" s="268"/>
      <c r="BV303" s="252"/>
      <c r="BW303" s="253"/>
      <c r="BX303" s="267"/>
      <c r="BY303" s="268"/>
      <c r="BZ303" s="252"/>
      <c r="CA303" s="253"/>
      <c r="CB303" s="267"/>
      <c r="CC303" s="268"/>
      <c r="CD303" s="255">
        <f t="shared" si="60"/>
        <v>0</v>
      </c>
      <c r="CE303" s="256">
        <f t="shared" si="61"/>
        <v>0</v>
      </c>
      <c r="CF303" s="257">
        <f t="shared" si="62"/>
        <v>0</v>
      </c>
      <c r="CG303" s="261">
        <f t="shared" si="63"/>
        <v>0</v>
      </c>
    </row>
    <row r="304" spans="1:85" s="263" customFormat="1" ht="12.75" customHeight="1">
      <c r="A304" s="422" t="s">
        <v>683</v>
      </c>
      <c r="B304" s="423" t="s">
        <v>519</v>
      </c>
      <c r="C304" s="423"/>
      <c r="D304" s="424">
        <v>198154</v>
      </c>
      <c r="E304" s="425">
        <v>8</v>
      </c>
      <c r="F304" s="252">
        <v>253</v>
      </c>
      <c r="G304" s="253">
        <v>1042292</v>
      </c>
      <c r="H304" s="267">
        <v>279</v>
      </c>
      <c r="I304" s="268">
        <v>1416273</v>
      </c>
      <c r="J304" s="252">
        <v>244</v>
      </c>
      <c r="K304" s="253">
        <v>1104500</v>
      </c>
      <c r="L304" s="267">
        <v>270</v>
      </c>
      <c r="M304" s="268">
        <v>1330992</v>
      </c>
      <c r="N304" s="252"/>
      <c r="O304" s="253"/>
      <c r="P304" s="267"/>
      <c r="Q304" s="268"/>
      <c r="R304" s="252">
        <v>253</v>
      </c>
      <c r="S304" s="253">
        <v>936475</v>
      </c>
      <c r="T304" s="267">
        <v>279</v>
      </c>
      <c r="U304" s="268">
        <v>1033445</v>
      </c>
      <c r="V304" s="252"/>
      <c r="W304" s="253"/>
      <c r="X304" s="267"/>
      <c r="Y304" s="268"/>
      <c r="Z304" s="252"/>
      <c r="AA304" s="253"/>
      <c r="AB304" s="267"/>
      <c r="AC304" s="268"/>
      <c r="AD304" s="252"/>
      <c r="AE304" s="253"/>
      <c r="AF304" s="267"/>
      <c r="AG304" s="268"/>
      <c r="AH304" s="252"/>
      <c r="AI304" s="253"/>
      <c r="AJ304" s="267"/>
      <c r="AK304" s="268"/>
      <c r="AL304" s="252"/>
      <c r="AM304" s="253"/>
      <c r="AN304" s="267"/>
      <c r="AO304" s="268"/>
      <c r="AP304" s="255">
        <f t="shared" si="56"/>
        <v>253</v>
      </c>
      <c r="AQ304" s="256">
        <f t="shared" si="57"/>
        <v>3083267</v>
      </c>
      <c r="AR304" s="257">
        <f t="shared" si="58"/>
        <v>279</v>
      </c>
      <c r="AS304" s="258">
        <f t="shared" si="59"/>
        <v>3780710</v>
      </c>
      <c r="AT304" s="259"/>
      <c r="AU304" s="253"/>
      <c r="AV304" s="267"/>
      <c r="AW304" s="268"/>
      <c r="AX304" s="252"/>
      <c r="AY304" s="253"/>
      <c r="AZ304" s="267"/>
      <c r="BA304" s="268"/>
      <c r="BB304" s="252"/>
      <c r="BC304" s="253"/>
      <c r="BD304" s="267"/>
      <c r="BE304" s="268"/>
      <c r="BF304" s="252"/>
      <c r="BG304" s="253"/>
      <c r="BH304" s="267"/>
      <c r="BI304" s="268"/>
      <c r="BJ304" s="252"/>
      <c r="BK304" s="253"/>
      <c r="BL304" s="267"/>
      <c r="BM304" s="268"/>
      <c r="BN304" s="252"/>
      <c r="BO304" s="253"/>
      <c r="BP304" s="267"/>
      <c r="BQ304" s="268"/>
      <c r="BR304" s="252"/>
      <c r="BS304" s="253"/>
      <c r="BT304" s="267"/>
      <c r="BU304" s="268"/>
      <c r="BV304" s="252"/>
      <c r="BW304" s="253"/>
      <c r="BX304" s="267"/>
      <c r="BY304" s="268"/>
      <c r="BZ304" s="252"/>
      <c r="CA304" s="253"/>
      <c r="CB304" s="267"/>
      <c r="CC304" s="268"/>
      <c r="CD304" s="255">
        <f t="shared" si="60"/>
        <v>0</v>
      </c>
      <c r="CE304" s="256">
        <f t="shared" si="61"/>
        <v>0</v>
      </c>
      <c r="CF304" s="257">
        <f t="shared" si="62"/>
        <v>0</v>
      </c>
      <c r="CG304" s="261">
        <f t="shared" si="63"/>
        <v>0</v>
      </c>
    </row>
    <row r="305" spans="1:85" s="263" customFormat="1" ht="12.75" customHeight="1">
      <c r="A305" s="422" t="s">
        <v>683</v>
      </c>
      <c r="B305" s="514" t="s">
        <v>520</v>
      </c>
      <c r="C305" s="515" t="s">
        <v>1251</v>
      </c>
      <c r="D305" s="424">
        <v>198233</v>
      </c>
      <c r="E305" s="516">
        <v>9</v>
      </c>
      <c r="F305" s="252">
        <v>144</v>
      </c>
      <c r="G305" s="253">
        <v>638995</v>
      </c>
      <c r="H305" s="267">
        <v>153</v>
      </c>
      <c r="I305" s="268">
        <v>818156</v>
      </c>
      <c r="J305" s="252">
        <v>144</v>
      </c>
      <c r="K305" s="253">
        <v>692513</v>
      </c>
      <c r="L305" s="267">
        <v>153</v>
      </c>
      <c r="M305" s="268">
        <v>797430</v>
      </c>
      <c r="N305" s="252"/>
      <c r="O305" s="253"/>
      <c r="P305" s="267"/>
      <c r="Q305" s="268"/>
      <c r="R305" s="252">
        <v>144</v>
      </c>
      <c r="S305" s="253">
        <v>558664</v>
      </c>
      <c r="T305" s="267">
        <v>153</v>
      </c>
      <c r="U305" s="268">
        <v>595519</v>
      </c>
      <c r="V305" s="252"/>
      <c r="W305" s="253"/>
      <c r="X305" s="267"/>
      <c r="Y305" s="268"/>
      <c r="Z305" s="252"/>
      <c r="AA305" s="253"/>
      <c r="AB305" s="267"/>
      <c r="AC305" s="268"/>
      <c r="AD305" s="252"/>
      <c r="AE305" s="253"/>
      <c r="AF305" s="267"/>
      <c r="AG305" s="268"/>
      <c r="AH305" s="252"/>
      <c r="AI305" s="253"/>
      <c r="AJ305" s="267"/>
      <c r="AK305" s="268"/>
      <c r="AL305" s="252"/>
      <c r="AM305" s="253"/>
      <c r="AN305" s="267"/>
      <c r="AO305" s="268"/>
      <c r="AP305" s="255">
        <f t="shared" si="56"/>
        <v>144</v>
      </c>
      <c r="AQ305" s="256">
        <f t="shared" si="57"/>
        <v>1890172</v>
      </c>
      <c r="AR305" s="257">
        <f t="shared" si="58"/>
        <v>153</v>
      </c>
      <c r="AS305" s="258">
        <f t="shared" si="59"/>
        <v>2211105</v>
      </c>
      <c r="AT305" s="259"/>
      <c r="AU305" s="253"/>
      <c r="AV305" s="267"/>
      <c r="AW305" s="268"/>
      <c r="AX305" s="252"/>
      <c r="AY305" s="253"/>
      <c r="AZ305" s="267"/>
      <c r="BA305" s="268"/>
      <c r="BB305" s="252"/>
      <c r="BC305" s="253"/>
      <c r="BD305" s="267"/>
      <c r="BE305" s="268"/>
      <c r="BF305" s="252"/>
      <c r="BG305" s="253"/>
      <c r="BH305" s="267"/>
      <c r="BI305" s="268"/>
      <c r="BJ305" s="252"/>
      <c r="BK305" s="253"/>
      <c r="BL305" s="267"/>
      <c r="BM305" s="268"/>
      <c r="BN305" s="252"/>
      <c r="BO305" s="253"/>
      <c r="BP305" s="267"/>
      <c r="BQ305" s="268"/>
      <c r="BR305" s="252"/>
      <c r="BS305" s="253"/>
      <c r="BT305" s="267"/>
      <c r="BU305" s="268"/>
      <c r="BV305" s="252"/>
      <c r="BW305" s="253"/>
      <c r="BX305" s="267"/>
      <c r="BY305" s="268"/>
      <c r="BZ305" s="252"/>
      <c r="CA305" s="253"/>
      <c r="CB305" s="267"/>
      <c r="CC305" s="268"/>
      <c r="CD305" s="255">
        <f t="shared" si="60"/>
        <v>0</v>
      </c>
      <c r="CE305" s="256">
        <f t="shared" si="61"/>
        <v>0</v>
      </c>
      <c r="CF305" s="257">
        <f t="shared" si="62"/>
        <v>0</v>
      </c>
      <c r="CG305" s="261">
        <f t="shared" si="63"/>
        <v>0</v>
      </c>
    </row>
    <row r="306" spans="1:85" s="263" customFormat="1" ht="12.75" customHeight="1">
      <c r="A306" s="422" t="s">
        <v>683</v>
      </c>
      <c r="B306" s="514" t="s">
        <v>521</v>
      </c>
      <c r="C306" s="515" t="s">
        <v>1251</v>
      </c>
      <c r="D306" s="424">
        <v>198251</v>
      </c>
      <c r="E306" s="516">
        <v>9</v>
      </c>
      <c r="F306" s="252">
        <v>168</v>
      </c>
      <c r="G306" s="253">
        <v>364957</v>
      </c>
      <c r="H306" s="267">
        <v>170</v>
      </c>
      <c r="I306" s="268">
        <v>729429</v>
      </c>
      <c r="J306" s="252">
        <v>166</v>
      </c>
      <c r="K306" s="253">
        <v>367754</v>
      </c>
      <c r="L306" s="267">
        <v>170</v>
      </c>
      <c r="M306" s="268">
        <v>628524</v>
      </c>
      <c r="N306" s="252"/>
      <c r="O306" s="253"/>
      <c r="P306" s="267"/>
      <c r="Q306" s="268"/>
      <c r="R306" s="252">
        <v>168</v>
      </c>
      <c r="S306" s="253">
        <v>594371</v>
      </c>
      <c r="T306" s="267">
        <v>170</v>
      </c>
      <c r="U306" s="268">
        <v>530935</v>
      </c>
      <c r="V306" s="252"/>
      <c r="W306" s="253"/>
      <c r="X306" s="267"/>
      <c r="Y306" s="268"/>
      <c r="Z306" s="252">
        <v>168</v>
      </c>
      <c r="AA306" s="253">
        <v>6190</v>
      </c>
      <c r="AB306" s="267">
        <v>170</v>
      </c>
      <c r="AC306" s="268">
        <v>10342</v>
      </c>
      <c r="AD306" s="252"/>
      <c r="AE306" s="253"/>
      <c r="AF306" s="267"/>
      <c r="AG306" s="268"/>
      <c r="AH306" s="252"/>
      <c r="AI306" s="253"/>
      <c r="AJ306" s="267"/>
      <c r="AK306" s="268"/>
      <c r="AL306" s="252"/>
      <c r="AM306" s="253"/>
      <c r="AN306" s="267"/>
      <c r="AO306" s="268"/>
      <c r="AP306" s="255">
        <f t="shared" si="56"/>
        <v>168</v>
      </c>
      <c r="AQ306" s="256">
        <f t="shared" si="57"/>
        <v>1333272</v>
      </c>
      <c r="AR306" s="257">
        <f t="shared" si="58"/>
        <v>170</v>
      </c>
      <c r="AS306" s="258">
        <f t="shared" si="59"/>
        <v>1899230</v>
      </c>
      <c r="AT306" s="259"/>
      <c r="AU306" s="253"/>
      <c r="AV306" s="267"/>
      <c r="AW306" s="268"/>
      <c r="AX306" s="252"/>
      <c r="AY306" s="253"/>
      <c r="AZ306" s="267"/>
      <c r="BA306" s="268"/>
      <c r="BB306" s="252"/>
      <c r="BC306" s="253"/>
      <c r="BD306" s="267"/>
      <c r="BE306" s="268"/>
      <c r="BF306" s="252"/>
      <c r="BG306" s="253"/>
      <c r="BH306" s="267"/>
      <c r="BI306" s="268"/>
      <c r="BJ306" s="252"/>
      <c r="BK306" s="253"/>
      <c r="BL306" s="267"/>
      <c r="BM306" s="268"/>
      <c r="BN306" s="252"/>
      <c r="BO306" s="253"/>
      <c r="BP306" s="267"/>
      <c r="BQ306" s="268"/>
      <c r="BR306" s="252"/>
      <c r="BS306" s="253"/>
      <c r="BT306" s="267"/>
      <c r="BU306" s="268"/>
      <c r="BV306" s="252"/>
      <c r="BW306" s="253"/>
      <c r="BX306" s="267"/>
      <c r="BY306" s="268"/>
      <c r="BZ306" s="252"/>
      <c r="CA306" s="253"/>
      <c r="CB306" s="267"/>
      <c r="CC306" s="268"/>
      <c r="CD306" s="255">
        <f t="shared" si="60"/>
        <v>0</v>
      </c>
      <c r="CE306" s="256">
        <f t="shared" si="61"/>
        <v>0</v>
      </c>
      <c r="CF306" s="257">
        <f t="shared" si="62"/>
        <v>0</v>
      </c>
      <c r="CG306" s="261">
        <f t="shared" si="63"/>
        <v>0</v>
      </c>
    </row>
    <row r="307" spans="1:85" s="263" customFormat="1" ht="12.75" customHeight="1">
      <c r="A307" s="422" t="s">
        <v>683</v>
      </c>
      <c r="B307" s="423" t="s">
        <v>522</v>
      </c>
      <c r="C307" s="423"/>
      <c r="D307" s="424">
        <v>198260</v>
      </c>
      <c r="E307" s="425">
        <v>8</v>
      </c>
      <c r="F307" s="252">
        <v>337</v>
      </c>
      <c r="G307" s="253">
        <v>1696396</v>
      </c>
      <c r="H307" s="267">
        <v>343</v>
      </c>
      <c r="I307" s="268">
        <v>2101860</v>
      </c>
      <c r="J307" s="252">
        <v>337</v>
      </c>
      <c r="K307" s="253">
        <v>1668919</v>
      </c>
      <c r="L307" s="267">
        <v>343</v>
      </c>
      <c r="M307" s="268">
        <v>1836724</v>
      </c>
      <c r="N307" s="252"/>
      <c r="O307" s="253"/>
      <c r="P307" s="267"/>
      <c r="Q307" s="268"/>
      <c r="R307" s="252">
        <v>337</v>
      </c>
      <c r="S307" s="253">
        <v>1483135</v>
      </c>
      <c r="T307" s="267">
        <v>343</v>
      </c>
      <c r="U307" s="268">
        <v>1529898</v>
      </c>
      <c r="V307" s="252">
        <v>337</v>
      </c>
      <c r="W307" s="253">
        <v>252036</v>
      </c>
      <c r="X307" s="267">
        <v>343</v>
      </c>
      <c r="Y307" s="268">
        <v>259983</v>
      </c>
      <c r="Z307" s="252">
        <v>337</v>
      </c>
      <c r="AA307" s="253">
        <v>8897</v>
      </c>
      <c r="AB307" s="267">
        <v>343</v>
      </c>
      <c r="AC307" s="268">
        <v>9057</v>
      </c>
      <c r="AD307" s="252"/>
      <c r="AE307" s="253"/>
      <c r="AF307" s="267"/>
      <c r="AG307" s="268"/>
      <c r="AH307" s="252"/>
      <c r="AI307" s="253"/>
      <c r="AJ307" s="267"/>
      <c r="AK307" s="268"/>
      <c r="AL307" s="252"/>
      <c r="AM307" s="253"/>
      <c r="AN307" s="267"/>
      <c r="AO307" s="268"/>
      <c r="AP307" s="255">
        <f t="shared" si="56"/>
        <v>337</v>
      </c>
      <c r="AQ307" s="256">
        <f t="shared" si="57"/>
        <v>5109383</v>
      </c>
      <c r="AR307" s="257">
        <f t="shared" si="58"/>
        <v>343</v>
      </c>
      <c r="AS307" s="258">
        <f t="shared" si="59"/>
        <v>5737522</v>
      </c>
      <c r="AT307" s="259"/>
      <c r="AU307" s="253"/>
      <c r="AV307" s="267"/>
      <c r="AW307" s="268"/>
      <c r="AX307" s="252"/>
      <c r="AY307" s="253"/>
      <c r="AZ307" s="267"/>
      <c r="BA307" s="268"/>
      <c r="BB307" s="252"/>
      <c r="BC307" s="253"/>
      <c r="BD307" s="267"/>
      <c r="BE307" s="268"/>
      <c r="BF307" s="252"/>
      <c r="BG307" s="253"/>
      <c r="BH307" s="267"/>
      <c r="BI307" s="268"/>
      <c r="BJ307" s="252"/>
      <c r="BK307" s="253"/>
      <c r="BL307" s="267"/>
      <c r="BM307" s="268"/>
      <c r="BN307" s="252"/>
      <c r="BO307" s="253"/>
      <c r="BP307" s="267"/>
      <c r="BQ307" s="268"/>
      <c r="BR307" s="252"/>
      <c r="BS307" s="253"/>
      <c r="BT307" s="267"/>
      <c r="BU307" s="268"/>
      <c r="BV307" s="252"/>
      <c r="BW307" s="253"/>
      <c r="BX307" s="267"/>
      <c r="BY307" s="268"/>
      <c r="BZ307" s="252"/>
      <c r="CA307" s="253"/>
      <c r="CB307" s="267"/>
      <c r="CC307" s="268"/>
      <c r="CD307" s="255">
        <f t="shared" si="60"/>
        <v>0</v>
      </c>
      <c r="CE307" s="256">
        <f t="shared" si="61"/>
        <v>0</v>
      </c>
      <c r="CF307" s="257">
        <f t="shared" si="62"/>
        <v>0</v>
      </c>
      <c r="CG307" s="261">
        <f t="shared" si="63"/>
        <v>0</v>
      </c>
    </row>
    <row r="308" spans="1:85" s="263" customFormat="1" ht="12.75" customHeight="1">
      <c r="A308" s="426" t="s">
        <v>683</v>
      </c>
      <c r="B308" s="514" t="s">
        <v>716</v>
      </c>
      <c r="C308" s="515" t="s">
        <v>1251</v>
      </c>
      <c r="D308" s="319">
        <v>198455</v>
      </c>
      <c r="E308" s="516">
        <v>9</v>
      </c>
      <c r="F308" s="252">
        <v>151</v>
      </c>
      <c r="G308" s="253">
        <v>625299</v>
      </c>
      <c r="H308" s="267">
        <v>163</v>
      </c>
      <c r="I308" s="268">
        <v>554854</v>
      </c>
      <c r="J308" s="252">
        <v>151</v>
      </c>
      <c r="K308" s="253">
        <v>737085</v>
      </c>
      <c r="L308" s="267">
        <v>163</v>
      </c>
      <c r="M308" s="268">
        <v>870420</v>
      </c>
      <c r="N308" s="252"/>
      <c r="O308" s="253"/>
      <c r="P308" s="267"/>
      <c r="Q308" s="268"/>
      <c r="R308" s="252">
        <v>151</v>
      </c>
      <c r="S308" s="253">
        <v>613033</v>
      </c>
      <c r="T308" s="267">
        <v>163</v>
      </c>
      <c r="U308" s="268">
        <v>656838</v>
      </c>
      <c r="V308" s="252"/>
      <c r="W308" s="253"/>
      <c r="X308" s="267"/>
      <c r="Y308" s="268"/>
      <c r="Z308" s="252">
        <v>151</v>
      </c>
      <c r="AA308" s="253">
        <v>30451</v>
      </c>
      <c r="AB308" s="267">
        <v>163</v>
      </c>
      <c r="AC308" s="268">
        <v>24072</v>
      </c>
      <c r="AD308" s="252"/>
      <c r="AE308" s="253"/>
      <c r="AF308" s="267"/>
      <c r="AG308" s="268"/>
      <c r="AH308" s="252"/>
      <c r="AI308" s="253"/>
      <c r="AJ308" s="267"/>
      <c r="AK308" s="268"/>
      <c r="AL308" s="252"/>
      <c r="AM308" s="253"/>
      <c r="AN308" s="267"/>
      <c r="AO308" s="268"/>
      <c r="AP308" s="255">
        <f t="shared" si="56"/>
        <v>151</v>
      </c>
      <c r="AQ308" s="256">
        <f t="shared" si="57"/>
        <v>2005868</v>
      </c>
      <c r="AR308" s="257">
        <f t="shared" si="58"/>
        <v>163</v>
      </c>
      <c r="AS308" s="258">
        <f t="shared" si="59"/>
        <v>2106184</v>
      </c>
      <c r="AT308" s="259"/>
      <c r="AU308" s="253"/>
      <c r="AV308" s="267"/>
      <c r="AW308" s="268"/>
      <c r="AX308" s="252"/>
      <c r="AY308" s="253"/>
      <c r="AZ308" s="267"/>
      <c r="BA308" s="268"/>
      <c r="BB308" s="252"/>
      <c r="BC308" s="253"/>
      <c r="BD308" s="267"/>
      <c r="BE308" s="268"/>
      <c r="BF308" s="252"/>
      <c r="BG308" s="253"/>
      <c r="BH308" s="267"/>
      <c r="BI308" s="268"/>
      <c r="BJ308" s="252"/>
      <c r="BK308" s="253"/>
      <c r="BL308" s="267"/>
      <c r="BM308" s="268"/>
      <c r="BN308" s="252"/>
      <c r="BO308" s="253"/>
      <c r="BP308" s="267"/>
      <c r="BQ308" s="268"/>
      <c r="BR308" s="252"/>
      <c r="BS308" s="253"/>
      <c r="BT308" s="267"/>
      <c r="BU308" s="268"/>
      <c r="BV308" s="252"/>
      <c r="BW308" s="253"/>
      <c r="BX308" s="267"/>
      <c r="BY308" s="268"/>
      <c r="BZ308" s="252"/>
      <c r="CA308" s="253"/>
      <c r="CB308" s="267"/>
      <c r="CC308" s="268"/>
      <c r="CD308" s="255">
        <f t="shared" si="60"/>
        <v>0</v>
      </c>
      <c r="CE308" s="256">
        <f t="shared" si="61"/>
        <v>0</v>
      </c>
      <c r="CF308" s="257">
        <f t="shared" si="62"/>
        <v>0</v>
      </c>
      <c r="CG308" s="261">
        <f t="shared" si="63"/>
        <v>0</v>
      </c>
    </row>
    <row r="309" spans="1:85" s="263" customFormat="1" ht="12.75" customHeight="1">
      <c r="A309" s="422" t="s">
        <v>683</v>
      </c>
      <c r="B309" s="423" t="s">
        <v>523</v>
      </c>
      <c r="C309" s="423"/>
      <c r="D309" s="424">
        <v>198534</v>
      </c>
      <c r="E309" s="425">
        <v>8</v>
      </c>
      <c r="F309" s="252">
        <v>213</v>
      </c>
      <c r="G309" s="253">
        <v>873636</v>
      </c>
      <c r="H309" s="267">
        <v>212</v>
      </c>
      <c r="I309" s="268">
        <v>1056146</v>
      </c>
      <c r="J309" s="252">
        <v>280</v>
      </c>
      <c r="K309" s="253">
        <v>1267560</v>
      </c>
      <c r="L309" s="267">
        <v>289</v>
      </c>
      <c r="M309" s="268">
        <v>1424770</v>
      </c>
      <c r="N309" s="252"/>
      <c r="O309" s="253"/>
      <c r="P309" s="267"/>
      <c r="Q309" s="268"/>
      <c r="R309" s="252">
        <v>303</v>
      </c>
      <c r="S309" s="253">
        <v>1053443</v>
      </c>
      <c r="T309" s="267">
        <v>311</v>
      </c>
      <c r="U309" s="268">
        <v>1089339</v>
      </c>
      <c r="V309" s="252"/>
      <c r="W309" s="253"/>
      <c r="X309" s="267"/>
      <c r="Y309" s="268"/>
      <c r="Z309" s="252"/>
      <c r="AA309" s="253"/>
      <c r="AB309" s="267"/>
      <c r="AC309" s="268"/>
      <c r="AD309" s="252"/>
      <c r="AE309" s="253"/>
      <c r="AF309" s="267"/>
      <c r="AG309" s="268"/>
      <c r="AH309" s="252"/>
      <c r="AI309" s="253"/>
      <c r="AJ309" s="267"/>
      <c r="AK309" s="268"/>
      <c r="AL309" s="252"/>
      <c r="AM309" s="253"/>
      <c r="AN309" s="267"/>
      <c r="AO309" s="268"/>
      <c r="AP309" s="255">
        <f t="shared" si="56"/>
        <v>303</v>
      </c>
      <c r="AQ309" s="256">
        <f t="shared" si="57"/>
        <v>3194639</v>
      </c>
      <c r="AR309" s="257">
        <f t="shared" si="58"/>
        <v>311</v>
      </c>
      <c r="AS309" s="258">
        <f t="shared" si="59"/>
        <v>3570255</v>
      </c>
      <c r="AT309" s="259"/>
      <c r="AU309" s="253"/>
      <c r="AV309" s="267"/>
      <c r="AW309" s="268"/>
      <c r="AX309" s="252"/>
      <c r="AY309" s="253"/>
      <c r="AZ309" s="267"/>
      <c r="BA309" s="268"/>
      <c r="BB309" s="252"/>
      <c r="BC309" s="253"/>
      <c r="BD309" s="267"/>
      <c r="BE309" s="268"/>
      <c r="BF309" s="252"/>
      <c r="BG309" s="253"/>
      <c r="BH309" s="267"/>
      <c r="BI309" s="268"/>
      <c r="BJ309" s="252"/>
      <c r="BK309" s="253"/>
      <c r="BL309" s="267"/>
      <c r="BM309" s="268"/>
      <c r="BN309" s="252"/>
      <c r="BO309" s="253"/>
      <c r="BP309" s="267"/>
      <c r="BQ309" s="268"/>
      <c r="BR309" s="252"/>
      <c r="BS309" s="253"/>
      <c r="BT309" s="267"/>
      <c r="BU309" s="268"/>
      <c r="BV309" s="252"/>
      <c r="BW309" s="253"/>
      <c r="BX309" s="267"/>
      <c r="BY309" s="268"/>
      <c r="BZ309" s="252"/>
      <c r="CA309" s="253"/>
      <c r="CB309" s="267"/>
      <c r="CC309" s="268"/>
      <c r="CD309" s="255">
        <f t="shared" si="60"/>
        <v>0</v>
      </c>
      <c r="CE309" s="256">
        <f t="shared" si="61"/>
        <v>0</v>
      </c>
      <c r="CF309" s="257">
        <f t="shared" si="62"/>
        <v>0</v>
      </c>
      <c r="CG309" s="261">
        <f t="shared" si="63"/>
        <v>0</v>
      </c>
    </row>
    <row r="310" spans="1:85" s="263" customFormat="1" ht="12.75" customHeight="1">
      <c r="A310" s="422" t="s">
        <v>683</v>
      </c>
      <c r="B310" s="423" t="s">
        <v>524</v>
      </c>
      <c r="C310" s="423"/>
      <c r="D310" s="424">
        <v>198552</v>
      </c>
      <c r="E310" s="425">
        <v>8</v>
      </c>
      <c r="F310" s="252">
        <v>194</v>
      </c>
      <c r="G310" s="253">
        <v>861360</v>
      </c>
      <c r="H310" s="267">
        <v>214</v>
      </c>
      <c r="I310" s="268">
        <v>971008</v>
      </c>
      <c r="J310" s="252">
        <v>194</v>
      </c>
      <c r="K310" s="253">
        <v>973686</v>
      </c>
      <c r="L310" s="267">
        <v>214</v>
      </c>
      <c r="M310" s="268">
        <v>1139268</v>
      </c>
      <c r="N310" s="252"/>
      <c r="O310" s="253"/>
      <c r="P310" s="267"/>
      <c r="Q310" s="268"/>
      <c r="R310" s="252">
        <v>198</v>
      </c>
      <c r="S310" s="253">
        <v>781902</v>
      </c>
      <c r="T310" s="267">
        <v>214</v>
      </c>
      <c r="U310" s="268">
        <v>704004</v>
      </c>
      <c r="V310" s="252"/>
      <c r="W310" s="253"/>
      <c r="X310" s="267"/>
      <c r="Y310" s="268"/>
      <c r="Z310" s="252">
        <v>194</v>
      </c>
      <c r="AA310" s="253">
        <v>25414</v>
      </c>
      <c r="AB310" s="267">
        <v>214</v>
      </c>
      <c r="AC310" s="268">
        <v>28307</v>
      </c>
      <c r="AD310" s="252"/>
      <c r="AE310" s="253"/>
      <c r="AF310" s="267"/>
      <c r="AG310" s="268"/>
      <c r="AH310" s="252"/>
      <c r="AI310" s="253"/>
      <c r="AJ310" s="267"/>
      <c r="AK310" s="268"/>
      <c r="AL310" s="252"/>
      <c r="AM310" s="253"/>
      <c r="AN310" s="267"/>
      <c r="AO310" s="268"/>
      <c r="AP310" s="255">
        <f t="shared" si="56"/>
        <v>198</v>
      </c>
      <c r="AQ310" s="256">
        <f t="shared" si="57"/>
        <v>2642362</v>
      </c>
      <c r="AR310" s="257">
        <f t="shared" si="58"/>
        <v>214</v>
      </c>
      <c r="AS310" s="258">
        <f t="shared" si="59"/>
        <v>2842587</v>
      </c>
      <c r="AT310" s="259"/>
      <c r="AU310" s="253"/>
      <c r="AV310" s="267"/>
      <c r="AW310" s="268"/>
      <c r="AX310" s="252"/>
      <c r="AY310" s="253"/>
      <c r="AZ310" s="267"/>
      <c r="BA310" s="268"/>
      <c r="BB310" s="252"/>
      <c r="BC310" s="253"/>
      <c r="BD310" s="267"/>
      <c r="BE310" s="268"/>
      <c r="BF310" s="252"/>
      <c r="BG310" s="253"/>
      <c r="BH310" s="267"/>
      <c r="BI310" s="268"/>
      <c r="BJ310" s="252"/>
      <c r="BK310" s="253"/>
      <c r="BL310" s="267"/>
      <c r="BM310" s="268"/>
      <c r="BN310" s="252"/>
      <c r="BO310" s="253"/>
      <c r="BP310" s="267"/>
      <c r="BQ310" s="268"/>
      <c r="BR310" s="252"/>
      <c r="BS310" s="253"/>
      <c r="BT310" s="267"/>
      <c r="BU310" s="268"/>
      <c r="BV310" s="252"/>
      <c r="BW310" s="253"/>
      <c r="BX310" s="267"/>
      <c r="BY310" s="268"/>
      <c r="BZ310" s="252"/>
      <c r="CA310" s="253"/>
      <c r="CB310" s="267"/>
      <c r="CC310" s="268"/>
      <c r="CD310" s="255">
        <f t="shared" si="60"/>
        <v>0</v>
      </c>
      <c r="CE310" s="256">
        <f t="shared" si="61"/>
        <v>0</v>
      </c>
      <c r="CF310" s="257">
        <f t="shared" si="62"/>
        <v>0</v>
      </c>
      <c r="CG310" s="261">
        <f t="shared" si="63"/>
        <v>0</v>
      </c>
    </row>
    <row r="311" spans="1:85" s="263" customFormat="1" ht="12.75" customHeight="1">
      <c r="A311" s="422" t="s">
        <v>683</v>
      </c>
      <c r="B311" s="423" t="s">
        <v>525</v>
      </c>
      <c r="C311" s="423"/>
      <c r="D311" s="424">
        <v>198622</v>
      </c>
      <c r="E311" s="425">
        <v>8</v>
      </c>
      <c r="F311" s="252">
        <v>289</v>
      </c>
      <c r="G311" s="253">
        <v>1275171</v>
      </c>
      <c r="H311" s="267">
        <v>324</v>
      </c>
      <c r="I311" s="268">
        <v>1690060</v>
      </c>
      <c r="J311" s="252">
        <v>289</v>
      </c>
      <c r="K311" s="253">
        <v>1401835</v>
      </c>
      <c r="L311" s="267">
        <v>324</v>
      </c>
      <c r="M311" s="268">
        <v>1718652</v>
      </c>
      <c r="N311" s="252"/>
      <c r="O311" s="253"/>
      <c r="P311" s="267"/>
      <c r="Q311" s="268"/>
      <c r="R311" s="252">
        <v>289</v>
      </c>
      <c r="S311" s="253">
        <v>1125163</v>
      </c>
      <c r="T311" s="267">
        <v>324</v>
      </c>
      <c r="U311" s="268">
        <v>1230158</v>
      </c>
      <c r="V311" s="252"/>
      <c r="W311" s="253"/>
      <c r="X311" s="267"/>
      <c r="Y311" s="268"/>
      <c r="Z311" s="252"/>
      <c r="AA311" s="253"/>
      <c r="AB311" s="267"/>
      <c r="AC311" s="268"/>
      <c r="AD311" s="252"/>
      <c r="AE311" s="253"/>
      <c r="AF311" s="267"/>
      <c r="AG311" s="268"/>
      <c r="AH311" s="252"/>
      <c r="AI311" s="253"/>
      <c r="AJ311" s="267"/>
      <c r="AK311" s="268"/>
      <c r="AL311" s="252"/>
      <c r="AM311" s="253"/>
      <c r="AN311" s="267"/>
      <c r="AO311" s="268"/>
      <c r="AP311" s="255">
        <f t="shared" si="56"/>
        <v>289</v>
      </c>
      <c r="AQ311" s="256">
        <f t="shared" si="57"/>
        <v>3802169</v>
      </c>
      <c r="AR311" s="257">
        <f t="shared" si="58"/>
        <v>324</v>
      </c>
      <c r="AS311" s="258">
        <f t="shared" si="59"/>
        <v>4638870</v>
      </c>
      <c r="AT311" s="259"/>
      <c r="AU311" s="253"/>
      <c r="AV311" s="267"/>
      <c r="AW311" s="268"/>
      <c r="AX311" s="252"/>
      <c r="AY311" s="253"/>
      <c r="AZ311" s="267"/>
      <c r="BA311" s="268"/>
      <c r="BB311" s="252"/>
      <c r="BC311" s="253"/>
      <c r="BD311" s="267"/>
      <c r="BE311" s="268"/>
      <c r="BF311" s="252"/>
      <c r="BG311" s="253"/>
      <c r="BH311" s="267"/>
      <c r="BI311" s="268"/>
      <c r="BJ311" s="252"/>
      <c r="BK311" s="253"/>
      <c r="BL311" s="267"/>
      <c r="BM311" s="268"/>
      <c r="BN311" s="252"/>
      <c r="BO311" s="253"/>
      <c r="BP311" s="267"/>
      <c r="BQ311" s="268"/>
      <c r="BR311" s="252"/>
      <c r="BS311" s="253"/>
      <c r="BT311" s="267"/>
      <c r="BU311" s="268"/>
      <c r="BV311" s="252"/>
      <c r="BW311" s="253"/>
      <c r="BX311" s="267"/>
      <c r="BY311" s="268"/>
      <c r="BZ311" s="252"/>
      <c r="CA311" s="253"/>
      <c r="CB311" s="267"/>
      <c r="CC311" s="268"/>
      <c r="CD311" s="255">
        <f t="shared" si="60"/>
        <v>0</v>
      </c>
      <c r="CE311" s="256">
        <f t="shared" si="61"/>
        <v>0</v>
      </c>
      <c r="CF311" s="257">
        <f t="shared" si="62"/>
        <v>0</v>
      </c>
      <c r="CG311" s="261">
        <f t="shared" si="63"/>
        <v>0</v>
      </c>
    </row>
    <row r="312" spans="1:85" s="263" customFormat="1" ht="12.75" customHeight="1">
      <c r="A312" s="422" t="s">
        <v>683</v>
      </c>
      <c r="B312" s="423" t="s">
        <v>526</v>
      </c>
      <c r="C312" s="423"/>
      <c r="D312" s="424">
        <v>199333</v>
      </c>
      <c r="E312" s="425">
        <v>8</v>
      </c>
      <c r="F312" s="252">
        <v>196</v>
      </c>
      <c r="G312" s="253">
        <v>807284</v>
      </c>
      <c r="H312" s="267">
        <v>226</v>
      </c>
      <c r="I312" s="268">
        <v>1119620</v>
      </c>
      <c r="J312" s="252">
        <v>196</v>
      </c>
      <c r="K312" s="253">
        <v>668811</v>
      </c>
      <c r="L312" s="267">
        <v>226</v>
      </c>
      <c r="M312" s="268">
        <v>840497</v>
      </c>
      <c r="N312" s="252"/>
      <c r="O312" s="253"/>
      <c r="P312" s="267"/>
      <c r="Q312" s="268"/>
      <c r="R312" s="252">
        <v>196</v>
      </c>
      <c r="S312" s="253">
        <v>705797</v>
      </c>
      <c r="T312" s="267">
        <v>226</v>
      </c>
      <c r="U312" s="268">
        <v>814947</v>
      </c>
      <c r="V312" s="252"/>
      <c r="W312" s="253"/>
      <c r="X312" s="267"/>
      <c r="Y312" s="268"/>
      <c r="Z312" s="252"/>
      <c r="AA312" s="253"/>
      <c r="AB312" s="267"/>
      <c r="AC312" s="268"/>
      <c r="AD312" s="252"/>
      <c r="AE312" s="253"/>
      <c r="AF312" s="267"/>
      <c r="AG312" s="268"/>
      <c r="AH312" s="252"/>
      <c r="AI312" s="253"/>
      <c r="AJ312" s="267"/>
      <c r="AK312" s="268"/>
      <c r="AL312" s="252"/>
      <c r="AM312" s="253"/>
      <c r="AN312" s="267"/>
      <c r="AO312" s="268"/>
      <c r="AP312" s="255">
        <f t="shared" si="56"/>
        <v>196</v>
      </c>
      <c r="AQ312" s="256">
        <f t="shared" si="57"/>
        <v>2181892</v>
      </c>
      <c r="AR312" s="257">
        <f t="shared" si="58"/>
        <v>226</v>
      </c>
      <c r="AS312" s="258">
        <f t="shared" si="59"/>
        <v>2775064</v>
      </c>
      <c r="AT312" s="259"/>
      <c r="AU312" s="253"/>
      <c r="AV312" s="267"/>
      <c r="AW312" s="268"/>
      <c r="AX312" s="252"/>
      <c r="AY312" s="253"/>
      <c r="AZ312" s="267"/>
      <c r="BA312" s="268"/>
      <c r="BB312" s="252"/>
      <c r="BC312" s="253"/>
      <c r="BD312" s="267"/>
      <c r="BE312" s="268"/>
      <c r="BF312" s="252"/>
      <c r="BG312" s="253"/>
      <c r="BH312" s="267"/>
      <c r="BI312" s="268"/>
      <c r="BJ312" s="252"/>
      <c r="BK312" s="253"/>
      <c r="BL312" s="267"/>
      <c r="BM312" s="268"/>
      <c r="BN312" s="252"/>
      <c r="BO312" s="253"/>
      <c r="BP312" s="267"/>
      <c r="BQ312" s="268"/>
      <c r="BR312" s="252"/>
      <c r="BS312" s="253"/>
      <c r="BT312" s="267"/>
      <c r="BU312" s="268"/>
      <c r="BV312" s="252"/>
      <c r="BW312" s="253"/>
      <c r="BX312" s="267"/>
      <c r="BY312" s="268"/>
      <c r="BZ312" s="252"/>
      <c r="CA312" s="253"/>
      <c r="CB312" s="267"/>
      <c r="CC312" s="268"/>
      <c r="CD312" s="255">
        <f t="shared" si="60"/>
        <v>0</v>
      </c>
      <c r="CE312" s="256">
        <f t="shared" si="61"/>
        <v>0</v>
      </c>
      <c r="CF312" s="257">
        <f t="shared" si="62"/>
        <v>0</v>
      </c>
      <c r="CG312" s="261">
        <f t="shared" si="63"/>
        <v>0</v>
      </c>
    </row>
    <row r="313" spans="1:85" s="263" customFormat="1" ht="12.75" customHeight="1">
      <c r="A313" s="426" t="s">
        <v>683</v>
      </c>
      <c r="B313" s="321" t="s">
        <v>541</v>
      </c>
      <c r="C313" s="321"/>
      <c r="D313" s="319">
        <v>199494</v>
      </c>
      <c r="E313" s="320">
        <v>8</v>
      </c>
      <c r="F313" s="252">
        <v>145</v>
      </c>
      <c r="G313" s="253">
        <v>685391</v>
      </c>
      <c r="H313" s="267">
        <v>157</v>
      </c>
      <c r="I313" s="268">
        <v>895198</v>
      </c>
      <c r="J313" s="252">
        <v>141</v>
      </c>
      <c r="K313" s="253">
        <v>638256</v>
      </c>
      <c r="L313" s="267">
        <v>152</v>
      </c>
      <c r="M313" s="268">
        <v>749360</v>
      </c>
      <c r="N313" s="252"/>
      <c r="O313" s="253"/>
      <c r="P313" s="267"/>
      <c r="Q313" s="268"/>
      <c r="R313" s="252">
        <v>145</v>
      </c>
      <c r="S313" s="253">
        <v>599228</v>
      </c>
      <c r="T313" s="267">
        <v>157</v>
      </c>
      <c r="U313" s="268">
        <v>651595</v>
      </c>
      <c r="V313" s="252"/>
      <c r="W313" s="253"/>
      <c r="X313" s="267"/>
      <c r="Y313" s="268"/>
      <c r="Z313" s="252"/>
      <c r="AA313" s="253"/>
      <c r="AB313" s="267"/>
      <c r="AC313" s="268"/>
      <c r="AD313" s="252"/>
      <c r="AE313" s="253"/>
      <c r="AF313" s="267"/>
      <c r="AG313" s="268"/>
      <c r="AH313" s="252"/>
      <c r="AI313" s="253"/>
      <c r="AJ313" s="267"/>
      <c r="AK313" s="268"/>
      <c r="AL313" s="252"/>
      <c r="AM313" s="253"/>
      <c r="AN313" s="267"/>
      <c r="AO313" s="268"/>
      <c r="AP313" s="255">
        <f t="shared" si="56"/>
        <v>145</v>
      </c>
      <c r="AQ313" s="256">
        <f t="shared" si="57"/>
        <v>1922875</v>
      </c>
      <c r="AR313" s="257">
        <f t="shared" si="58"/>
        <v>157</v>
      </c>
      <c r="AS313" s="258">
        <f t="shared" si="59"/>
        <v>2296153</v>
      </c>
      <c r="AT313" s="259"/>
      <c r="AU313" s="253"/>
      <c r="AV313" s="267"/>
      <c r="AW313" s="268"/>
      <c r="AX313" s="252"/>
      <c r="AY313" s="253"/>
      <c r="AZ313" s="267"/>
      <c r="BA313" s="268"/>
      <c r="BB313" s="252"/>
      <c r="BC313" s="253"/>
      <c r="BD313" s="267"/>
      <c r="BE313" s="268"/>
      <c r="BF313" s="252"/>
      <c r="BG313" s="253"/>
      <c r="BH313" s="267"/>
      <c r="BI313" s="268"/>
      <c r="BJ313" s="252"/>
      <c r="BK313" s="253"/>
      <c r="BL313" s="267"/>
      <c r="BM313" s="268"/>
      <c r="BN313" s="252"/>
      <c r="BO313" s="253"/>
      <c r="BP313" s="267"/>
      <c r="BQ313" s="268"/>
      <c r="BR313" s="252"/>
      <c r="BS313" s="253"/>
      <c r="BT313" s="267"/>
      <c r="BU313" s="268"/>
      <c r="BV313" s="252"/>
      <c r="BW313" s="253"/>
      <c r="BX313" s="267"/>
      <c r="BY313" s="268"/>
      <c r="BZ313" s="252"/>
      <c r="CA313" s="253"/>
      <c r="CB313" s="267"/>
      <c r="CC313" s="268"/>
      <c r="CD313" s="255">
        <f t="shared" si="60"/>
        <v>0</v>
      </c>
      <c r="CE313" s="256">
        <f t="shared" si="61"/>
        <v>0</v>
      </c>
      <c r="CF313" s="257">
        <f t="shared" si="62"/>
        <v>0</v>
      </c>
      <c r="CG313" s="261">
        <f t="shared" si="63"/>
        <v>0</v>
      </c>
    </row>
    <row r="314" spans="1:85" s="263" customFormat="1" ht="12.75" customHeight="1">
      <c r="A314" s="422" t="s">
        <v>683</v>
      </c>
      <c r="B314" s="423" t="s">
        <v>527</v>
      </c>
      <c r="C314" s="423"/>
      <c r="D314" s="424">
        <v>199856</v>
      </c>
      <c r="E314" s="425">
        <v>8</v>
      </c>
      <c r="F314" s="252">
        <v>453</v>
      </c>
      <c r="G314" s="253">
        <v>1680865</v>
      </c>
      <c r="H314" s="267">
        <v>503</v>
      </c>
      <c r="I314" s="268">
        <v>2337497</v>
      </c>
      <c r="J314" s="252">
        <v>453</v>
      </c>
      <c r="K314" s="253">
        <v>1537926</v>
      </c>
      <c r="L314" s="267">
        <v>503</v>
      </c>
      <c r="M314" s="268">
        <v>1953310</v>
      </c>
      <c r="N314" s="252">
        <v>453</v>
      </c>
      <c r="O314" s="253">
        <v>106203</v>
      </c>
      <c r="P314" s="267">
        <v>503</v>
      </c>
      <c r="Q314" s="268">
        <v>115652</v>
      </c>
      <c r="R314" s="252">
        <v>453</v>
      </c>
      <c r="S314" s="253">
        <v>1562408</v>
      </c>
      <c r="T314" s="267">
        <v>503</v>
      </c>
      <c r="U314" s="268">
        <v>1701413</v>
      </c>
      <c r="V314" s="252"/>
      <c r="W314" s="253"/>
      <c r="X314" s="267">
        <v>503</v>
      </c>
      <c r="Y314" s="268">
        <v>545</v>
      </c>
      <c r="Z314" s="252"/>
      <c r="AA314" s="253"/>
      <c r="AB314" s="267"/>
      <c r="AC314" s="268"/>
      <c r="AD314" s="252">
        <v>453</v>
      </c>
      <c r="AE314" s="253">
        <v>37385</v>
      </c>
      <c r="AF314" s="267">
        <v>503</v>
      </c>
      <c r="AG314" s="268">
        <v>37326</v>
      </c>
      <c r="AH314" s="252"/>
      <c r="AI314" s="253"/>
      <c r="AJ314" s="267"/>
      <c r="AK314" s="268"/>
      <c r="AL314" s="252"/>
      <c r="AM314" s="253"/>
      <c r="AN314" s="267"/>
      <c r="AO314" s="268"/>
      <c r="AP314" s="255">
        <f t="shared" si="56"/>
        <v>453</v>
      </c>
      <c r="AQ314" s="256">
        <f t="shared" si="57"/>
        <v>4924787</v>
      </c>
      <c r="AR314" s="257">
        <f t="shared" si="58"/>
        <v>503</v>
      </c>
      <c r="AS314" s="258">
        <f t="shared" si="59"/>
        <v>6145743</v>
      </c>
      <c r="AT314" s="259"/>
      <c r="AU314" s="253"/>
      <c r="AV314" s="267"/>
      <c r="AW314" s="268"/>
      <c r="AX314" s="252"/>
      <c r="AY314" s="253"/>
      <c r="AZ314" s="267"/>
      <c r="BA314" s="268"/>
      <c r="BB314" s="252"/>
      <c r="BC314" s="253"/>
      <c r="BD314" s="267"/>
      <c r="BE314" s="268"/>
      <c r="BF314" s="252"/>
      <c r="BG314" s="253"/>
      <c r="BH314" s="267"/>
      <c r="BI314" s="268"/>
      <c r="BJ314" s="252"/>
      <c r="BK314" s="253"/>
      <c r="BL314" s="267"/>
      <c r="BM314" s="268"/>
      <c r="BN314" s="252"/>
      <c r="BO314" s="253"/>
      <c r="BP314" s="267"/>
      <c r="BQ314" s="268"/>
      <c r="BR314" s="252"/>
      <c r="BS314" s="253"/>
      <c r="BT314" s="267"/>
      <c r="BU314" s="268"/>
      <c r="BV314" s="252"/>
      <c r="BW314" s="253"/>
      <c r="BX314" s="267"/>
      <c r="BY314" s="268"/>
      <c r="BZ314" s="252"/>
      <c r="CA314" s="253"/>
      <c r="CB314" s="267"/>
      <c r="CC314" s="268"/>
      <c r="CD314" s="255">
        <f t="shared" si="60"/>
        <v>0</v>
      </c>
      <c r="CE314" s="256">
        <f t="shared" si="61"/>
        <v>0</v>
      </c>
      <c r="CF314" s="257">
        <f t="shared" si="62"/>
        <v>0</v>
      </c>
      <c r="CG314" s="261">
        <f t="shared" si="63"/>
        <v>0</v>
      </c>
    </row>
    <row r="315" spans="1:85" s="263" customFormat="1" ht="12.75" customHeight="1">
      <c r="A315" s="422" t="s">
        <v>683</v>
      </c>
      <c r="B315" s="423" t="s">
        <v>528</v>
      </c>
      <c r="C315" s="423"/>
      <c r="D315" s="424">
        <v>199786</v>
      </c>
      <c r="E315" s="425">
        <v>9</v>
      </c>
      <c r="F315" s="252">
        <v>110</v>
      </c>
      <c r="G315" s="253">
        <v>467655</v>
      </c>
      <c r="H315" s="267">
        <v>111</v>
      </c>
      <c r="I315" s="268">
        <v>561812</v>
      </c>
      <c r="J315" s="252">
        <v>110</v>
      </c>
      <c r="K315" s="253">
        <v>404465</v>
      </c>
      <c r="L315" s="267">
        <v>111</v>
      </c>
      <c r="M315" s="268">
        <v>410389</v>
      </c>
      <c r="N315" s="252"/>
      <c r="O315" s="253"/>
      <c r="P315" s="267"/>
      <c r="Q315" s="268"/>
      <c r="R315" s="252">
        <v>110</v>
      </c>
      <c r="S315" s="253">
        <v>408864</v>
      </c>
      <c r="T315" s="267">
        <v>111</v>
      </c>
      <c r="U315" s="268">
        <v>408930</v>
      </c>
      <c r="V315" s="252"/>
      <c r="W315" s="253"/>
      <c r="X315" s="267"/>
      <c r="Y315" s="268"/>
      <c r="Z315" s="252"/>
      <c r="AA315" s="253"/>
      <c r="AB315" s="267"/>
      <c r="AC315" s="268"/>
      <c r="AD315" s="252"/>
      <c r="AE315" s="253"/>
      <c r="AF315" s="267"/>
      <c r="AG315" s="268"/>
      <c r="AH315" s="252"/>
      <c r="AI315" s="253"/>
      <c r="AJ315" s="267"/>
      <c r="AK315" s="268"/>
      <c r="AL315" s="252"/>
      <c r="AM315" s="253"/>
      <c r="AN315" s="267"/>
      <c r="AO315" s="268"/>
      <c r="AP315" s="255">
        <f t="shared" si="56"/>
        <v>110</v>
      </c>
      <c r="AQ315" s="256">
        <f t="shared" si="57"/>
        <v>1280984</v>
      </c>
      <c r="AR315" s="257">
        <f t="shared" si="58"/>
        <v>111</v>
      </c>
      <c r="AS315" s="258">
        <f t="shared" si="59"/>
        <v>1381131</v>
      </c>
      <c r="AT315" s="259"/>
      <c r="AU315" s="253"/>
      <c r="AV315" s="267"/>
      <c r="AW315" s="268"/>
      <c r="AX315" s="252"/>
      <c r="AY315" s="253"/>
      <c r="AZ315" s="267"/>
      <c r="BA315" s="268"/>
      <c r="BB315" s="252"/>
      <c r="BC315" s="253"/>
      <c r="BD315" s="267"/>
      <c r="BE315" s="268"/>
      <c r="BF315" s="252"/>
      <c r="BG315" s="253"/>
      <c r="BH315" s="267"/>
      <c r="BI315" s="268"/>
      <c r="BJ315" s="252"/>
      <c r="BK315" s="253"/>
      <c r="BL315" s="267"/>
      <c r="BM315" s="268"/>
      <c r="BN315" s="252"/>
      <c r="BO315" s="253"/>
      <c r="BP315" s="267"/>
      <c r="BQ315" s="268"/>
      <c r="BR315" s="252"/>
      <c r="BS315" s="253"/>
      <c r="BT315" s="267"/>
      <c r="BU315" s="268"/>
      <c r="BV315" s="252"/>
      <c r="BW315" s="253"/>
      <c r="BX315" s="267"/>
      <c r="BY315" s="268"/>
      <c r="BZ315" s="252"/>
      <c r="CA315" s="253"/>
      <c r="CB315" s="267"/>
      <c r="CC315" s="268"/>
      <c r="CD315" s="255">
        <f t="shared" si="60"/>
        <v>0</v>
      </c>
      <c r="CE315" s="256">
        <f t="shared" si="61"/>
        <v>0</v>
      </c>
      <c r="CF315" s="257">
        <f t="shared" si="62"/>
        <v>0</v>
      </c>
      <c r="CG315" s="261">
        <f t="shared" si="63"/>
        <v>0</v>
      </c>
    </row>
    <row r="316" spans="1:85" s="263" customFormat="1" ht="12.75" customHeight="1">
      <c r="A316" s="422" t="s">
        <v>683</v>
      </c>
      <c r="B316" s="514" t="s">
        <v>530</v>
      </c>
      <c r="C316" s="515" t="s">
        <v>1252</v>
      </c>
      <c r="D316" s="424">
        <v>198039</v>
      </c>
      <c r="E316" s="516">
        <v>10</v>
      </c>
      <c r="F316" s="252">
        <v>70</v>
      </c>
      <c r="G316" s="253">
        <v>315532</v>
      </c>
      <c r="H316" s="267">
        <v>72</v>
      </c>
      <c r="I316" s="268">
        <v>264782</v>
      </c>
      <c r="J316" s="252">
        <v>70</v>
      </c>
      <c r="K316" s="253">
        <v>26405</v>
      </c>
      <c r="L316" s="267">
        <v>72</v>
      </c>
      <c r="M316" s="268">
        <v>266328</v>
      </c>
      <c r="N316" s="252"/>
      <c r="O316" s="253"/>
      <c r="P316" s="267"/>
      <c r="Q316" s="268"/>
      <c r="R316" s="252">
        <v>70</v>
      </c>
      <c r="S316" s="253">
        <v>275865</v>
      </c>
      <c r="T316" s="267">
        <v>70</v>
      </c>
      <c r="U316" s="268">
        <v>221375</v>
      </c>
      <c r="V316" s="252"/>
      <c r="W316" s="253"/>
      <c r="X316" s="267"/>
      <c r="Y316" s="268"/>
      <c r="Z316" s="252"/>
      <c r="AA316" s="253"/>
      <c r="AB316" s="267"/>
      <c r="AC316" s="268"/>
      <c r="AD316" s="252"/>
      <c r="AE316" s="253"/>
      <c r="AF316" s="267"/>
      <c r="AG316" s="268"/>
      <c r="AH316" s="252"/>
      <c r="AI316" s="253"/>
      <c r="AJ316" s="267"/>
      <c r="AK316" s="268"/>
      <c r="AL316" s="252"/>
      <c r="AM316" s="253"/>
      <c r="AN316" s="267"/>
      <c r="AO316" s="268"/>
      <c r="AP316" s="255">
        <f t="shared" si="56"/>
        <v>70</v>
      </c>
      <c r="AQ316" s="256">
        <f t="shared" si="57"/>
        <v>617802</v>
      </c>
      <c r="AR316" s="257">
        <f t="shared" si="58"/>
        <v>72</v>
      </c>
      <c r="AS316" s="258">
        <f t="shared" si="59"/>
        <v>752485</v>
      </c>
      <c r="AT316" s="259"/>
      <c r="AU316" s="253"/>
      <c r="AV316" s="267"/>
      <c r="AW316" s="268"/>
      <c r="AX316" s="252"/>
      <c r="AY316" s="253"/>
      <c r="AZ316" s="267"/>
      <c r="BA316" s="268"/>
      <c r="BB316" s="252"/>
      <c r="BC316" s="253"/>
      <c r="BD316" s="267"/>
      <c r="BE316" s="268"/>
      <c r="BF316" s="252"/>
      <c r="BG316" s="253"/>
      <c r="BH316" s="267"/>
      <c r="BI316" s="268"/>
      <c r="BJ316" s="252"/>
      <c r="BK316" s="253"/>
      <c r="BL316" s="267"/>
      <c r="BM316" s="268"/>
      <c r="BN316" s="252"/>
      <c r="BO316" s="253"/>
      <c r="BP316" s="267"/>
      <c r="BQ316" s="268"/>
      <c r="BR316" s="252"/>
      <c r="BS316" s="253"/>
      <c r="BT316" s="267"/>
      <c r="BU316" s="268"/>
      <c r="BV316" s="252"/>
      <c r="BW316" s="253"/>
      <c r="BX316" s="267"/>
      <c r="BY316" s="268"/>
      <c r="BZ316" s="252"/>
      <c r="CA316" s="253"/>
      <c r="CB316" s="267"/>
      <c r="CC316" s="268"/>
      <c r="CD316" s="255">
        <f t="shared" si="60"/>
        <v>0</v>
      </c>
      <c r="CE316" s="256">
        <f t="shared" si="61"/>
        <v>0</v>
      </c>
      <c r="CF316" s="257">
        <f t="shared" si="62"/>
        <v>0</v>
      </c>
      <c r="CG316" s="261">
        <f t="shared" si="63"/>
        <v>0</v>
      </c>
    </row>
    <row r="317" spans="1:85" s="263" customFormat="1" ht="12.75" customHeight="1">
      <c r="A317" s="422" t="s">
        <v>683</v>
      </c>
      <c r="B317" s="423" t="s">
        <v>1004</v>
      </c>
      <c r="C317" s="423"/>
      <c r="D317" s="424">
        <v>198118</v>
      </c>
      <c r="E317" s="425">
        <v>9</v>
      </c>
      <c r="F317" s="252">
        <v>138</v>
      </c>
      <c r="G317" s="253">
        <v>525050</v>
      </c>
      <c r="H317" s="267">
        <v>136</v>
      </c>
      <c r="I317" s="268">
        <v>632208</v>
      </c>
      <c r="J317" s="252">
        <v>138</v>
      </c>
      <c r="K317" s="253">
        <v>624676</v>
      </c>
      <c r="L317" s="267">
        <v>136</v>
      </c>
      <c r="M317" s="268">
        <v>670425</v>
      </c>
      <c r="N317" s="252"/>
      <c r="O317" s="253"/>
      <c r="P317" s="267"/>
      <c r="Q317" s="268"/>
      <c r="R317" s="252">
        <v>138</v>
      </c>
      <c r="S317" s="253">
        <v>459044</v>
      </c>
      <c r="T317" s="267">
        <v>136</v>
      </c>
      <c r="U317" s="268">
        <v>460170</v>
      </c>
      <c r="V317" s="252"/>
      <c r="W317" s="253"/>
      <c r="X317" s="267"/>
      <c r="Y317" s="268"/>
      <c r="Z317" s="252"/>
      <c r="AA317" s="253"/>
      <c r="AB317" s="267"/>
      <c r="AC317" s="268"/>
      <c r="AD317" s="252"/>
      <c r="AE317" s="253"/>
      <c r="AF317" s="267"/>
      <c r="AG317" s="268"/>
      <c r="AH317" s="252"/>
      <c r="AI317" s="253"/>
      <c r="AJ317" s="267"/>
      <c r="AK317" s="268"/>
      <c r="AL317" s="252"/>
      <c r="AM317" s="253"/>
      <c r="AN317" s="267"/>
      <c r="AO317" s="268"/>
      <c r="AP317" s="255">
        <f t="shared" si="56"/>
        <v>138</v>
      </c>
      <c r="AQ317" s="256">
        <f t="shared" si="57"/>
        <v>1608770</v>
      </c>
      <c r="AR317" s="257">
        <f t="shared" si="58"/>
        <v>136</v>
      </c>
      <c r="AS317" s="258">
        <f t="shared" si="59"/>
        <v>1762803</v>
      </c>
      <c r="AT317" s="259"/>
      <c r="AU317" s="253"/>
      <c r="AV317" s="267"/>
      <c r="AW317" s="268"/>
      <c r="AX317" s="252"/>
      <c r="AY317" s="253"/>
      <c r="AZ317" s="267"/>
      <c r="BA317" s="268"/>
      <c r="BB317" s="252"/>
      <c r="BC317" s="253"/>
      <c r="BD317" s="267"/>
      <c r="BE317" s="268"/>
      <c r="BF317" s="252"/>
      <c r="BG317" s="253"/>
      <c r="BH317" s="267"/>
      <c r="BI317" s="268"/>
      <c r="BJ317" s="252"/>
      <c r="BK317" s="253"/>
      <c r="BL317" s="267"/>
      <c r="BM317" s="268"/>
      <c r="BN317" s="252"/>
      <c r="BO317" s="253"/>
      <c r="BP317" s="267"/>
      <c r="BQ317" s="268"/>
      <c r="BR317" s="252"/>
      <c r="BS317" s="253"/>
      <c r="BT317" s="267"/>
      <c r="BU317" s="268"/>
      <c r="BV317" s="252"/>
      <c r="BW317" s="253"/>
      <c r="BX317" s="267"/>
      <c r="BY317" s="268"/>
      <c r="BZ317" s="252"/>
      <c r="CA317" s="253"/>
      <c r="CB317" s="267"/>
      <c r="CC317" s="268"/>
      <c r="CD317" s="255">
        <f t="shared" si="60"/>
        <v>0</v>
      </c>
      <c r="CE317" s="256">
        <f t="shared" si="61"/>
        <v>0</v>
      </c>
      <c r="CF317" s="257">
        <f t="shared" si="62"/>
        <v>0</v>
      </c>
      <c r="CG317" s="261">
        <f t="shared" si="63"/>
        <v>0</v>
      </c>
    </row>
    <row r="318" spans="1:85" s="263" customFormat="1" ht="12.75" customHeight="1">
      <c r="A318" s="422" t="s">
        <v>683</v>
      </c>
      <c r="B318" s="423" t="s">
        <v>711</v>
      </c>
      <c r="C318" s="423"/>
      <c r="D318" s="424">
        <v>198321</v>
      </c>
      <c r="E318" s="425">
        <v>9</v>
      </c>
      <c r="F318" s="252">
        <v>83</v>
      </c>
      <c r="G318" s="253">
        <v>335035</v>
      </c>
      <c r="H318" s="267">
        <v>83</v>
      </c>
      <c r="I318" s="268">
        <v>452349</v>
      </c>
      <c r="J318" s="252">
        <v>83</v>
      </c>
      <c r="K318" s="253">
        <v>375492</v>
      </c>
      <c r="L318" s="267">
        <v>83</v>
      </c>
      <c r="M318" s="268">
        <v>409107</v>
      </c>
      <c r="N318" s="252">
        <v>83</v>
      </c>
      <c r="O318" s="253">
        <v>19911</v>
      </c>
      <c r="P318" s="267">
        <v>83</v>
      </c>
      <c r="Q318" s="268">
        <v>23929</v>
      </c>
      <c r="R318" s="252">
        <v>83</v>
      </c>
      <c r="S318" s="253">
        <v>292916</v>
      </c>
      <c r="T318" s="267">
        <v>83</v>
      </c>
      <c r="U318" s="268">
        <v>352031</v>
      </c>
      <c r="V318" s="252"/>
      <c r="W318" s="253"/>
      <c r="X318" s="267"/>
      <c r="Y318" s="268"/>
      <c r="Z318" s="252">
        <v>83</v>
      </c>
      <c r="AA318" s="253">
        <v>3187</v>
      </c>
      <c r="AB318" s="267">
        <v>83</v>
      </c>
      <c r="AC318" s="268">
        <v>7363</v>
      </c>
      <c r="AD318" s="252"/>
      <c r="AE318" s="253"/>
      <c r="AF318" s="267"/>
      <c r="AG318" s="268"/>
      <c r="AH318" s="252"/>
      <c r="AI318" s="253"/>
      <c r="AJ318" s="267"/>
      <c r="AK318" s="268"/>
      <c r="AL318" s="252"/>
      <c r="AM318" s="253"/>
      <c r="AN318" s="267"/>
      <c r="AO318" s="268"/>
      <c r="AP318" s="255">
        <f t="shared" si="56"/>
        <v>83</v>
      </c>
      <c r="AQ318" s="256">
        <f t="shared" si="57"/>
        <v>1026541</v>
      </c>
      <c r="AR318" s="257">
        <f t="shared" si="58"/>
        <v>83</v>
      </c>
      <c r="AS318" s="258">
        <f t="shared" si="59"/>
        <v>1244779</v>
      </c>
      <c r="AT318" s="259"/>
      <c r="AU318" s="253"/>
      <c r="AV318" s="267"/>
      <c r="AW318" s="268"/>
      <c r="AX318" s="252"/>
      <c r="AY318" s="253"/>
      <c r="AZ318" s="267"/>
      <c r="BA318" s="268"/>
      <c r="BB318" s="252"/>
      <c r="BC318" s="253"/>
      <c r="BD318" s="267"/>
      <c r="BE318" s="268"/>
      <c r="BF318" s="252"/>
      <c r="BG318" s="253"/>
      <c r="BH318" s="267"/>
      <c r="BI318" s="268"/>
      <c r="BJ318" s="252"/>
      <c r="BK318" s="253"/>
      <c r="BL318" s="267"/>
      <c r="BM318" s="268"/>
      <c r="BN318" s="252"/>
      <c r="BO318" s="253"/>
      <c r="BP318" s="267"/>
      <c r="BQ318" s="268"/>
      <c r="BR318" s="252"/>
      <c r="BS318" s="253"/>
      <c r="BT318" s="267"/>
      <c r="BU318" s="268"/>
      <c r="BV318" s="252"/>
      <c r="BW318" s="253"/>
      <c r="BX318" s="267"/>
      <c r="BY318" s="268"/>
      <c r="BZ318" s="252"/>
      <c r="CA318" s="253"/>
      <c r="CB318" s="267"/>
      <c r="CC318" s="268"/>
      <c r="CD318" s="255">
        <f t="shared" si="60"/>
        <v>0</v>
      </c>
      <c r="CE318" s="256">
        <f t="shared" si="61"/>
        <v>0</v>
      </c>
      <c r="CF318" s="257">
        <f t="shared" si="62"/>
        <v>0</v>
      </c>
      <c r="CG318" s="261">
        <f t="shared" si="63"/>
        <v>0</v>
      </c>
    </row>
    <row r="319" spans="1:85" s="263" customFormat="1" ht="12.75" customHeight="1">
      <c r="A319" s="422" t="s">
        <v>683</v>
      </c>
      <c r="B319" s="318" t="s">
        <v>712</v>
      </c>
      <c r="C319" s="318"/>
      <c r="D319" s="424">
        <v>198330</v>
      </c>
      <c r="E319" s="425">
        <v>9</v>
      </c>
      <c r="F319" s="252">
        <v>134</v>
      </c>
      <c r="G319" s="253">
        <v>468740</v>
      </c>
      <c r="H319" s="267">
        <v>141</v>
      </c>
      <c r="I319" s="268">
        <v>620288</v>
      </c>
      <c r="J319" s="252">
        <v>125</v>
      </c>
      <c r="K319" s="253">
        <v>465865</v>
      </c>
      <c r="L319" s="267">
        <v>138</v>
      </c>
      <c r="M319" s="268">
        <v>539847</v>
      </c>
      <c r="N319" s="252"/>
      <c r="O319" s="253"/>
      <c r="P319" s="267"/>
      <c r="Q319" s="268"/>
      <c r="R319" s="252">
        <v>134</v>
      </c>
      <c r="S319" s="253">
        <v>440523</v>
      </c>
      <c r="T319" s="267">
        <v>141</v>
      </c>
      <c r="U319" s="268">
        <v>451494</v>
      </c>
      <c r="V319" s="252"/>
      <c r="W319" s="253"/>
      <c r="X319" s="267"/>
      <c r="Y319" s="268"/>
      <c r="Z319" s="252"/>
      <c r="AA319" s="253"/>
      <c r="AB319" s="267"/>
      <c r="AC319" s="268"/>
      <c r="AD319" s="252"/>
      <c r="AE319" s="253"/>
      <c r="AF319" s="267"/>
      <c r="AG319" s="268"/>
      <c r="AH319" s="252"/>
      <c r="AI319" s="253"/>
      <c r="AJ319" s="267"/>
      <c r="AK319" s="268"/>
      <c r="AL319" s="252"/>
      <c r="AM319" s="253"/>
      <c r="AN319" s="267"/>
      <c r="AO319" s="268"/>
      <c r="AP319" s="255">
        <f t="shared" si="56"/>
        <v>134</v>
      </c>
      <c r="AQ319" s="256">
        <f t="shared" si="57"/>
        <v>1375128</v>
      </c>
      <c r="AR319" s="257">
        <f t="shared" si="58"/>
        <v>141</v>
      </c>
      <c r="AS319" s="258">
        <f t="shared" si="59"/>
        <v>1611629</v>
      </c>
      <c r="AT319" s="259"/>
      <c r="AU319" s="253"/>
      <c r="AV319" s="267"/>
      <c r="AW319" s="268"/>
      <c r="AX319" s="252"/>
      <c r="AY319" s="253"/>
      <c r="AZ319" s="267"/>
      <c r="BA319" s="268"/>
      <c r="BB319" s="252"/>
      <c r="BC319" s="253"/>
      <c r="BD319" s="267"/>
      <c r="BE319" s="268"/>
      <c r="BF319" s="252"/>
      <c r="BG319" s="253"/>
      <c r="BH319" s="267"/>
      <c r="BI319" s="268"/>
      <c r="BJ319" s="252"/>
      <c r="BK319" s="253"/>
      <c r="BL319" s="267"/>
      <c r="BM319" s="268"/>
      <c r="BN319" s="252"/>
      <c r="BO319" s="253"/>
      <c r="BP319" s="267"/>
      <c r="BQ319" s="268"/>
      <c r="BR319" s="252"/>
      <c r="BS319" s="253"/>
      <c r="BT319" s="267"/>
      <c r="BU319" s="268"/>
      <c r="BV319" s="252"/>
      <c r="BW319" s="253"/>
      <c r="BX319" s="267"/>
      <c r="BY319" s="268"/>
      <c r="BZ319" s="252"/>
      <c r="CA319" s="253"/>
      <c r="CB319" s="267"/>
      <c r="CC319" s="268"/>
      <c r="CD319" s="255">
        <f t="shared" si="60"/>
        <v>0</v>
      </c>
      <c r="CE319" s="256">
        <f t="shared" si="61"/>
        <v>0</v>
      </c>
      <c r="CF319" s="257">
        <f t="shared" si="62"/>
        <v>0</v>
      </c>
      <c r="CG319" s="261">
        <f t="shared" si="63"/>
        <v>0</v>
      </c>
    </row>
    <row r="320" spans="1:85" s="263" customFormat="1" ht="12.75" customHeight="1">
      <c r="A320" s="422" t="s">
        <v>683</v>
      </c>
      <c r="B320" s="514" t="s">
        <v>713</v>
      </c>
      <c r="C320" s="515" t="s">
        <v>1252</v>
      </c>
      <c r="D320" s="424">
        <v>197814</v>
      </c>
      <c r="E320" s="516">
        <v>10</v>
      </c>
      <c r="F320" s="252">
        <v>84</v>
      </c>
      <c r="G320" s="253">
        <v>308525</v>
      </c>
      <c r="H320" s="267">
        <v>84</v>
      </c>
      <c r="I320" s="268">
        <v>375360</v>
      </c>
      <c r="J320" s="252">
        <v>84</v>
      </c>
      <c r="K320" s="253">
        <v>380268</v>
      </c>
      <c r="L320" s="267">
        <v>84</v>
      </c>
      <c r="M320" s="268">
        <v>414086</v>
      </c>
      <c r="N320" s="252"/>
      <c r="O320" s="253"/>
      <c r="P320" s="267"/>
      <c r="Q320" s="268"/>
      <c r="R320" s="252">
        <v>84</v>
      </c>
      <c r="S320" s="253">
        <v>269739</v>
      </c>
      <c r="T320" s="267">
        <v>84</v>
      </c>
      <c r="U320" s="268">
        <v>273216</v>
      </c>
      <c r="V320" s="252"/>
      <c r="W320" s="253"/>
      <c r="X320" s="267"/>
      <c r="Y320" s="268"/>
      <c r="Z320" s="252"/>
      <c r="AA320" s="253"/>
      <c r="AB320" s="267"/>
      <c r="AC320" s="268"/>
      <c r="AD320" s="252"/>
      <c r="AE320" s="253"/>
      <c r="AF320" s="267"/>
      <c r="AG320" s="268"/>
      <c r="AH320" s="252"/>
      <c r="AI320" s="253"/>
      <c r="AJ320" s="267"/>
      <c r="AK320" s="268"/>
      <c r="AL320" s="252"/>
      <c r="AM320" s="253"/>
      <c r="AN320" s="267"/>
      <c r="AO320" s="268"/>
      <c r="AP320" s="255">
        <f t="shared" si="56"/>
        <v>84</v>
      </c>
      <c r="AQ320" s="256">
        <f t="shared" si="57"/>
        <v>958532</v>
      </c>
      <c r="AR320" s="257">
        <f t="shared" si="58"/>
        <v>84</v>
      </c>
      <c r="AS320" s="258">
        <f t="shared" si="59"/>
        <v>1062662</v>
      </c>
      <c r="AT320" s="259"/>
      <c r="AU320" s="253"/>
      <c r="AV320" s="267"/>
      <c r="AW320" s="268"/>
      <c r="AX320" s="252"/>
      <c r="AY320" s="253"/>
      <c r="AZ320" s="267"/>
      <c r="BA320" s="268"/>
      <c r="BB320" s="252"/>
      <c r="BC320" s="253"/>
      <c r="BD320" s="267"/>
      <c r="BE320" s="268"/>
      <c r="BF320" s="252"/>
      <c r="BG320" s="253"/>
      <c r="BH320" s="267"/>
      <c r="BI320" s="268"/>
      <c r="BJ320" s="252"/>
      <c r="BK320" s="253"/>
      <c r="BL320" s="267"/>
      <c r="BM320" s="268"/>
      <c r="BN320" s="252"/>
      <c r="BO320" s="253"/>
      <c r="BP320" s="267"/>
      <c r="BQ320" s="268"/>
      <c r="BR320" s="252"/>
      <c r="BS320" s="253"/>
      <c r="BT320" s="267"/>
      <c r="BU320" s="268"/>
      <c r="BV320" s="252"/>
      <c r="BW320" s="253"/>
      <c r="BX320" s="267"/>
      <c r="BY320" s="268"/>
      <c r="BZ320" s="252"/>
      <c r="CA320" s="253"/>
      <c r="CB320" s="267"/>
      <c r="CC320" s="268"/>
      <c r="CD320" s="255">
        <f t="shared" si="60"/>
        <v>0</v>
      </c>
      <c r="CE320" s="256">
        <f t="shared" si="61"/>
        <v>0</v>
      </c>
      <c r="CF320" s="257">
        <f t="shared" si="62"/>
        <v>0</v>
      </c>
      <c r="CG320" s="261">
        <f t="shared" si="63"/>
        <v>0</v>
      </c>
    </row>
    <row r="321" spans="1:85" s="263" customFormat="1" ht="12.75" customHeight="1">
      <c r="A321" s="422" t="s">
        <v>683</v>
      </c>
      <c r="B321" s="423" t="s">
        <v>714</v>
      </c>
      <c r="C321" s="423"/>
      <c r="D321" s="424">
        <v>198367</v>
      </c>
      <c r="E321" s="425">
        <v>9</v>
      </c>
      <c r="F321" s="252">
        <v>77</v>
      </c>
      <c r="G321" s="253">
        <v>295833</v>
      </c>
      <c r="H321" s="267">
        <v>85</v>
      </c>
      <c r="I321" s="268">
        <v>418965</v>
      </c>
      <c r="J321" s="252">
        <v>77</v>
      </c>
      <c r="K321" s="253">
        <v>29046</v>
      </c>
      <c r="L321" s="267">
        <v>80</v>
      </c>
      <c r="M321" s="268">
        <v>35282</v>
      </c>
      <c r="N321" s="252"/>
      <c r="O321" s="253"/>
      <c r="P321" s="267"/>
      <c r="Q321" s="268"/>
      <c r="R321" s="252">
        <v>77</v>
      </c>
      <c r="S321" s="253">
        <v>258642</v>
      </c>
      <c r="T321" s="267">
        <v>92</v>
      </c>
      <c r="U321" s="268">
        <v>362513</v>
      </c>
      <c r="V321" s="252">
        <v>77</v>
      </c>
      <c r="W321" s="253">
        <v>19300</v>
      </c>
      <c r="X321" s="267">
        <v>92</v>
      </c>
      <c r="Y321" s="268">
        <v>28807</v>
      </c>
      <c r="Z321" s="252"/>
      <c r="AA321" s="253"/>
      <c r="AB321" s="267"/>
      <c r="AC321" s="268"/>
      <c r="AD321" s="252"/>
      <c r="AE321" s="253"/>
      <c r="AF321" s="267"/>
      <c r="AG321" s="268"/>
      <c r="AH321" s="252"/>
      <c r="AI321" s="253"/>
      <c r="AJ321" s="267"/>
      <c r="AK321" s="268"/>
      <c r="AL321" s="252"/>
      <c r="AM321" s="253"/>
      <c r="AN321" s="267"/>
      <c r="AO321" s="268"/>
      <c r="AP321" s="255">
        <f t="shared" si="56"/>
        <v>77</v>
      </c>
      <c r="AQ321" s="256">
        <f t="shared" si="57"/>
        <v>602821</v>
      </c>
      <c r="AR321" s="257">
        <f t="shared" si="58"/>
        <v>92</v>
      </c>
      <c r="AS321" s="258">
        <f t="shared" si="59"/>
        <v>845567</v>
      </c>
      <c r="AT321" s="259"/>
      <c r="AU321" s="253"/>
      <c r="AV321" s="267"/>
      <c r="AW321" s="268"/>
      <c r="AX321" s="252"/>
      <c r="AY321" s="253"/>
      <c r="AZ321" s="267"/>
      <c r="BA321" s="268"/>
      <c r="BB321" s="252"/>
      <c r="BC321" s="253"/>
      <c r="BD321" s="267"/>
      <c r="BE321" s="268"/>
      <c r="BF321" s="252"/>
      <c r="BG321" s="253"/>
      <c r="BH321" s="267"/>
      <c r="BI321" s="268"/>
      <c r="BJ321" s="252"/>
      <c r="BK321" s="253"/>
      <c r="BL321" s="267"/>
      <c r="BM321" s="268"/>
      <c r="BN321" s="252"/>
      <c r="BO321" s="253"/>
      <c r="BP321" s="267"/>
      <c r="BQ321" s="268"/>
      <c r="BR321" s="252"/>
      <c r="BS321" s="253"/>
      <c r="BT321" s="267"/>
      <c r="BU321" s="268"/>
      <c r="BV321" s="252"/>
      <c r="BW321" s="253"/>
      <c r="BX321" s="267"/>
      <c r="BY321" s="268"/>
      <c r="BZ321" s="252"/>
      <c r="CA321" s="253"/>
      <c r="CB321" s="267"/>
      <c r="CC321" s="268"/>
      <c r="CD321" s="255">
        <f t="shared" si="60"/>
        <v>0</v>
      </c>
      <c r="CE321" s="256">
        <f t="shared" si="61"/>
        <v>0</v>
      </c>
      <c r="CF321" s="257">
        <f t="shared" si="62"/>
        <v>0</v>
      </c>
      <c r="CG321" s="261">
        <f t="shared" si="63"/>
        <v>0</v>
      </c>
    </row>
    <row r="322" spans="1:85" s="263" customFormat="1" ht="12.75" customHeight="1">
      <c r="A322" s="422" t="s">
        <v>683</v>
      </c>
      <c r="B322" s="423" t="s">
        <v>715</v>
      </c>
      <c r="C322" s="423"/>
      <c r="D322" s="424">
        <v>198376</v>
      </c>
      <c r="E322" s="425">
        <v>9</v>
      </c>
      <c r="F322" s="252">
        <v>85</v>
      </c>
      <c r="G322" s="253">
        <v>349736</v>
      </c>
      <c r="H322" s="267">
        <v>90</v>
      </c>
      <c r="I322" s="268">
        <v>441659</v>
      </c>
      <c r="J322" s="252">
        <v>85</v>
      </c>
      <c r="K322" s="253">
        <v>414916</v>
      </c>
      <c r="L322" s="267">
        <v>90</v>
      </c>
      <c r="M322" s="268">
        <v>475578</v>
      </c>
      <c r="N322" s="252"/>
      <c r="O322" s="253"/>
      <c r="P322" s="267"/>
      <c r="Q322" s="268"/>
      <c r="R322" s="252">
        <v>85</v>
      </c>
      <c r="S322" s="253">
        <v>305769</v>
      </c>
      <c r="T322" s="267">
        <v>90</v>
      </c>
      <c r="U322" s="268">
        <v>321474</v>
      </c>
      <c r="V322" s="252"/>
      <c r="W322" s="253"/>
      <c r="X322" s="267">
        <v>90</v>
      </c>
      <c r="Y322" s="268">
        <v>1631</v>
      </c>
      <c r="Z322" s="252">
        <v>85</v>
      </c>
      <c r="AA322" s="253">
        <v>4488</v>
      </c>
      <c r="AB322" s="267">
        <v>90</v>
      </c>
      <c r="AC322" s="268">
        <v>4752</v>
      </c>
      <c r="AD322" s="252">
        <v>85</v>
      </c>
      <c r="AE322" s="253">
        <v>24661</v>
      </c>
      <c r="AF322" s="267">
        <v>90</v>
      </c>
      <c r="AG322" s="268">
        <v>22578</v>
      </c>
      <c r="AH322" s="252"/>
      <c r="AI322" s="253"/>
      <c r="AJ322" s="267"/>
      <c r="AK322" s="268"/>
      <c r="AL322" s="252"/>
      <c r="AM322" s="253"/>
      <c r="AN322" s="267"/>
      <c r="AO322" s="268"/>
      <c r="AP322" s="255">
        <f t="shared" si="56"/>
        <v>85</v>
      </c>
      <c r="AQ322" s="256">
        <f t="shared" si="57"/>
        <v>1099570</v>
      </c>
      <c r="AR322" s="257">
        <f t="shared" si="58"/>
        <v>90</v>
      </c>
      <c r="AS322" s="258">
        <f t="shared" si="59"/>
        <v>1267672</v>
      </c>
      <c r="AT322" s="259"/>
      <c r="AU322" s="253"/>
      <c r="AV322" s="267"/>
      <c r="AW322" s="268"/>
      <c r="AX322" s="252"/>
      <c r="AY322" s="253"/>
      <c r="AZ322" s="267"/>
      <c r="BA322" s="268"/>
      <c r="BB322" s="252"/>
      <c r="BC322" s="253"/>
      <c r="BD322" s="267"/>
      <c r="BE322" s="268"/>
      <c r="BF322" s="252"/>
      <c r="BG322" s="253"/>
      <c r="BH322" s="267"/>
      <c r="BI322" s="268"/>
      <c r="BJ322" s="252"/>
      <c r="BK322" s="253"/>
      <c r="BL322" s="267"/>
      <c r="BM322" s="268"/>
      <c r="BN322" s="252"/>
      <c r="BO322" s="253"/>
      <c r="BP322" s="267"/>
      <c r="BQ322" s="268"/>
      <c r="BR322" s="252"/>
      <c r="BS322" s="253"/>
      <c r="BT322" s="267"/>
      <c r="BU322" s="268"/>
      <c r="BV322" s="252"/>
      <c r="BW322" s="253"/>
      <c r="BX322" s="267"/>
      <c r="BY322" s="268"/>
      <c r="BZ322" s="252"/>
      <c r="CA322" s="253"/>
      <c r="CB322" s="267"/>
      <c r="CC322" s="268"/>
      <c r="CD322" s="255">
        <f t="shared" si="60"/>
        <v>0</v>
      </c>
      <c r="CE322" s="256">
        <f t="shared" si="61"/>
        <v>0</v>
      </c>
      <c r="CF322" s="257">
        <f t="shared" si="62"/>
        <v>0</v>
      </c>
      <c r="CG322" s="261">
        <f t="shared" si="63"/>
        <v>0</v>
      </c>
    </row>
    <row r="323" spans="1:85" s="263" customFormat="1" ht="12.75" customHeight="1">
      <c r="A323" s="422" t="s">
        <v>683</v>
      </c>
      <c r="B323" s="423" t="s">
        <v>717</v>
      </c>
      <c r="C323" s="423"/>
      <c r="D323" s="424">
        <v>198491</v>
      </c>
      <c r="E323" s="425">
        <v>9</v>
      </c>
      <c r="F323" s="252">
        <v>71</v>
      </c>
      <c r="G323" s="253">
        <v>262563</v>
      </c>
      <c r="H323" s="267">
        <v>93</v>
      </c>
      <c r="I323" s="268">
        <v>418521</v>
      </c>
      <c r="J323" s="252">
        <v>71</v>
      </c>
      <c r="K323" s="253">
        <v>321139</v>
      </c>
      <c r="L323" s="267">
        <v>92</v>
      </c>
      <c r="M323" s="268">
        <v>340142</v>
      </c>
      <c r="N323" s="252"/>
      <c r="O323" s="253"/>
      <c r="P323" s="267"/>
      <c r="Q323" s="268"/>
      <c r="R323" s="252">
        <v>71</v>
      </c>
      <c r="S323" s="253">
        <v>229554</v>
      </c>
      <c r="T323" s="267">
        <v>93</v>
      </c>
      <c r="U323" s="268">
        <v>315438</v>
      </c>
      <c r="V323" s="252"/>
      <c r="W323" s="253"/>
      <c r="X323" s="267"/>
      <c r="Y323" s="268"/>
      <c r="Z323" s="252">
        <v>36</v>
      </c>
      <c r="AA323" s="253">
        <v>1598</v>
      </c>
      <c r="AB323" s="267">
        <v>43</v>
      </c>
      <c r="AC323" s="268">
        <v>1432</v>
      </c>
      <c r="AD323" s="252"/>
      <c r="AE323" s="253"/>
      <c r="AF323" s="267"/>
      <c r="AG323" s="268"/>
      <c r="AH323" s="252"/>
      <c r="AI323" s="253"/>
      <c r="AJ323" s="267"/>
      <c r="AK323" s="268"/>
      <c r="AL323" s="252"/>
      <c r="AM323" s="253"/>
      <c r="AN323" s="267"/>
      <c r="AO323" s="268"/>
      <c r="AP323" s="255">
        <f t="shared" si="56"/>
        <v>71</v>
      </c>
      <c r="AQ323" s="256">
        <f t="shared" si="57"/>
        <v>814854</v>
      </c>
      <c r="AR323" s="257">
        <f t="shared" si="58"/>
        <v>93</v>
      </c>
      <c r="AS323" s="258">
        <f t="shared" si="59"/>
        <v>1075533</v>
      </c>
      <c r="AT323" s="259"/>
      <c r="AU323" s="253"/>
      <c r="AV323" s="267"/>
      <c r="AW323" s="268"/>
      <c r="AX323" s="252"/>
      <c r="AY323" s="253"/>
      <c r="AZ323" s="267"/>
      <c r="BA323" s="268"/>
      <c r="BB323" s="252"/>
      <c r="BC323" s="253"/>
      <c r="BD323" s="267"/>
      <c r="BE323" s="268"/>
      <c r="BF323" s="252"/>
      <c r="BG323" s="253"/>
      <c r="BH323" s="267"/>
      <c r="BI323" s="268"/>
      <c r="BJ323" s="252"/>
      <c r="BK323" s="253"/>
      <c r="BL323" s="267"/>
      <c r="BM323" s="268"/>
      <c r="BN323" s="252"/>
      <c r="BO323" s="253"/>
      <c r="BP323" s="267"/>
      <c r="BQ323" s="268"/>
      <c r="BR323" s="252"/>
      <c r="BS323" s="253"/>
      <c r="BT323" s="267"/>
      <c r="BU323" s="268"/>
      <c r="BV323" s="252"/>
      <c r="BW323" s="253"/>
      <c r="BX323" s="267"/>
      <c r="BY323" s="268"/>
      <c r="BZ323" s="252"/>
      <c r="CA323" s="253"/>
      <c r="CB323" s="267"/>
      <c r="CC323" s="268"/>
      <c r="CD323" s="255">
        <f t="shared" si="60"/>
        <v>0</v>
      </c>
      <c r="CE323" s="256">
        <f t="shared" si="61"/>
        <v>0</v>
      </c>
      <c r="CF323" s="257">
        <f t="shared" si="62"/>
        <v>0</v>
      </c>
      <c r="CG323" s="261">
        <f t="shared" si="63"/>
        <v>0</v>
      </c>
    </row>
    <row r="324" spans="1:85" s="263" customFormat="1" ht="12.75" customHeight="1">
      <c r="A324" s="422" t="s">
        <v>683</v>
      </c>
      <c r="B324" s="514" t="s">
        <v>718</v>
      </c>
      <c r="C324" s="515" t="s">
        <v>1250</v>
      </c>
      <c r="D324" s="424">
        <v>198570</v>
      </c>
      <c r="E324" s="516">
        <v>8</v>
      </c>
      <c r="F324" s="252">
        <v>135</v>
      </c>
      <c r="G324" s="253">
        <v>594020</v>
      </c>
      <c r="H324" s="267">
        <v>161</v>
      </c>
      <c r="I324" s="268">
        <v>850806</v>
      </c>
      <c r="J324" s="252">
        <v>120</v>
      </c>
      <c r="K324" s="253">
        <v>523716</v>
      </c>
      <c r="L324" s="267">
        <v>125</v>
      </c>
      <c r="M324" s="268">
        <v>616200</v>
      </c>
      <c r="N324" s="252"/>
      <c r="O324" s="253"/>
      <c r="P324" s="267"/>
      <c r="Q324" s="268"/>
      <c r="R324" s="252">
        <v>135</v>
      </c>
      <c r="S324" s="253">
        <v>519343</v>
      </c>
      <c r="T324" s="267">
        <v>161</v>
      </c>
      <c r="U324" s="268">
        <v>619873</v>
      </c>
      <c r="V324" s="252"/>
      <c r="W324" s="253"/>
      <c r="X324" s="267"/>
      <c r="Y324" s="268"/>
      <c r="Z324" s="252">
        <v>135</v>
      </c>
      <c r="AA324" s="253">
        <v>2673</v>
      </c>
      <c r="AB324" s="267">
        <v>161</v>
      </c>
      <c r="AC324" s="268">
        <v>3111</v>
      </c>
      <c r="AD324" s="252"/>
      <c r="AE324" s="253"/>
      <c r="AF324" s="267"/>
      <c r="AG324" s="268"/>
      <c r="AH324" s="252"/>
      <c r="AI324" s="253"/>
      <c r="AJ324" s="267"/>
      <c r="AK324" s="268"/>
      <c r="AL324" s="252"/>
      <c r="AM324" s="253"/>
      <c r="AN324" s="267"/>
      <c r="AO324" s="268"/>
      <c r="AP324" s="255">
        <f t="shared" si="56"/>
        <v>135</v>
      </c>
      <c r="AQ324" s="256">
        <f t="shared" si="57"/>
        <v>1639752</v>
      </c>
      <c r="AR324" s="257">
        <f t="shared" si="58"/>
        <v>161</v>
      </c>
      <c r="AS324" s="258">
        <f t="shared" si="59"/>
        <v>2089990</v>
      </c>
      <c r="AT324" s="259"/>
      <c r="AU324" s="253"/>
      <c r="AV324" s="267"/>
      <c r="AW324" s="268"/>
      <c r="AX324" s="252"/>
      <c r="AY324" s="253"/>
      <c r="AZ324" s="267"/>
      <c r="BA324" s="268"/>
      <c r="BB324" s="252"/>
      <c r="BC324" s="253"/>
      <c r="BD324" s="267"/>
      <c r="BE324" s="268"/>
      <c r="BF324" s="252"/>
      <c r="BG324" s="253"/>
      <c r="BH324" s="267"/>
      <c r="BI324" s="268"/>
      <c r="BJ324" s="252"/>
      <c r="BK324" s="253"/>
      <c r="BL324" s="267"/>
      <c r="BM324" s="268"/>
      <c r="BN324" s="252"/>
      <c r="BO324" s="253"/>
      <c r="BP324" s="267"/>
      <c r="BQ324" s="268"/>
      <c r="BR324" s="252"/>
      <c r="BS324" s="253"/>
      <c r="BT324" s="267"/>
      <c r="BU324" s="268"/>
      <c r="BV324" s="252"/>
      <c r="BW324" s="253"/>
      <c r="BX324" s="267"/>
      <c r="BY324" s="268"/>
      <c r="BZ324" s="252"/>
      <c r="CA324" s="253"/>
      <c r="CB324" s="267"/>
      <c r="CC324" s="268"/>
      <c r="CD324" s="255">
        <f t="shared" si="60"/>
        <v>0</v>
      </c>
      <c r="CE324" s="256">
        <f t="shared" si="61"/>
        <v>0</v>
      </c>
      <c r="CF324" s="257">
        <f t="shared" si="62"/>
        <v>0</v>
      </c>
      <c r="CG324" s="261">
        <f t="shared" si="63"/>
        <v>0</v>
      </c>
    </row>
    <row r="325" spans="1:85" s="263" customFormat="1" ht="12.75" customHeight="1">
      <c r="A325" s="422" t="s">
        <v>683</v>
      </c>
      <c r="B325" s="423" t="s">
        <v>719</v>
      </c>
      <c r="C325" s="423"/>
      <c r="D325" s="424">
        <v>198668</v>
      </c>
      <c r="E325" s="425">
        <v>9</v>
      </c>
      <c r="F325" s="252">
        <v>70</v>
      </c>
      <c r="G325" s="253">
        <v>294679</v>
      </c>
      <c r="H325" s="267">
        <v>79</v>
      </c>
      <c r="I325" s="268">
        <v>393795</v>
      </c>
      <c r="J325" s="252">
        <v>69</v>
      </c>
      <c r="K325" s="253">
        <v>312338</v>
      </c>
      <c r="L325" s="267">
        <v>78</v>
      </c>
      <c r="M325" s="268">
        <v>386880</v>
      </c>
      <c r="N325" s="252"/>
      <c r="O325" s="253"/>
      <c r="P325" s="267"/>
      <c r="Q325" s="268"/>
      <c r="R325" s="252">
        <v>70</v>
      </c>
      <c r="S325" s="253">
        <v>257633</v>
      </c>
      <c r="T325" s="267">
        <v>79</v>
      </c>
      <c r="U325" s="268">
        <v>286635</v>
      </c>
      <c r="V325" s="252"/>
      <c r="W325" s="253"/>
      <c r="X325" s="267"/>
      <c r="Y325" s="268"/>
      <c r="Z325" s="252">
        <v>70</v>
      </c>
      <c r="AA325" s="253">
        <v>8736</v>
      </c>
      <c r="AB325" s="267">
        <v>79</v>
      </c>
      <c r="AC325" s="268">
        <v>9859</v>
      </c>
      <c r="AD325" s="252"/>
      <c r="AE325" s="253"/>
      <c r="AF325" s="267"/>
      <c r="AG325" s="268"/>
      <c r="AH325" s="252"/>
      <c r="AI325" s="253"/>
      <c r="AJ325" s="267"/>
      <c r="AK325" s="268"/>
      <c r="AL325" s="252"/>
      <c r="AM325" s="253"/>
      <c r="AN325" s="267"/>
      <c r="AO325" s="268"/>
      <c r="AP325" s="255">
        <f t="shared" si="56"/>
        <v>70</v>
      </c>
      <c r="AQ325" s="256">
        <f t="shared" si="57"/>
        <v>873386</v>
      </c>
      <c r="AR325" s="257">
        <f t="shared" si="58"/>
        <v>79</v>
      </c>
      <c r="AS325" s="258">
        <f t="shared" si="59"/>
        <v>1077169</v>
      </c>
      <c r="AT325" s="259"/>
      <c r="AU325" s="253"/>
      <c r="AV325" s="267"/>
      <c r="AW325" s="268"/>
      <c r="AX325" s="252"/>
      <c r="AY325" s="253"/>
      <c r="AZ325" s="267"/>
      <c r="BA325" s="268"/>
      <c r="BB325" s="252"/>
      <c r="BC325" s="253"/>
      <c r="BD325" s="267"/>
      <c r="BE325" s="268"/>
      <c r="BF325" s="252"/>
      <c r="BG325" s="253"/>
      <c r="BH325" s="267"/>
      <c r="BI325" s="268"/>
      <c r="BJ325" s="252"/>
      <c r="BK325" s="253"/>
      <c r="BL325" s="267"/>
      <c r="BM325" s="268"/>
      <c r="BN325" s="252"/>
      <c r="BO325" s="253"/>
      <c r="BP325" s="267"/>
      <c r="BQ325" s="268"/>
      <c r="BR325" s="252"/>
      <c r="BS325" s="253"/>
      <c r="BT325" s="267"/>
      <c r="BU325" s="268"/>
      <c r="BV325" s="252"/>
      <c r="BW325" s="253"/>
      <c r="BX325" s="267"/>
      <c r="BY325" s="268"/>
      <c r="BZ325" s="252"/>
      <c r="CA325" s="253"/>
      <c r="CB325" s="267"/>
      <c r="CC325" s="268"/>
      <c r="CD325" s="255">
        <f t="shared" si="60"/>
        <v>0</v>
      </c>
      <c r="CE325" s="256">
        <f t="shared" si="61"/>
        <v>0</v>
      </c>
      <c r="CF325" s="257">
        <f t="shared" si="62"/>
        <v>0</v>
      </c>
      <c r="CG325" s="261">
        <f t="shared" si="63"/>
        <v>0</v>
      </c>
    </row>
    <row r="326" spans="1:85" s="263" customFormat="1" ht="12.75" customHeight="1">
      <c r="A326" s="422" t="s">
        <v>683</v>
      </c>
      <c r="B326" s="423" t="s">
        <v>531</v>
      </c>
      <c r="C326" s="423"/>
      <c r="D326" s="424">
        <v>198710</v>
      </c>
      <c r="E326" s="425">
        <v>9</v>
      </c>
      <c r="F326" s="252">
        <v>67</v>
      </c>
      <c r="G326" s="253">
        <v>265611</v>
      </c>
      <c r="H326" s="267">
        <v>68</v>
      </c>
      <c r="I326" s="268">
        <v>370478</v>
      </c>
      <c r="J326" s="252">
        <v>67</v>
      </c>
      <c r="K326" s="253">
        <v>303285</v>
      </c>
      <c r="L326" s="267">
        <v>68</v>
      </c>
      <c r="M326" s="268">
        <v>335213</v>
      </c>
      <c r="N326" s="252"/>
      <c r="O326" s="253"/>
      <c r="P326" s="267"/>
      <c r="Q326" s="268"/>
      <c r="R326" s="252">
        <v>67</v>
      </c>
      <c r="S326" s="253">
        <v>232220</v>
      </c>
      <c r="T326" s="267">
        <v>68</v>
      </c>
      <c r="U326" s="268">
        <v>269663</v>
      </c>
      <c r="V326" s="252"/>
      <c r="W326" s="253"/>
      <c r="X326" s="267"/>
      <c r="Y326" s="268"/>
      <c r="Z326" s="252"/>
      <c r="AA326" s="253"/>
      <c r="AB326" s="267"/>
      <c r="AC326" s="268"/>
      <c r="AD326" s="252"/>
      <c r="AE326" s="253"/>
      <c r="AF326" s="267"/>
      <c r="AG326" s="268"/>
      <c r="AH326" s="252"/>
      <c r="AI326" s="253"/>
      <c r="AJ326" s="267"/>
      <c r="AK326" s="268"/>
      <c r="AL326" s="252"/>
      <c r="AM326" s="253"/>
      <c r="AN326" s="267"/>
      <c r="AO326" s="268"/>
      <c r="AP326" s="255">
        <f t="shared" si="56"/>
        <v>67</v>
      </c>
      <c r="AQ326" s="256">
        <f t="shared" si="57"/>
        <v>801116</v>
      </c>
      <c r="AR326" s="257">
        <f t="shared" si="58"/>
        <v>68</v>
      </c>
      <c r="AS326" s="258">
        <f t="shared" si="59"/>
        <v>975354</v>
      </c>
      <c r="AT326" s="259"/>
      <c r="AU326" s="253"/>
      <c r="AV326" s="267"/>
      <c r="AW326" s="268"/>
      <c r="AX326" s="252"/>
      <c r="AY326" s="253"/>
      <c r="AZ326" s="267"/>
      <c r="BA326" s="268"/>
      <c r="BB326" s="252"/>
      <c r="BC326" s="253"/>
      <c r="BD326" s="267"/>
      <c r="BE326" s="268"/>
      <c r="BF326" s="252"/>
      <c r="BG326" s="253"/>
      <c r="BH326" s="267"/>
      <c r="BI326" s="268"/>
      <c r="BJ326" s="252"/>
      <c r="BK326" s="253"/>
      <c r="BL326" s="267"/>
      <c r="BM326" s="268"/>
      <c r="BN326" s="252"/>
      <c r="BO326" s="253"/>
      <c r="BP326" s="267"/>
      <c r="BQ326" s="268"/>
      <c r="BR326" s="252"/>
      <c r="BS326" s="253"/>
      <c r="BT326" s="267"/>
      <c r="BU326" s="268"/>
      <c r="BV326" s="252"/>
      <c r="BW326" s="253"/>
      <c r="BX326" s="267"/>
      <c r="BY326" s="268"/>
      <c r="BZ326" s="252"/>
      <c r="CA326" s="253"/>
      <c r="CB326" s="267"/>
      <c r="CC326" s="268"/>
      <c r="CD326" s="255">
        <f t="shared" si="60"/>
        <v>0</v>
      </c>
      <c r="CE326" s="256">
        <f t="shared" si="61"/>
        <v>0</v>
      </c>
      <c r="CF326" s="257">
        <f t="shared" si="62"/>
        <v>0</v>
      </c>
      <c r="CG326" s="261">
        <f t="shared" si="63"/>
        <v>0</v>
      </c>
    </row>
    <row r="327" spans="1:85" s="263" customFormat="1" ht="12.75" customHeight="1">
      <c r="A327" s="422" t="s">
        <v>683</v>
      </c>
      <c r="B327" s="423" t="s">
        <v>532</v>
      </c>
      <c r="C327" s="423"/>
      <c r="D327" s="424">
        <v>198774</v>
      </c>
      <c r="E327" s="425">
        <v>9</v>
      </c>
      <c r="F327" s="252">
        <v>137</v>
      </c>
      <c r="G327" s="253">
        <v>671774</v>
      </c>
      <c r="H327" s="267">
        <v>127</v>
      </c>
      <c r="I327" s="268">
        <v>784053</v>
      </c>
      <c r="J327" s="252">
        <v>137</v>
      </c>
      <c r="K327" s="253">
        <v>620150</v>
      </c>
      <c r="L327" s="267">
        <v>127</v>
      </c>
      <c r="M327" s="268">
        <v>731688</v>
      </c>
      <c r="N327" s="252"/>
      <c r="O327" s="253"/>
      <c r="P327" s="267"/>
      <c r="Q327" s="268"/>
      <c r="R327" s="252">
        <v>137</v>
      </c>
      <c r="S327" s="253">
        <v>608611</v>
      </c>
      <c r="T327" s="267">
        <v>127</v>
      </c>
      <c r="U327" s="268">
        <v>591519</v>
      </c>
      <c r="V327" s="252"/>
      <c r="W327" s="253"/>
      <c r="X327" s="267"/>
      <c r="Y327" s="268"/>
      <c r="Z327" s="252"/>
      <c r="AA327" s="253"/>
      <c r="AB327" s="267"/>
      <c r="AC327" s="268"/>
      <c r="AD327" s="252"/>
      <c r="AE327" s="253"/>
      <c r="AF327" s="267"/>
      <c r="AG327" s="268"/>
      <c r="AH327" s="252"/>
      <c r="AI327" s="253"/>
      <c r="AJ327" s="267"/>
      <c r="AK327" s="268"/>
      <c r="AL327" s="252"/>
      <c r="AM327" s="253"/>
      <c r="AN327" s="267"/>
      <c r="AO327" s="268"/>
      <c r="AP327" s="255">
        <f t="shared" si="56"/>
        <v>137</v>
      </c>
      <c r="AQ327" s="256">
        <f t="shared" si="57"/>
        <v>1900535</v>
      </c>
      <c r="AR327" s="257">
        <f t="shared" si="58"/>
        <v>127</v>
      </c>
      <c r="AS327" s="258">
        <f t="shared" si="59"/>
        <v>2107260</v>
      </c>
      <c r="AT327" s="259"/>
      <c r="AU327" s="253"/>
      <c r="AV327" s="267"/>
      <c r="AW327" s="268"/>
      <c r="AX327" s="252"/>
      <c r="AY327" s="253"/>
      <c r="AZ327" s="267"/>
      <c r="BA327" s="268"/>
      <c r="BB327" s="252"/>
      <c r="BC327" s="253"/>
      <c r="BD327" s="267"/>
      <c r="BE327" s="268"/>
      <c r="BF327" s="252"/>
      <c r="BG327" s="253"/>
      <c r="BH327" s="267"/>
      <c r="BI327" s="268"/>
      <c r="BJ327" s="252"/>
      <c r="BK327" s="253"/>
      <c r="BL327" s="267"/>
      <c r="BM327" s="268"/>
      <c r="BN327" s="252"/>
      <c r="BO327" s="253"/>
      <c r="BP327" s="267"/>
      <c r="BQ327" s="268"/>
      <c r="BR327" s="252"/>
      <c r="BS327" s="253"/>
      <c r="BT327" s="267"/>
      <c r="BU327" s="268"/>
      <c r="BV327" s="252"/>
      <c r="BW327" s="253"/>
      <c r="BX327" s="267"/>
      <c r="BY327" s="268"/>
      <c r="BZ327" s="252"/>
      <c r="CA327" s="253"/>
      <c r="CB327" s="267"/>
      <c r="CC327" s="268"/>
      <c r="CD327" s="255">
        <f t="shared" si="60"/>
        <v>0</v>
      </c>
      <c r="CE327" s="256">
        <f t="shared" si="61"/>
        <v>0</v>
      </c>
      <c r="CF327" s="257">
        <f t="shared" si="62"/>
        <v>0</v>
      </c>
      <c r="CG327" s="261">
        <f t="shared" si="63"/>
        <v>0</v>
      </c>
    </row>
    <row r="328" spans="1:85" s="263" customFormat="1" ht="12.75" customHeight="1">
      <c r="A328" s="422" t="s">
        <v>683</v>
      </c>
      <c r="B328" s="423" t="s">
        <v>533</v>
      </c>
      <c r="C328" s="423"/>
      <c r="D328" s="424">
        <v>198817</v>
      </c>
      <c r="E328" s="425">
        <v>9</v>
      </c>
      <c r="F328" s="252">
        <v>61</v>
      </c>
      <c r="G328" s="253">
        <v>406535</v>
      </c>
      <c r="H328" s="267">
        <v>67</v>
      </c>
      <c r="I328" s="268">
        <v>511595</v>
      </c>
      <c r="J328" s="252">
        <v>106</v>
      </c>
      <c r="K328" s="253">
        <v>479824</v>
      </c>
      <c r="L328" s="267">
        <v>109</v>
      </c>
      <c r="M328" s="268">
        <v>537326</v>
      </c>
      <c r="N328" s="252"/>
      <c r="O328" s="253"/>
      <c r="P328" s="267"/>
      <c r="Q328" s="268"/>
      <c r="R328" s="252">
        <v>106</v>
      </c>
      <c r="S328" s="253">
        <v>355427</v>
      </c>
      <c r="T328" s="267">
        <v>109</v>
      </c>
      <c r="U328" s="268">
        <v>372379</v>
      </c>
      <c r="V328" s="252"/>
      <c r="W328" s="253"/>
      <c r="X328" s="267"/>
      <c r="Y328" s="268"/>
      <c r="Z328" s="252"/>
      <c r="AA328" s="253"/>
      <c r="AB328" s="267"/>
      <c r="AC328" s="268"/>
      <c r="AD328" s="252"/>
      <c r="AE328" s="253"/>
      <c r="AF328" s="267"/>
      <c r="AG328" s="268"/>
      <c r="AH328" s="252"/>
      <c r="AI328" s="253"/>
      <c r="AJ328" s="267"/>
      <c r="AK328" s="268"/>
      <c r="AL328" s="252"/>
      <c r="AM328" s="253"/>
      <c r="AN328" s="267"/>
      <c r="AO328" s="268"/>
      <c r="AP328" s="255">
        <f t="shared" si="56"/>
        <v>106</v>
      </c>
      <c r="AQ328" s="256">
        <f t="shared" si="57"/>
        <v>1241786</v>
      </c>
      <c r="AR328" s="257">
        <f t="shared" si="58"/>
        <v>109</v>
      </c>
      <c r="AS328" s="258">
        <f t="shared" si="59"/>
        <v>1421300</v>
      </c>
      <c r="AT328" s="259"/>
      <c r="AU328" s="253"/>
      <c r="AV328" s="267"/>
      <c r="AW328" s="268"/>
      <c r="AX328" s="252"/>
      <c r="AY328" s="253"/>
      <c r="AZ328" s="267"/>
      <c r="BA328" s="268"/>
      <c r="BB328" s="252"/>
      <c r="BC328" s="253"/>
      <c r="BD328" s="267"/>
      <c r="BE328" s="268"/>
      <c r="BF328" s="252"/>
      <c r="BG328" s="253"/>
      <c r="BH328" s="267"/>
      <c r="BI328" s="268"/>
      <c r="BJ328" s="252"/>
      <c r="BK328" s="253"/>
      <c r="BL328" s="267"/>
      <c r="BM328" s="268"/>
      <c r="BN328" s="252"/>
      <c r="BO328" s="253"/>
      <c r="BP328" s="267"/>
      <c r="BQ328" s="268"/>
      <c r="BR328" s="252"/>
      <c r="BS328" s="253"/>
      <c r="BT328" s="267"/>
      <c r="BU328" s="268"/>
      <c r="BV328" s="252"/>
      <c r="BW328" s="253"/>
      <c r="BX328" s="267"/>
      <c r="BY328" s="268"/>
      <c r="BZ328" s="252"/>
      <c r="CA328" s="253"/>
      <c r="CB328" s="267"/>
      <c r="CC328" s="268"/>
      <c r="CD328" s="255">
        <f t="shared" si="60"/>
        <v>0</v>
      </c>
      <c r="CE328" s="256">
        <f t="shared" si="61"/>
        <v>0</v>
      </c>
      <c r="CF328" s="257">
        <f t="shared" si="62"/>
        <v>0</v>
      </c>
      <c r="CG328" s="261">
        <f t="shared" si="63"/>
        <v>0</v>
      </c>
    </row>
    <row r="329" spans="1:85" s="263" customFormat="1" ht="12.75" customHeight="1">
      <c r="A329" s="426" t="s">
        <v>683</v>
      </c>
      <c r="B329" s="514" t="s">
        <v>559</v>
      </c>
      <c r="C329" s="515" t="s">
        <v>1252</v>
      </c>
      <c r="D329" s="424">
        <v>198914</v>
      </c>
      <c r="E329" s="516">
        <v>10</v>
      </c>
      <c r="F329" s="252">
        <v>56</v>
      </c>
      <c r="G329" s="253">
        <v>201711</v>
      </c>
      <c r="H329" s="267">
        <v>49</v>
      </c>
      <c r="I329" s="268">
        <v>261758</v>
      </c>
      <c r="J329" s="252">
        <v>56</v>
      </c>
      <c r="K329" s="253">
        <v>190119</v>
      </c>
      <c r="L329" s="267">
        <v>49</v>
      </c>
      <c r="M329" s="268">
        <v>241550</v>
      </c>
      <c r="N329" s="252"/>
      <c r="O329" s="253"/>
      <c r="P329" s="267"/>
      <c r="Q329" s="268"/>
      <c r="R329" s="252">
        <v>56</v>
      </c>
      <c r="S329" s="253">
        <v>176353</v>
      </c>
      <c r="T329" s="267">
        <v>49</v>
      </c>
      <c r="U329" s="268">
        <v>190527</v>
      </c>
      <c r="V329" s="252"/>
      <c r="W329" s="253"/>
      <c r="X329" s="267"/>
      <c r="Y329" s="268"/>
      <c r="Z329" s="252"/>
      <c r="AA329" s="253"/>
      <c r="AB329" s="267"/>
      <c r="AC329" s="268"/>
      <c r="AD329" s="252"/>
      <c r="AE329" s="253"/>
      <c r="AF329" s="267"/>
      <c r="AG329" s="268"/>
      <c r="AH329" s="252"/>
      <c r="AI329" s="253"/>
      <c r="AJ329" s="267"/>
      <c r="AK329" s="268"/>
      <c r="AL329" s="252"/>
      <c r="AM329" s="253"/>
      <c r="AN329" s="267"/>
      <c r="AO329" s="268"/>
      <c r="AP329" s="255">
        <f t="shared" si="56"/>
        <v>56</v>
      </c>
      <c r="AQ329" s="256">
        <f t="shared" si="57"/>
        <v>568183</v>
      </c>
      <c r="AR329" s="257">
        <f t="shared" si="58"/>
        <v>49</v>
      </c>
      <c r="AS329" s="258">
        <f t="shared" si="59"/>
        <v>693835</v>
      </c>
      <c r="AT329" s="259"/>
      <c r="AU329" s="253"/>
      <c r="AV329" s="267"/>
      <c r="AW329" s="268"/>
      <c r="AX329" s="252"/>
      <c r="AY329" s="253"/>
      <c r="AZ329" s="267"/>
      <c r="BA329" s="268"/>
      <c r="BB329" s="252"/>
      <c r="BC329" s="253"/>
      <c r="BD329" s="267"/>
      <c r="BE329" s="268"/>
      <c r="BF329" s="252"/>
      <c r="BG329" s="253"/>
      <c r="BH329" s="267"/>
      <c r="BI329" s="268"/>
      <c r="BJ329" s="252"/>
      <c r="BK329" s="253"/>
      <c r="BL329" s="267"/>
      <c r="BM329" s="268"/>
      <c r="BN329" s="252"/>
      <c r="BO329" s="253"/>
      <c r="BP329" s="267"/>
      <c r="BQ329" s="268"/>
      <c r="BR329" s="252"/>
      <c r="BS329" s="253"/>
      <c r="BT329" s="267"/>
      <c r="BU329" s="268"/>
      <c r="BV329" s="252"/>
      <c r="BW329" s="253"/>
      <c r="BX329" s="267"/>
      <c r="BY329" s="268"/>
      <c r="BZ329" s="252"/>
      <c r="CA329" s="253"/>
      <c r="CB329" s="267"/>
      <c r="CC329" s="268"/>
      <c r="CD329" s="255">
        <f t="shared" si="60"/>
        <v>0</v>
      </c>
      <c r="CE329" s="256">
        <f t="shared" si="61"/>
        <v>0</v>
      </c>
      <c r="CF329" s="257">
        <f t="shared" si="62"/>
        <v>0</v>
      </c>
      <c r="CG329" s="261">
        <f t="shared" si="63"/>
        <v>0</v>
      </c>
    </row>
    <row r="330" spans="1:85" s="263" customFormat="1" ht="12.75" customHeight="1">
      <c r="A330" s="422" t="s">
        <v>683</v>
      </c>
      <c r="B330" s="423" t="s">
        <v>534</v>
      </c>
      <c r="C330" s="423"/>
      <c r="D330" s="424">
        <v>198987</v>
      </c>
      <c r="E330" s="425">
        <v>9</v>
      </c>
      <c r="F330" s="252">
        <v>76</v>
      </c>
      <c r="G330" s="253">
        <v>313222</v>
      </c>
      <c r="H330" s="267">
        <v>91</v>
      </c>
      <c r="I330" s="268">
        <v>408750</v>
      </c>
      <c r="J330" s="252">
        <v>73</v>
      </c>
      <c r="K330" s="253">
        <v>330445</v>
      </c>
      <c r="L330" s="267">
        <v>87</v>
      </c>
      <c r="M330" s="268">
        <v>419016</v>
      </c>
      <c r="N330" s="252"/>
      <c r="O330" s="253"/>
      <c r="P330" s="267"/>
      <c r="Q330" s="268"/>
      <c r="R330" s="252">
        <v>76</v>
      </c>
      <c r="S330" s="253">
        <v>280908</v>
      </c>
      <c r="T330" s="267">
        <v>92</v>
      </c>
      <c r="U330" s="268">
        <v>359669</v>
      </c>
      <c r="V330" s="252"/>
      <c r="W330" s="253"/>
      <c r="X330" s="267"/>
      <c r="Y330" s="268"/>
      <c r="Z330" s="252"/>
      <c r="AA330" s="253"/>
      <c r="AB330" s="267"/>
      <c r="AC330" s="268"/>
      <c r="AD330" s="252"/>
      <c r="AE330" s="253"/>
      <c r="AF330" s="267"/>
      <c r="AG330" s="268"/>
      <c r="AH330" s="252"/>
      <c r="AI330" s="253"/>
      <c r="AJ330" s="267"/>
      <c r="AK330" s="268"/>
      <c r="AL330" s="252"/>
      <c r="AM330" s="253"/>
      <c r="AN330" s="267"/>
      <c r="AO330" s="268"/>
      <c r="AP330" s="255">
        <f t="shared" si="56"/>
        <v>76</v>
      </c>
      <c r="AQ330" s="256">
        <f t="shared" si="57"/>
        <v>924575</v>
      </c>
      <c r="AR330" s="257">
        <f t="shared" si="58"/>
        <v>92</v>
      </c>
      <c r="AS330" s="258">
        <f t="shared" si="59"/>
        <v>1187435</v>
      </c>
      <c r="AT330" s="259"/>
      <c r="AU330" s="253"/>
      <c r="AV330" s="267"/>
      <c r="AW330" s="268"/>
      <c r="AX330" s="252"/>
      <c r="AY330" s="253"/>
      <c r="AZ330" s="267"/>
      <c r="BA330" s="268"/>
      <c r="BB330" s="252"/>
      <c r="BC330" s="253"/>
      <c r="BD330" s="267"/>
      <c r="BE330" s="268"/>
      <c r="BF330" s="252"/>
      <c r="BG330" s="253"/>
      <c r="BH330" s="267"/>
      <c r="BI330" s="268"/>
      <c r="BJ330" s="252"/>
      <c r="BK330" s="253"/>
      <c r="BL330" s="267"/>
      <c r="BM330" s="268"/>
      <c r="BN330" s="252"/>
      <c r="BO330" s="253"/>
      <c r="BP330" s="267"/>
      <c r="BQ330" s="268"/>
      <c r="BR330" s="252"/>
      <c r="BS330" s="253"/>
      <c r="BT330" s="267"/>
      <c r="BU330" s="268"/>
      <c r="BV330" s="252"/>
      <c r="BW330" s="253"/>
      <c r="BX330" s="267"/>
      <c r="BY330" s="268"/>
      <c r="BZ330" s="252"/>
      <c r="CA330" s="253"/>
      <c r="CB330" s="267"/>
      <c r="CC330" s="268"/>
      <c r="CD330" s="255">
        <f t="shared" si="60"/>
        <v>0</v>
      </c>
      <c r="CE330" s="256">
        <f t="shared" si="61"/>
        <v>0</v>
      </c>
      <c r="CF330" s="257">
        <f t="shared" si="62"/>
        <v>0</v>
      </c>
      <c r="CG330" s="261">
        <f t="shared" si="63"/>
        <v>0</v>
      </c>
    </row>
    <row r="331" spans="1:85" s="263" customFormat="1" ht="12.75" customHeight="1">
      <c r="A331" s="422" t="s">
        <v>683</v>
      </c>
      <c r="B331" s="423" t="s">
        <v>535</v>
      </c>
      <c r="C331" s="423"/>
      <c r="D331" s="424">
        <v>199087</v>
      </c>
      <c r="E331" s="425">
        <v>9</v>
      </c>
      <c r="F331" s="252">
        <v>103</v>
      </c>
      <c r="G331" s="253">
        <v>395053</v>
      </c>
      <c r="H331" s="267">
        <v>103</v>
      </c>
      <c r="I331" s="268">
        <v>479859</v>
      </c>
      <c r="J331" s="252">
        <v>103</v>
      </c>
      <c r="K331" s="253">
        <v>342636</v>
      </c>
      <c r="L331" s="267">
        <v>103</v>
      </c>
      <c r="M331" s="268">
        <v>380812</v>
      </c>
      <c r="N331" s="252"/>
      <c r="O331" s="253"/>
      <c r="P331" s="267"/>
      <c r="Q331" s="268"/>
      <c r="R331" s="252">
        <v>103</v>
      </c>
      <c r="S331" s="253">
        <v>345389</v>
      </c>
      <c r="T331" s="267">
        <v>103</v>
      </c>
      <c r="U331" s="268">
        <v>349279</v>
      </c>
      <c r="V331" s="252"/>
      <c r="W331" s="253"/>
      <c r="X331" s="267"/>
      <c r="Y331" s="268"/>
      <c r="Z331" s="252"/>
      <c r="AA331" s="253"/>
      <c r="AB331" s="267"/>
      <c r="AC331" s="268"/>
      <c r="AD331" s="252"/>
      <c r="AE331" s="253"/>
      <c r="AF331" s="267"/>
      <c r="AG331" s="268"/>
      <c r="AH331" s="252"/>
      <c r="AI331" s="253"/>
      <c r="AJ331" s="267"/>
      <c r="AK331" s="268"/>
      <c r="AL331" s="252"/>
      <c r="AM331" s="253"/>
      <c r="AN331" s="267"/>
      <c r="AO331" s="268"/>
      <c r="AP331" s="255">
        <f t="shared" si="56"/>
        <v>103</v>
      </c>
      <c r="AQ331" s="256">
        <f t="shared" si="57"/>
        <v>1083078</v>
      </c>
      <c r="AR331" s="257">
        <f t="shared" si="58"/>
        <v>103</v>
      </c>
      <c r="AS331" s="258">
        <f t="shared" si="59"/>
        <v>1209950</v>
      </c>
      <c r="AT331" s="259"/>
      <c r="AU331" s="253"/>
      <c r="AV331" s="267"/>
      <c r="AW331" s="268"/>
      <c r="AX331" s="252"/>
      <c r="AY331" s="253"/>
      <c r="AZ331" s="267"/>
      <c r="BA331" s="268"/>
      <c r="BB331" s="252"/>
      <c r="BC331" s="253"/>
      <c r="BD331" s="267"/>
      <c r="BE331" s="268"/>
      <c r="BF331" s="252"/>
      <c r="BG331" s="253"/>
      <c r="BH331" s="267"/>
      <c r="BI331" s="268"/>
      <c r="BJ331" s="252"/>
      <c r="BK331" s="253"/>
      <c r="BL331" s="267"/>
      <c r="BM331" s="268"/>
      <c r="BN331" s="252"/>
      <c r="BO331" s="253"/>
      <c r="BP331" s="267"/>
      <c r="BQ331" s="268"/>
      <c r="BR331" s="252"/>
      <c r="BS331" s="253"/>
      <c r="BT331" s="267"/>
      <c r="BU331" s="268"/>
      <c r="BV331" s="252"/>
      <c r="BW331" s="253"/>
      <c r="BX331" s="267"/>
      <c r="BY331" s="268"/>
      <c r="BZ331" s="252"/>
      <c r="CA331" s="253"/>
      <c r="CB331" s="267"/>
      <c r="CC331" s="268"/>
      <c r="CD331" s="255">
        <f t="shared" si="60"/>
        <v>0</v>
      </c>
      <c r="CE331" s="256">
        <f t="shared" si="61"/>
        <v>0</v>
      </c>
      <c r="CF331" s="257">
        <f t="shared" si="62"/>
        <v>0</v>
      </c>
      <c r="CG331" s="261">
        <f t="shared" si="63"/>
        <v>0</v>
      </c>
    </row>
    <row r="332" spans="1:85" s="263" customFormat="1" ht="12.75" customHeight="1">
      <c r="A332" s="422" t="s">
        <v>683</v>
      </c>
      <c r="B332" s="514" t="s">
        <v>536</v>
      </c>
      <c r="C332" s="515" t="s">
        <v>1252</v>
      </c>
      <c r="D332" s="424">
        <v>199324</v>
      </c>
      <c r="E332" s="516">
        <v>10</v>
      </c>
      <c r="F332" s="252">
        <v>94</v>
      </c>
      <c r="G332" s="253">
        <v>364672</v>
      </c>
      <c r="H332" s="267">
        <v>93</v>
      </c>
      <c r="I332" s="268">
        <v>503586</v>
      </c>
      <c r="J332" s="252">
        <v>94</v>
      </c>
      <c r="K332" s="253">
        <v>425504</v>
      </c>
      <c r="L332" s="267">
        <v>93</v>
      </c>
      <c r="M332" s="268">
        <v>458453</v>
      </c>
      <c r="N332" s="252"/>
      <c r="O332" s="253"/>
      <c r="P332" s="267"/>
      <c r="Q332" s="268"/>
      <c r="R332" s="252">
        <v>94</v>
      </c>
      <c r="S332" s="253">
        <v>318828</v>
      </c>
      <c r="T332" s="267">
        <v>93</v>
      </c>
      <c r="U332" s="268">
        <v>366549</v>
      </c>
      <c r="V332" s="252"/>
      <c r="W332" s="253"/>
      <c r="X332" s="267"/>
      <c r="Y332" s="268"/>
      <c r="Z332" s="252"/>
      <c r="AA332" s="253"/>
      <c r="AB332" s="267"/>
      <c r="AC332" s="268"/>
      <c r="AD332" s="252"/>
      <c r="AE332" s="253"/>
      <c r="AF332" s="267"/>
      <c r="AG332" s="268"/>
      <c r="AH332" s="252"/>
      <c r="AI332" s="253"/>
      <c r="AJ332" s="267"/>
      <c r="AK332" s="268"/>
      <c r="AL332" s="252"/>
      <c r="AM332" s="253"/>
      <c r="AN332" s="267"/>
      <c r="AO332" s="268"/>
      <c r="AP332" s="255">
        <f t="shared" si="56"/>
        <v>94</v>
      </c>
      <c r="AQ332" s="256">
        <f t="shared" si="57"/>
        <v>1109004</v>
      </c>
      <c r="AR332" s="257">
        <f t="shared" si="58"/>
        <v>93</v>
      </c>
      <c r="AS332" s="258">
        <f t="shared" si="59"/>
        <v>1328588</v>
      </c>
      <c r="AT332" s="259"/>
      <c r="AU332" s="253"/>
      <c r="AV332" s="267"/>
      <c r="AW332" s="268"/>
      <c r="AX332" s="252"/>
      <c r="AY332" s="253"/>
      <c r="AZ332" s="267"/>
      <c r="BA332" s="268"/>
      <c r="BB332" s="252"/>
      <c r="BC332" s="253"/>
      <c r="BD332" s="267"/>
      <c r="BE332" s="268"/>
      <c r="BF332" s="252"/>
      <c r="BG332" s="253"/>
      <c r="BH332" s="267"/>
      <c r="BI332" s="268"/>
      <c r="BJ332" s="252"/>
      <c r="BK332" s="253"/>
      <c r="BL332" s="267"/>
      <c r="BM332" s="268"/>
      <c r="BN332" s="252"/>
      <c r="BO332" s="253"/>
      <c r="BP332" s="267"/>
      <c r="BQ332" s="268"/>
      <c r="BR332" s="252"/>
      <c r="BS332" s="253"/>
      <c r="BT332" s="267"/>
      <c r="BU332" s="268"/>
      <c r="BV332" s="252"/>
      <c r="BW332" s="253"/>
      <c r="BX332" s="267"/>
      <c r="BY332" s="268"/>
      <c r="BZ332" s="252"/>
      <c r="CA332" s="253"/>
      <c r="CB332" s="267"/>
      <c r="CC332" s="268"/>
      <c r="CD332" s="255">
        <f t="shared" si="60"/>
        <v>0</v>
      </c>
      <c r="CE332" s="256">
        <f t="shared" si="61"/>
        <v>0</v>
      </c>
      <c r="CF332" s="257">
        <f t="shared" si="62"/>
        <v>0</v>
      </c>
      <c r="CG332" s="261">
        <f t="shared" si="63"/>
        <v>0</v>
      </c>
    </row>
    <row r="333" spans="1:85" s="263" customFormat="1" ht="12.75" customHeight="1">
      <c r="A333" s="422" t="s">
        <v>683</v>
      </c>
      <c r="B333" s="423" t="s">
        <v>537</v>
      </c>
      <c r="C333" s="423"/>
      <c r="D333" s="424">
        <v>199421</v>
      </c>
      <c r="E333" s="425">
        <v>9</v>
      </c>
      <c r="F333" s="252">
        <v>60</v>
      </c>
      <c r="G333" s="253">
        <v>223676</v>
      </c>
      <c r="H333" s="267">
        <v>89</v>
      </c>
      <c r="I333" s="268">
        <v>395139</v>
      </c>
      <c r="J333" s="252">
        <v>60</v>
      </c>
      <c r="K333" s="253">
        <v>272907</v>
      </c>
      <c r="L333" s="267">
        <v>89</v>
      </c>
      <c r="M333" s="268">
        <v>448952</v>
      </c>
      <c r="N333" s="252"/>
      <c r="O333" s="253"/>
      <c r="P333" s="267"/>
      <c r="Q333" s="268"/>
      <c r="R333" s="252">
        <v>60</v>
      </c>
      <c r="S333" s="253">
        <v>197653</v>
      </c>
      <c r="T333" s="267">
        <v>89</v>
      </c>
      <c r="U333" s="268">
        <v>287613</v>
      </c>
      <c r="V333" s="252"/>
      <c r="W333" s="253"/>
      <c r="X333" s="267"/>
      <c r="Y333" s="268"/>
      <c r="Z333" s="252"/>
      <c r="AA333" s="253"/>
      <c r="AB333" s="267"/>
      <c r="AC333" s="268"/>
      <c r="AD333" s="252"/>
      <c r="AE333" s="253"/>
      <c r="AF333" s="267"/>
      <c r="AG333" s="268"/>
      <c r="AH333" s="252"/>
      <c r="AI333" s="253"/>
      <c r="AJ333" s="267"/>
      <c r="AK333" s="268"/>
      <c r="AL333" s="252"/>
      <c r="AM333" s="253"/>
      <c r="AN333" s="267"/>
      <c r="AO333" s="268"/>
      <c r="AP333" s="255">
        <f t="shared" si="56"/>
        <v>60</v>
      </c>
      <c r="AQ333" s="256">
        <f t="shared" si="57"/>
        <v>694236</v>
      </c>
      <c r="AR333" s="257">
        <f t="shared" si="58"/>
        <v>89</v>
      </c>
      <c r="AS333" s="258">
        <f t="shared" si="59"/>
        <v>1131704</v>
      </c>
      <c r="AT333" s="259"/>
      <c r="AU333" s="253"/>
      <c r="AV333" s="267"/>
      <c r="AW333" s="268"/>
      <c r="AX333" s="252"/>
      <c r="AY333" s="253"/>
      <c r="AZ333" s="267"/>
      <c r="BA333" s="268"/>
      <c r="BB333" s="252"/>
      <c r="BC333" s="253"/>
      <c r="BD333" s="267"/>
      <c r="BE333" s="268"/>
      <c r="BF333" s="252"/>
      <c r="BG333" s="253"/>
      <c r="BH333" s="267"/>
      <c r="BI333" s="268"/>
      <c r="BJ333" s="252"/>
      <c r="BK333" s="253"/>
      <c r="BL333" s="267"/>
      <c r="BM333" s="268"/>
      <c r="BN333" s="252"/>
      <c r="BO333" s="253"/>
      <c r="BP333" s="267"/>
      <c r="BQ333" s="268"/>
      <c r="BR333" s="252"/>
      <c r="BS333" s="253"/>
      <c r="BT333" s="267"/>
      <c r="BU333" s="268"/>
      <c r="BV333" s="252"/>
      <c r="BW333" s="253"/>
      <c r="BX333" s="267"/>
      <c r="BY333" s="268"/>
      <c r="BZ333" s="252"/>
      <c r="CA333" s="253"/>
      <c r="CB333" s="267"/>
      <c r="CC333" s="268"/>
      <c r="CD333" s="255">
        <f t="shared" si="60"/>
        <v>0</v>
      </c>
      <c r="CE333" s="256">
        <f t="shared" si="61"/>
        <v>0</v>
      </c>
      <c r="CF333" s="257">
        <f t="shared" si="62"/>
        <v>0</v>
      </c>
      <c r="CG333" s="261">
        <f t="shared" si="63"/>
        <v>0</v>
      </c>
    </row>
    <row r="334" spans="1:85" s="263" customFormat="1" ht="12.75" customHeight="1">
      <c r="A334" s="422" t="s">
        <v>683</v>
      </c>
      <c r="B334" s="514" t="s">
        <v>538</v>
      </c>
      <c r="C334" s="515" t="s">
        <v>1252</v>
      </c>
      <c r="D334" s="424">
        <v>199449</v>
      </c>
      <c r="E334" s="516">
        <v>10</v>
      </c>
      <c r="F334" s="252">
        <v>52</v>
      </c>
      <c r="G334" s="253">
        <v>249120</v>
      </c>
      <c r="H334" s="267">
        <v>63</v>
      </c>
      <c r="I334" s="268">
        <v>374562</v>
      </c>
      <c r="J334" s="252">
        <v>52</v>
      </c>
      <c r="K334" s="253">
        <v>235385</v>
      </c>
      <c r="L334" s="267">
        <v>63</v>
      </c>
      <c r="M334" s="268">
        <v>310565</v>
      </c>
      <c r="N334" s="252"/>
      <c r="O334" s="253"/>
      <c r="P334" s="267"/>
      <c r="Q334" s="268"/>
      <c r="R334" s="252">
        <v>52</v>
      </c>
      <c r="S334" s="253">
        <v>217802</v>
      </c>
      <c r="T334" s="267">
        <v>63</v>
      </c>
      <c r="U334" s="268">
        <v>272636</v>
      </c>
      <c r="V334" s="252"/>
      <c r="W334" s="253"/>
      <c r="X334" s="267"/>
      <c r="Y334" s="268"/>
      <c r="Z334" s="252"/>
      <c r="AA334" s="253"/>
      <c r="AB334" s="267"/>
      <c r="AC334" s="268"/>
      <c r="AD334" s="252"/>
      <c r="AE334" s="253"/>
      <c r="AF334" s="267"/>
      <c r="AG334" s="268"/>
      <c r="AH334" s="252"/>
      <c r="AI334" s="253"/>
      <c r="AJ334" s="267"/>
      <c r="AK334" s="268"/>
      <c r="AL334" s="252"/>
      <c r="AM334" s="253"/>
      <c r="AN334" s="267"/>
      <c r="AO334" s="268"/>
      <c r="AP334" s="255">
        <f t="shared" si="56"/>
        <v>52</v>
      </c>
      <c r="AQ334" s="256">
        <f t="shared" si="57"/>
        <v>702307</v>
      </c>
      <c r="AR334" s="257">
        <f t="shared" si="58"/>
        <v>63</v>
      </c>
      <c r="AS334" s="258">
        <f t="shared" si="59"/>
        <v>957763</v>
      </c>
      <c r="AT334" s="259"/>
      <c r="AU334" s="253"/>
      <c r="AV334" s="267"/>
      <c r="AW334" s="268"/>
      <c r="AX334" s="252"/>
      <c r="AY334" s="253"/>
      <c r="AZ334" s="267"/>
      <c r="BA334" s="268"/>
      <c r="BB334" s="252"/>
      <c r="BC334" s="253"/>
      <c r="BD334" s="267"/>
      <c r="BE334" s="268"/>
      <c r="BF334" s="252"/>
      <c r="BG334" s="253"/>
      <c r="BH334" s="267"/>
      <c r="BI334" s="268"/>
      <c r="BJ334" s="252"/>
      <c r="BK334" s="253"/>
      <c r="BL334" s="267"/>
      <c r="BM334" s="268"/>
      <c r="BN334" s="252"/>
      <c r="BO334" s="253"/>
      <c r="BP334" s="267"/>
      <c r="BQ334" s="268"/>
      <c r="BR334" s="252"/>
      <c r="BS334" s="253"/>
      <c r="BT334" s="267"/>
      <c r="BU334" s="268"/>
      <c r="BV334" s="252"/>
      <c r="BW334" s="253"/>
      <c r="BX334" s="267"/>
      <c r="BY334" s="268"/>
      <c r="BZ334" s="252"/>
      <c r="CA334" s="253"/>
      <c r="CB334" s="267"/>
      <c r="CC334" s="268"/>
      <c r="CD334" s="255">
        <f t="shared" si="60"/>
        <v>0</v>
      </c>
      <c r="CE334" s="256">
        <f t="shared" si="61"/>
        <v>0</v>
      </c>
      <c r="CF334" s="257">
        <f t="shared" si="62"/>
        <v>0</v>
      </c>
      <c r="CG334" s="261">
        <f t="shared" si="63"/>
        <v>0</v>
      </c>
    </row>
    <row r="335" spans="1:85" s="263" customFormat="1" ht="12.75" customHeight="1">
      <c r="A335" s="422" t="s">
        <v>683</v>
      </c>
      <c r="B335" s="423" t="s">
        <v>539</v>
      </c>
      <c r="C335" s="423"/>
      <c r="D335" s="424">
        <v>199476</v>
      </c>
      <c r="E335" s="425">
        <v>9</v>
      </c>
      <c r="F335" s="252">
        <v>56</v>
      </c>
      <c r="G335" s="253">
        <v>343982</v>
      </c>
      <c r="H335" s="267">
        <v>67</v>
      </c>
      <c r="I335" s="268">
        <v>455902</v>
      </c>
      <c r="J335" s="252">
        <v>88</v>
      </c>
      <c r="K335" s="253">
        <v>298758</v>
      </c>
      <c r="L335" s="267">
        <v>95</v>
      </c>
      <c r="M335" s="268">
        <v>351234</v>
      </c>
      <c r="N335" s="252"/>
      <c r="O335" s="253"/>
      <c r="P335" s="267"/>
      <c r="Q335" s="268"/>
      <c r="R335" s="252">
        <v>88</v>
      </c>
      <c r="S335" s="253">
        <v>308134</v>
      </c>
      <c r="T335" s="267">
        <v>95</v>
      </c>
      <c r="U335" s="268">
        <v>331841</v>
      </c>
      <c r="V335" s="252"/>
      <c r="W335" s="253"/>
      <c r="X335" s="267"/>
      <c r="Y335" s="268"/>
      <c r="Z335" s="252"/>
      <c r="AA335" s="253"/>
      <c r="AB335" s="267"/>
      <c r="AC335" s="268"/>
      <c r="AD335" s="252"/>
      <c r="AE335" s="253"/>
      <c r="AF335" s="267"/>
      <c r="AG335" s="268"/>
      <c r="AH335" s="252"/>
      <c r="AI335" s="253"/>
      <c r="AJ335" s="267"/>
      <c r="AK335" s="268"/>
      <c r="AL335" s="252"/>
      <c r="AM335" s="253"/>
      <c r="AN335" s="267"/>
      <c r="AO335" s="268"/>
      <c r="AP335" s="255">
        <f t="shared" si="56"/>
        <v>88</v>
      </c>
      <c r="AQ335" s="256">
        <f t="shared" si="57"/>
        <v>950874</v>
      </c>
      <c r="AR335" s="257">
        <f t="shared" si="58"/>
        <v>95</v>
      </c>
      <c r="AS335" s="258">
        <f t="shared" si="59"/>
        <v>1138977</v>
      </c>
      <c r="AT335" s="259"/>
      <c r="AU335" s="253"/>
      <c r="AV335" s="267"/>
      <c r="AW335" s="268"/>
      <c r="AX335" s="252"/>
      <c r="AY335" s="253"/>
      <c r="AZ335" s="267"/>
      <c r="BA335" s="268"/>
      <c r="BB335" s="252"/>
      <c r="BC335" s="253"/>
      <c r="BD335" s="267"/>
      <c r="BE335" s="268"/>
      <c r="BF335" s="252"/>
      <c r="BG335" s="253"/>
      <c r="BH335" s="267"/>
      <c r="BI335" s="268"/>
      <c r="BJ335" s="252"/>
      <c r="BK335" s="253"/>
      <c r="BL335" s="267"/>
      <c r="BM335" s="268"/>
      <c r="BN335" s="252"/>
      <c r="BO335" s="253"/>
      <c r="BP335" s="267"/>
      <c r="BQ335" s="268"/>
      <c r="BR335" s="252"/>
      <c r="BS335" s="253"/>
      <c r="BT335" s="267"/>
      <c r="BU335" s="268"/>
      <c r="BV335" s="252"/>
      <c r="BW335" s="253"/>
      <c r="BX335" s="267"/>
      <c r="BY335" s="268"/>
      <c r="BZ335" s="252"/>
      <c r="CA335" s="253"/>
      <c r="CB335" s="267"/>
      <c r="CC335" s="268"/>
      <c r="CD335" s="255">
        <f t="shared" si="60"/>
        <v>0</v>
      </c>
      <c r="CE335" s="256">
        <f t="shared" si="61"/>
        <v>0</v>
      </c>
      <c r="CF335" s="257">
        <f t="shared" si="62"/>
        <v>0</v>
      </c>
      <c r="CG335" s="261">
        <f t="shared" si="63"/>
        <v>0</v>
      </c>
    </row>
    <row r="336" spans="1:85" s="263" customFormat="1" ht="12.75" customHeight="1">
      <c r="A336" s="422" t="s">
        <v>683</v>
      </c>
      <c r="B336" s="514" t="s">
        <v>540</v>
      </c>
      <c r="C336" s="515" t="s">
        <v>1252</v>
      </c>
      <c r="D336" s="424">
        <v>199485</v>
      </c>
      <c r="E336" s="516">
        <v>10</v>
      </c>
      <c r="F336" s="252">
        <v>62</v>
      </c>
      <c r="G336" s="253">
        <v>253088</v>
      </c>
      <c r="H336" s="267">
        <v>62</v>
      </c>
      <c r="I336" s="268">
        <v>299059</v>
      </c>
      <c r="J336" s="252">
        <v>62</v>
      </c>
      <c r="K336" s="253">
        <v>227954</v>
      </c>
      <c r="L336" s="267">
        <v>62</v>
      </c>
      <c r="M336" s="268">
        <v>246692</v>
      </c>
      <c r="N336" s="252"/>
      <c r="O336" s="253"/>
      <c r="P336" s="267"/>
      <c r="Q336" s="268"/>
      <c r="R336" s="252">
        <v>62</v>
      </c>
      <c r="S336" s="253">
        <v>221272</v>
      </c>
      <c r="T336" s="267">
        <v>62</v>
      </c>
      <c r="U336" s="268">
        <v>217678</v>
      </c>
      <c r="V336" s="252"/>
      <c r="W336" s="253"/>
      <c r="X336" s="267"/>
      <c r="Y336" s="268"/>
      <c r="Z336" s="252">
        <v>62</v>
      </c>
      <c r="AA336" s="253">
        <v>737</v>
      </c>
      <c r="AB336" s="267">
        <v>62</v>
      </c>
      <c r="AC336" s="268">
        <v>737</v>
      </c>
      <c r="AD336" s="252">
        <v>62</v>
      </c>
      <c r="AE336" s="253">
        <v>7520</v>
      </c>
      <c r="AF336" s="267">
        <v>62</v>
      </c>
      <c r="AG336" s="268">
        <v>7398</v>
      </c>
      <c r="AH336" s="252"/>
      <c r="AI336" s="253"/>
      <c r="AJ336" s="267"/>
      <c r="AK336" s="268"/>
      <c r="AL336" s="252"/>
      <c r="AM336" s="253"/>
      <c r="AN336" s="267"/>
      <c r="AO336" s="268"/>
      <c r="AP336" s="255">
        <f t="shared" si="56"/>
        <v>62</v>
      </c>
      <c r="AQ336" s="256">
        <f t="shared" si="57"/>
        <v>710571</v>
      </c>
      <c r="AR336" s="257">
        <f t="shared" si="58"/>
        <v>62</v>
      </c>
      <c r="AS336" s="258">
        <f t="shared" si="59"/>
        <v>771564</v>
      </c>
      <c r="AT336" s="259"/>
      <c r="AU336" s="253"/>
      <c r="AV336" s="267"/>
      <c r="AW336" s="268"/>
      <c r="AX336" s="252"/>
      <c r="AY336" s="253"/>
      <c r="AZ336" s="267"/>
      <c r="BA336" s="268"/>
      <c r="BB336" s="252"/>
      <c r="BC336" s="253"/>
      <c r="BD336" s="267"/>
      <c r="BE336" s="268"/>
      <c r="BF336" s="252"/>
      <c r="BG336" s="253"/>
      <c r="BH336" s="267"/>
      <c r="BI336" s="268"/>
      <c r="BJ336" s="252"/>
      <c r="BK336" s="253"/>
      <c r="BL336" s="267"/>
      <c r="BM336" s="268"/>
      <c r="BN336" s="252"/>
      <c r="BO336" s="253"/>
      <c r="BP336" s="267"/>
      <c r="BQ336" s="268"/>
      <c r="BR336" s="252"/>
      <c r="BS336" s="253"/>
      <c r="BT336" s="267"/>
      <c r="BU336" s="268"/>
      <c r="BV336" s="252"/>
      <c r="BW336" s="253"/>
      <c r="BX336" s="267"/>
      <c r="BY336" s="268"/>
      <c r="BZ336" s="252"/>
      <c r="CA336" s="253"/>
      <c r="CB336" s="267"/>
      <c r="CC336" s="268"/>
      <c r="CD336" s="255">
        <f t="shared" si="60"/>
        <v>0</v>
      </c>
      <c r="CE336" s="256">
        <f t="shared" si="61"/>
        <v>0</v>
      </c>
      <c r="CF336" s="257">
        <f t="shared" si="62"/>
        <v>0</v>
      </c>
      <c r="CG336" s="261">
        <f t="shared" si="63"/>
        <v>0</v>
      </c>
    </row>
    <row r="337" spans="1:85" s="263" customFormat="1" ht="12.75" customHeight="1">
      <c r="A337" s="422" t="s">
        <v>683</v>
      </c>
      <c r="B337" s="423" t="s">
        <v>542</v>
      </c>
      <c r="C337" s="423"/>
      <c r="D337" s="424">
        <v>199634</v>
      </c>
      <c r="E337" s="425">
        <v>9</v>
      </c>
      <c r="F337" s="252">
        <v>129</v>
      </c>
      <c r="G337" s="253">
        <v>555128</v>
      </c>
      <c r="H337" s="267">
        <v>145</v>
      </c>
      <c r="I337" s="268">
        <v>741025</v>
      </c>
      <c r="J337" s="252">
        <v>129</v>
      </c>
      <c r="K337" s="253">
        <v>588510</v>
      </c>
      <c r="L337" s="267">
        <v>145</v>
      </c>
      <c r="M337" s="268">
        <v>714850</v>
      </c>
      <c r="N337" s="252"/>
      <c r="O337" s="253"/>
      <c r="P337" s="267"/>
      <c r="Q337" s="268"/>
      <c r="R337" s="252">
        <v>129</v>
      </c>
      <c r="S337" s="253">
        <v>485340</v>
      </c>
      <c r="T337" s="267">
        <v>145</v>
      </c>
      <c r="U337" s="268">
        <v>539376</v>
      </c>
      <c r="V337" s="252"/>
      <c r="W337" s="253"/>
      <c r="X337" s="267"/>
      <c r="Y337" s="268"/>
      <c r="Z337" s="252"/>
      <c r="AA337" s="253"/>
      <c r="AB337" s="267"/>
      <c r="AC337" s="268"/>
      <c r="AD337" s="252"/>
      <c r="AE337" s="253"/>
      <c r="AF337" s="267"/>
      <c r="AG337" s="268"/>
      <c r="AH337" s="252"/>
      <c r="AI337" s="253"/>
      <c r="AJ337" s="267"/>
      <c r="AK337" s="268"/>
      <c r="AL337" s="252"/>
      <c r="AM337" s="253"/>
      <c r="AN337" s="267"/>
      <c r="AO337" s="268"/>
      <c r="AP337" s="255">
        <f t="shared" si="56"/>
        <v>129</v>
      </c>
      <c r="AQ337" s="256">
        <f t="shared" si="57"/>
        <v>1628978</v>
      </c>
      <c r="AR337" s="257">
        <f t="shared" si="58"/>
        <v>145</v>
      </c>
      <c r="AS337" s="258">
        <f t="shared" si="59"/>
        <v>1995251</v>
      </c>
      <c r="AT337" s="259"/>
      <c r="AU337" s="253"/>
      <c r="AV337" s="267"/>
      <c r="AW337" s="268"/>
      <c r="AX337" s="252"/>
      <c r="AY337" s="253"/>
      <c r="AZ337" s="267"/>
      <c r="BA337" s="268"/>
      <c r="BB337" s="252"/>
      <c r="BC337" s="253"/>
      <c r="BD337" s="267"/>
      <c r="BE337" s="268"/>
      <c r="BF337" s="252"/>
      <c r="BG337" s="253"/>
      <c r="BH337" s="267"/>
      <c r="BI337" s="268"/>
      <c r="BJ337" s="252"/>
      <c r="BK337" s="253"/>
      <c r="BL337" s="267"/>
      <c r="BM337" s="268"/>
      <c r="BN337" s="252"/>
      <c r="BO337" s="253"/>
      <c r="BP337" s="267"/>
      <c r="BQ337" s="268"/>
      <c r="BR337" s="252"/>
      <c r="BS337" s="253"/>
      <c r="BT337" s="267"/>
      <c r="BU337" s="268"/>
      <c r="BV337" s="252"/>
      <c r="BW337" s="253"/>
      <c r="BX337" s="267"/>
      <c r="BY337" s="268"/>
      <c r="BZ337" s="252"/>
      <c r="CA337" s="253"/>
      <c r="CB337" s="267"/>
      <c r="CC337" s="268"/>
      <c r="CD337" s="255">
        <f t="shared" si="60"/>
        <v>0</v>
      </c>
      <c r="CE337" s="256">
        <f t="shared" si="61"/>
        <v>0</v>
      </c>
      <c r="CF337" s="257">
        <f t="shared" si="62"/>
        <v>0</v>
      </c>
      <c r="CG337" s="261">
        <f t="shared" si="63"/>
        <v>0</v>
      </c>
    </row>
    <row r="338" spans="1:85" s="263" customFormat="1" ht="12.75" customHeight="1">
      <c r="A338" s="422" t="s">
        <v>683</v>
      </c>
      <c r="B338" s="514" t="s">
        <v>543</v>
      </c>
      <c r="C338" s="515" t="s">
        <v>1252</v>
      </c>
      <c r="D338" s="424">
        <v>197850</v>
      </c>
      <c r="E338" s="516">
        <v>10</v>
      </c>
      <c r="F338" s="252">
        <v>83</v>
      </c>
      <c r="G338" s="253">
        <v>334789</v>
      </c>
      <c r="H338" s="267">
        <v>86</v>
      </c>
      <c r="I338" s="268">
        <v>412981</v>
      </c>
      <c r="J338" s="252">
        <v>81</v>
      </c>
      <c r="K338" s="253">
        <v>366687</v>
      </c>
      <c r="L338" s="267">
        <v>84</v>
      </c>
      <c r="M338" s="268">
        <v>414086</v>
      </c>
      <c r="N338" s="252"/>
      <c r="O338" s="253"/>
      <c r="P338" s="267"/>
      <c r="Q338" s="268"/>
      <c r="R338" s="252">
        <v>83</v>
      </c>
      <c r="S338" s="253">
        <v>292701</v>
      </c>
      <c r="T338" s="267">
        <v>86</v>
      </c>
      <c r="U338" s="268">
        <v>300600</v>
      </c>
      <c r="V338" s="252"/>
      <c r="W338" s="253"/>
      <c r="X338" s="267"/>
      <c r="Y338" s="268"/>
      <c r="Z338" s="252"/>
      <c r="AA338" s="253"/>
      <c r="AB338" s="267"/>
      <c r="AC338" s="268"/>
      <c r="AD338" s="252"/>
      <c r="AE338" s="253"/>
      <c r="AF338" s="267"/>
      <c r="AG338" s="268"/>
      <c r="AH338" s="252"/>
      <c r="AI338" s="253"/>
      <c r="AJ338" s="267"/>
      <c r="AK338" s="268"/>
      <c r="AL338" s="252"/>
      <c r="AM338" s="253"/>
      <c r="AN338" s="267"/>
      <c r="AO338" s="268"/>
      <c r="AP338" s="255">
        <f t="shared" si="56"/>
        <v>83</v>
      </c>
      <c r="AQ338" s="256">
        <f t="shared" si="57"/>
        <v>994177</v>
      </c>
      <c r="AR338" s="257">
        <f t="shared" si="58"/>
        <v>86</v>
      </c>
      <c r="AS338" s="258">
        <f t="shared" si="59"/>
        <v>1127667</v>
      </c>
      <c r="AT338" s="259"/>
      <c r="AU338" s="253"/>
      <c r="AV338" s="267"/>
      <c r="AW338" s="268"/>
      <c r="AX338" s="252"/>
      <c r="AY338" s="253"/>
      <c r="AZ338" s="267"/>
      <c r="BA338" s="268"/>
      <c r="BB338" s="252"/>
      <c r="BC338" s="253"/>
      <c r="BD338" s="267"/>
      <c r="BE338" s="268"/>
      <c r="BF338" s="252"/>
      <c r="BG338" s="253"/>
      <c r="BH338" s="267"/>
      <c r="BI338" s="268"/>
      <c r="BJ338" s="252"/>
      <c r="BK338" s="253"/>
      <c r="BL338" s="267"/>
      <c r="BM338" s="268"/>
      <c r="BN338" s="252"/>
      <c r="BO338" s="253"/>
      <c r="BP338" s="267"/>
      <c r="BQ338" s="268"/>
      <c r="BR338" s="252"/>
      <c r="BS338" s="253"/>
      <c r="BT338" s="267"/>
      <c r="BU338" s="268"/>
      <c r="BV338" s="252"/>
      <c r="BW338" s="253"/>
      <c r="BX338" s="267"/>
      <c r="BY338" s="268"/>
      <c r="BZ338" s="252"/>
      <c r="CA338" s="253"/>
      <c r="CB338" s="267"/>
      <c r="CC338" s="268"/>
      <c r="CD338" s="255">
        <f t="shared" si="60"/>
        <v>0</v>
      </c>
      <c r="CE338" s="256">
        <f t="shared" si="61"/>
        <v>0</v>
      </c>
      <c r="CF338" s="257">
        <f t="shared" si="62"/>
        <v>0</v>
      </c>
      <c r="CG338" s="261">
        <f t="shared" si="63"/>
        <v>0</v>
      </c>
    </row>
    <row r="339" spans="1:85" s="263" customFormat="1" ht="12.75" customHeight="1">
      <c r="A339" s="422" t="s">
        <v>683</v>
      </c>
      <c r="B339" s="514" t="s">
        <v>544</v>
      </c>
      <c r="C339" s="515" t="s">
        <v>1252</v>
      </c>
      <c r="D339" s="424">
        <v>199722</v>
      </c>
      <c r="E339" s="516">
        <v>10</v>
      </c>
      <c r="F339" s="252">
        <v>76</v>
      </c>
      <c r="G339" s="253">
        <v>328902</v>
      </c>
      <c r="H339" s="267">
        <v>80</v>
      </c>
      <c r="I339" s="268">
        <v>387712</v>
      </c>
      <c r="J339" s="252">
        <v>76</v>
      </c>
      <c r="K339" s="253">
        <v>258018</v>
      </c>
      <c r="L339" s="267">
        <v>80</v>
      </c>
      <c r="M339" s="268">
        <v>295776</v>
      </c>
      <c r="N339" s="252"/>
      <c r="O339" s="253"/>
      <c r="P339" s="267"/>
      <c r="Q339" s="268"/>
      <c r="R339" s="252">
        <v>76</v>
      </c>
      <c r="S339" s="253">
        <v>287555</v>
      </c>
      <c r="T339" s="267">
        <v>80</v>
      </c>
      <c r="U339" s="268">
        <v>282207</v>
      </c>
      <c r="V339" s="252"/>
      <c r="W339" s="253"/>
      <c r="X339" s="267"/>
      <c r="Y339" s="268"/>
      <c r="Z339" s="252"/>
      <c r="AA339" s="253"/>
      <c r="AB339" s="267"/>
      <c r="AC339" s="268"/>
      <c r="AD339" s="252"/>
      <c r="AE339" s="253"/>
      <c r="AF339" s="267"/>
      <c r="AG339" s="268"/>
      <c r="AH339" s="252"/>
      <c r="AI339" s="253"/>
      <c r="AJ339" s="267"/>
      <c r="AK339" s="268"/>
      <c r="AL339" s="252"/>
      <c r="AM339" s="253"/>
      <c r="AN339" s="267"/>
      <c r="AO339" s="268"/>
      <c r="AP339" s="255">
        <f t="shared" si="56"/>
        <v>76</v>
      </c>
      <c r="AQ339" s="256">
        <f t="shared" si="57"/>
        <v>874475</v>
      </c>
      <c r="AR339" s="257">
        <f t="shared" si="58"/>
        <v>80</v>
      </c>
      <c r="AS339" s="258">
        <f t="shared" si="59"/>
        <v>965695</v>
      </c>
      <c r="AT339" s="259"/>
      <c r="AU339" s="253"/>
      <c r="AV339" s="267"/>
      <c r="AW339" s="268"/>
      <c r="AX339" s="252"/>
      <c r="AY339" s="253"/>
      <c r="AZ339" s="267"/>
      <c r="BA339" s="268"/>
      <c r="BB339" s="252"/>
      <c r="BC339" s="253"/>
      <c r="BD339" s="267"/>
      <c r="BE339" s="268"/>
      <c r="BF339" s="252"/>
      <c r="BG339" s="253"/>
      <c r="BH339" s="267"/>
      <c r="BI339" s="268"/>
      <c r="BJ339" s="252"/>
      <c r="BK339" s="253"/>
      <c r="BL339" s="267"/>
      <c r="BM339" s="268"/>
      <c r="BN339" s="252"/>
      <c r="BO339" s="253"/>
      <c r="BP339" s="267"/>
      <c r="BQ339" s="268"/>
      <c r="BR339" s="252"/>
      <c r="BS339" s="253"/>
      <c r="BT339" s="267"/>
      <c r="BU339" s="268"/>
      <c r="BV339" s="252"/>
      <c r="BW339" s="253"/>
      <c r="BX339" s="267"/>
      <c r="BY339" s="268"/>
      <c r="BZ339" s="252"/>
      <c r="CA339" s="253"/>
      <c r="CB339" s="267"/>
      <c r="CC339" s="268"/>
      <c r="CD339" s="255">
        <f t="shared" si="60"/>
        <v>0</v>
      </c>
      <c r="CE339" s="256">
        <f t="shared" si="61"/>
        <v>0</v>
      </c>
      <c r="CF339" s="257">
        <f t="shared" si="62"/>
        <v>0</v>
      </c>
      <c r="CG339" s="261">
        <f t="shared" si="63"/>
        <v>0</v>
      </c>
    </row>
    <row r="340" spans="1:85" s="263" customFormat="1" ht="12.75" customHeight="1">
      <c r="A340" s="422" t="s">
        <v>683</v>
      </c>
      <c r="B340" s="514" t="s">
        <v>545</v>
      </c>
      <c r="C340" s="515" t="s">
        <v>1252</v>
      </c>
      <c r="D340" s="424">
        <v>199731</v>
      </c>
      <c r="E340" s="516">
        <v>10</v>
      </c>
      <c r="F340" s="252">
        <v>83</v>
      </c>
      <c r="G340" s="253">
        <v>329207</v>
      </c>
      <c r="H340" s="267">
        <v>83</v>
      </c>
      <c r="I340" s="268">
        <v>389670</v>
      </c>
      <c r="J340" s="252">
        <v>82</v>
      </c>
      <c r="K340" s="253">
        <v>371185</v>
      </c>
      <c r="L340" s="267">
        <v>83</v>
      </c>
      <c r="M340" s="268">
        <v>409356</v>
      </c>
      <c r="N340" s="252"/>
      <c r="O340" s="253"/>
      <c r="P340" s="267"/>
      <c r="Q340" s="268"/>
      <c r="R340" s="252">
        <v>83</v>
      </c>
      <c r="S340" s="253">
        <v>287821</v>
      </c>
      <c r="T340" s="267">
        <v>83</v>
      </c>
      <c r="U340" s="268">
        <v>283632</v>
      </c>
      <c r="V340" s="252"/>
      <c r="W340" s="253"/>
      <c r="X340" s="267"/>
      <c r="Y340" s="268"/>
      <c r="Z340" s="252">
        <v>83</v>
      </c>
      <c r="AA340" s="253">
        <v>14940</v>
      </c>
      <c r="AB340" s="267">
        <v>83</v>
      </c>
      <c r="AC340" s="268">
        <v>13944</v>
      </c>
      <c r="AD340" s="252"/>
      <c r="AE340" s="253"/>
      <c r="AF340" s="267"/>
      <c r="AG340" s="268"/>
      <c r="AH340" s="252"/>
      <c r="AI340" s="253"/>
      <c r="AJ340" s="267"/>
      <c r="AK340" s="268"/>
      <c r="AL340" s="252"/>
      <c r="AM340" s="253"/>
      <c r="AN340" s="267"/>
      <c r="AO340" s="268"/>
      <c r="AP340" s="255">
        <f t="shared" si="56"/>
        <v>83</v>
      </c>
      <c r="AQ340" s="256">
        <f t="shared" si="57"/>
        <v>1003153</v>
      </c>
      <c r="AR340" s="257">
        <f t="shared" si="58"/>
        <v>83</v>
      </c>
      <c r="AS340" s="258">
        <f t="shared" si="59"/>
        <v>1096602</v>
      </c>
      <c r="AT340" s="259"/>
      <c r="AU340" s="253"/>
      <c r="AV340" s="267"/>
      <c r="AW340" s="268"/>
      <c r="AX340" s="252"/>
      <c r="AY340" s="253"/>
      <c r="AZ340" s="267"/>
      <c r="BA340" s="268"/>
      <c r="BB340" s="252"/>
      <c r="BC340" s="253"/>
      <c r="BD340" s="267"/>
      <c r="BE340" s="268"/>
      <c r="BF340" s="252"/>
      <c r="BG340" s="253"/>
      <c r="BH340" s="267"/>
      <c r="BI340" s="268"/>
      <c r="BJ340" s="252"/>
      <c r="BK340" s="253"/>
      <c r="BL340" s="267"/>
      <c r="BM340" s="268"/>
      <c r="BN340" s="252"/>
      <c r="BO340" s="253"/>
      <c r="BP340" s="267"/>
      <c r="BQ340" s="268"/>
      <c r="BR340" s="252"/>
      <c r="BS340" s="253"/>
      <c r="BT340" s="267"/>
      <c r="BU340" s="268"/>
      <c r="BV340" s="252"/>
      <c r="BW340" s="253"/>
      <c r="BX340" s="267"/>
      <c r="BY340" s="268"/>
      <c r="BZ340" s="252"/>
      <c r="CA340" s="253"/>
      <c r="CB340" s="267"/>
      <c r="CC340" s="268"/>
      <c r="CD340" s="255">
        <f t="shared" si="60"/>
        <v>0</v>
      </c>
      <c r="CE340" s="256">
        <f t="shared" si="61"/>
        <v>0</v>
      </c>
      <c r="CF340" s="257">
        <f t="shared" si="62"/>
        <v>0</v>
      </c>
      <c r="CG340" s="261">
        <f t="shared" si="63"/>
        <v>0</v>
      </c>
    </row>
    <row r="341" spans="1:85" s="263" customFormat="1" ht="12.75" customHeight="1">
      <c r="A341" s="422" t="s">
        <v>683</v>
      </c>
      <c r="B341" s="423" t="s">
        <v>546</v>
      </c>
      <c r="C341" s="423"/>
      <c r="D341" s="424">
        <v>199740</v>
      </c>
      <c r="E341" s="425">
        <v>9</v>
      </c>
      <c r="F341" s="252">
        <v>94</v>
      </c>
      <c r="G341" s="253">
        <v>363064</v>
      </c>
      <c r="H341" s="267">
        <v>102</v>
      </c>
      <c r="I341" s="268">
        <v>466804</v>
      </c>
      <c r="J341" s="252">
        <v>93</v>
      </c>
      <c r="K341" s="253">
        <v>340358</v>
      </c>
      <c r="L341" s="267">
        <v>101</v>
      </c>
      <c r="M341" s="268">
        <v>400833</v>
      </c>
      <c r="N341" s="252"/>
      <c r="O341" s="253"/>
      <c r="P341" s="267"/>
      <c r="Q341" s="268"/>
      <c r="R341" s="252">
        <v>94</v>
      </c>
      <c r="S341" s="253">
        <v>317422</v>
      </c>
      <c r="T341" s="267">
        <v>102</v>
      </c>
      <c r="U341" s="268">
        <v>339776</v>
      </c>
      <c r="V341" s="252"/>
      <c r="W341" s="253"/>
      <c r="X341" s="267"/>
      <c r="Y341" s="268"/>
      <c r="Z341" s="252"/>
      <c r="AA341" s="253"/>
      <c r="AB341" s="267"/>
      <c r="AC341" s="268"/>
      <c r="AD341" s="252"/>
      <c r="AE341" s="253"/>
      <c r="AF341" s="267"/>
      <c r="AG341" s="268"/>
      <c r="AH341" s="252"/>
      <c r="AI341" s="253"/>
      <c r="AJ341" s="267"/>
      <c r="AK341" s="268"/>
      <c r="AL341" s="252"/>
      <c r="AM341" s="253"/>
      <c r="AN341" s="267"/>
      <c r="AO341" s="268"/>
      <c r="AP341" s="255">
        <f t="shared" si="56"/>
        <v>94</v>
      </c>
      <c r="AQ341" s="256">
        <f t="shared" si="57"/>
        <v>1020844</v>
      </c>
      <c r="AR341" s="257">
        <f t="shared" si="58"/>
        <v>102</v>
      </c>
      <c r="AS341" s="258">
        <f t="shared" si="59"/>
        <v>1207413</v>
      </c>
      <c r="AT341" s="259"/>
      <c r="AU341" s="253"/>
      <c r="AV341" s="267"/>
      <c r="AW341" s="268"/>
      <c r="AX341" s="252"/>
      <c r="AY341" s="253"/>
      <c r="AZ341" s="267"/>
      <c r="BA341" s="268"/>
      <c r="BB341" s="252"/>
      <c r="BC341" s="253"/>
      <c r="BD341" s="267"/>
      <c r="BE341" s="268"/>
      <c r="BF341" s="252"/>
      <c r="BG341" s="253"/>
      <c r="BH341" s="267"/>
      <c r="BI341" s="268"/>
      <c r="BJ341" s="252"/>
      <c r="BK341" s="253"/>
      <c r="BL341" s="267"/>
      <c r="BM341" s="268"/>
      <c r="BN341" s="252"/>
      <c r="BO341" s="253"/>
      <c r="BP341" s="267"/>
      <c r="BQ341" s="268"/>
      <c r="BR341" s="252"/>
      <c r="BS341" s="253"/>
      <c r="BT341" s="267"/>
      <c r="BU341" s="268"/>
      <c r="BV341" s="252"/>
      <c r="BW341" s="253"/>
      <c r="BX341" s="267"/>
      <c r="BY341" s="268"/>
      <c r="BZ341" s="252"/>
      <c r="CA341" s="253"/>
      <c r="CB341" s="267"/>
      <c r="CC341" s="268"/>
      <c r="CD341" s="255">
        <f t="shared" si="60"/>
        <v>0</v>
      </c>
      <c r="CE341" s="256">
        <f t="shared" si="61"/>
        <v>0</v>
      </c>
      <c r="CF341" s="257">
        <f t="shared" si="62"/>
        <v>0</v>
      </c>
      <c r="CG341" s="261">
        <f t="shared" si="63"/>
        <v>0</v>
      </c>
    </row>
    <row r="342" spans="1:85" s="263" customFormat="1" ht="12.75" customHeight="1">
      <c r="A342" s="422" t="s">
        <v>683</v>
      </c>
      <c r="B342" s="423" t="s">
        <v>547</v>
      </c>
      <c r="C342" s="423"/>
      <c r="D342" s="424">
        <v>199768</v>
      </c>
      <c r="E342" s="425">
        <v>9</v>
      </c>
      <c r="F342" s="252">
        <v>104</v>
      </c>
      <c r="G342" s="253">
        <v>438685</v>
      </c>
      <c r="H342" s="267">
        <v>104</v>
      </c>
      <c r="I342" s="268">
        <v>515645</v>
      </c>
      <c r="J342" s="252">
        <v>104</v>
      </c>
      <c r="K342" s="253">
        <v>509705</v>
      </c>
      <c r="L342" s="267">
        <v>103</v>
      </c>
      <c r="M342" s="268">
        <v>551612</v>
      </c>
      <c r="N342" s="252"/>
      <c r="O342" s="253"/>
      <c r="P342" s="267"/>
      <c r="Q342" s="268"/>
      <c r="R342" s="252">
        <v>104</v>
      </c>
      <c r="S342" s="253">
        <v>383536</v>
      </c>
      <c r="T342" s="267">
        <v>104</v>
      </c>
      <c r="U342" s="268">
        <v>375327</v>
      </c>
      <c r="V342" s="252"/>
      <c r="W342" s="253"/>
      <c r="X342" s="267"/>
      <c r="Y342" s="268"/>
      <c r="Z342" s="252">
        <v>104</v>
      </c>
      <c r="AA342" s="253">
        <v>14040</v>
      </c>
      <c r="AB342" s="267">
        <v>104</v>
      </c>
      <c r="AC342" s="268">
        <v>9984</v>
      </c>
      <c r="AD342" s="252"/>
      <c r="AE342" s="253"/>
      <c r="AF342" s="267"/>
      <c r="AG342" s="268"/>
      <c r="AH342" s="252"/>
      <c r="AI342" s="253"/>
      <c r="AJ342" s="267"/>
      <c r="AK342" s="268"/>
      <c r="AL342" s="252"/>
      <c r="AM342" s="253"/>
      <c r="AN342" s="267"/>
      <c r="AO342" s="268"/>
      <c r="AP342" s="255">
        <f t="shared" si="56"/>
        <v>104</v>
      </c>
      <c r="AQ342" s="256">
        <f t="shared" si="57"/>
        <v>1345966</v>
      </c>
      <c r="AR342" s="257">
        <f t="shared" si="58"/>
        <v>104</v>
      </c>
      <c r="AS342" s="258">
        <f t="shared" si="59"/>
        <v>1452568</v>
      </c>
      <c r="AT342" s="259"/>
      <c r="AU342" s="253"/>
      <c r="AV342" s="267"/>
      <c r="AW342" s="268"/>
      <c r="AX342" s="252"/>
      <c r="AY342" s="253"/>
      <c r="AZ342" s="267"/>
      <c r="BA342" s="268"/>
      <c r="BB342" s="252"/>
      <c r="BC342" s="253"/>
      <c r="BD342" s="267"/>
      <c r="BE342" s="268"/>
      <c r="BF342" s="252"/>
      <c r="BG342" s="253"/>
      <c r="BH342" s="267"/>
      <c r="BI342" s="268"/>
      <c r="BJ342" s="252"/>
      <c r="BK342" s="253"/>
      <c r="BL342" s="267"/>
      <c r="BM342" s="268"/>
      <c r="BN342" s="252"/>
      <c r="BO342" s="253"/>
      <c r="BP342" s="267"/>
      <c r="BQ342" s="268"/>
      <c r="BR342" s="252"/>
      <c r="BS342" s="253"/>
      <c r="BT342" s="267"/>
      <c r="BU342" s="268"/>
      <c r="BV342" s="252"/>
      <c r="BW342" s="253"/>
      <c r="BX342" s="267"/>
      <c r="BY342" s="268"/>
      <c r="BZ342" s="252"/>
      <c r="CA342" s="253"/>
      <c r="CB342" s="267"/>
      <c r="CC342" s="268"/>
      <c r="CD342" s="255">
        <f t="shared" si="60"/>
        <v>0</v>
      </c>
      <c r="CE342" s="256">
        <f t="shared" si="61"/>
        <v>0</v>
      </c>
      <c r="CF342" s="257">
        <f t="shared" si="62"/>
        <v>0</v>
      </c>
      <c r="CG342" s="261">
        <f t="shared" si="63"/>
        <v>0</v>
      </c>
    </row>
    <row r="343" spans="1:85" s="263" customFormat="1" ht="12.75" customHeight="1">
      <c r="A343" s="422" t="s">
        <v>683</v>
      </c>
      <c r="B343" s="423" t="s">
        <v>548</v>
      </c>
      <c r="C343" s="423"/>
      <c r="D343" s="424">
        <v>199838</v>
      </c>
      <c r="E343" s="425">
        <v>9</v>
      </c>
      <c r="F343" s="252">
        <v>144</v>
      </c>
      <c r="G343" s="253">
        <v>518703</v>
      </c>
      <c r="H343" s="267">
        <v>137</v>
      </c>
      <c r="I343" s="268">
        <v>631467</v>
      </c>
      <c r="J343" s="252">
        <v>144</v>
      </c>
      <c r="K343" s="253">
        <v>590400</v>
      </c>
      <c r="L343" s="267">
        <v>137</v>
      </c>
      <c r="M343" s="268">
        <v>675355</v>
      </c>
      <c r="N343" s="252"/>
      <c r="O343" s="253"/>
      <c r="P343" s="267"/>
      <c r="Q343" s="268"/>
      <c r="R343" s="252">
        <v>144</v>
      </c>
      <c r="S343" s="253">
        <v>487478</v>
      </c>
      <c r="T343" s="267">
        <v>137</v>
      </c>
      <c r="U343" s="268">
        <v>459631</v>
      </c>
      <c r="V343" s="252"/>
      <c r="W343" s="253"/>
      <c r="X343" s="267"/>
      <c r="Y343" s="268"/>
      <c r="Z343" s="252"/>
      <c r="AA343" s="253"/>
      <c r="AB343" s="267"/>
      <c r="AC343" s="268"/>
      <c r="AD343" s="252"/>
      <c r="AE343" s="253"/>
      <c r="AF343" s="267"/>
      <c r="AG343" s="268"/>
      <c r="AH343" s="252"/>
      <c r="AI343" s="253"/>
      <c r="AJ343" s="267"/>
      <c r="AK343" s="268"/>
      <c r="AL343" s="252"/>
      <c r="AM343" s="253"/>
      <c r="AN343" s="267"/>
      <c r="AO343" s="268"/>
      <c r="AP343" s="255">
        <f t="shared" si="56"/>
        <v>144</v>
      </c>
      <c r="AQ343" s="256">
        <f t="shared" si="57"/>
        <v>1596581</v>
      </c>
      <c r="AR343" s="257">
        <f t="shared" si="58"/>
        <v>137</v>
      </c>
      <c r="AS343" s="258">
        <f t="shared" si="59"/>
        <v>1766453</v>
      </c>
      <c r="AT343" s="259"/>
      <c r="AU343" s="253"/>
      <c r="AV343" s="267"/>
      <c r="AW343" s="268"/>
      <c r="AX343" s="252"/>
      <c r="AY343" s="253"/>
      <c r="AZ343" s="267"/>
      <c r="BA343" s="268"/>
      <c r="BB343" s="252"/>
      <c r="BC343" s="253"/>
      <c r="BD343" s="267"/>
      <c r="BE343" s="268"/>
      <c r="BF343" s="252"/>
      <c r="BG343" s="253"/>
      <c r="BH343" s="267"/>
      <c r="BI343" s="268"/>
      <c r="BJ343" s="252"/>
      <c r="BK343" s="253"/>
      <c r="BL343" s="267"/>
      <c r="BM343" s="268"/>
      <c r="BN343" s="252"/>
      <c r="BO343" s="253"/>
      <c r="BP343" s="267"/>
      <c r="BQ343" s="268"/>
      <c r="BR343" s="252"/>
      <c r="BS343" s="253"/>
      <c r="BT343" s="267"/>
      <c r="BU343" s="268"/>
      <c r="BV343" s="252"/>
      <c r="BW343" s="253"/>
      <c r="BX343" s="267"/>
      <c r="BY343" s="268"/>
      <c r="BZ343" s="252"/>
      <c r="CA343" s="253"/>
      <c r="CB343" s="267"/>
      <c r="CC343" s="268"/>
      <c r="CD343" s="255">
        <f t="shared" si="60"/>
        <v>0</v>
      </c>
      <c r="CE343" s="256">
        <f t="shared" si="61"/>
        <v>0</v>
      </c>
      <c r="CF343" s="257">
        <f t="shared" si="62"/>
        <v>0</v>
      </c>
      <c r="CG343" s="261">
        <f t="shared" si="63"/>
        <v>0</v>
      </c>
    </row>
    <row r="344" spans="1:85" s="263" customFormat="1" ht="12.75" customHeight="1">
      <c r="A344" s="422" t="s">
        <v>683</v>
      </c>
      <c r="B344" s="423" t="s">
        <v>549</v>
      </c>
      <c r="C344" s="423"/>
      <c r="D344" s="424">
        <v>199892</v>
      </c>
      <c r="E344" s="425">
        <v>9</v>
      </c>
      <c r="F344" s="252">
        <v>124</v>
      </c>
      <c r="G344" s="253">
        <v>476973</v>
      </c>
      <c r="H344" s="267">
        <v>125</v>
      </c>
      <c r="I344" s="268">
        <v>585142</v>
      </c>
      <c r="J344" s="252">
        <v>124</v>
      </c>
      <c r="K344" s="253">
        <v>561348</v>
      </c>
      <c r="L344" s="267">
        <v>125</v>
      </c>
      <c r="M344" s="268">
        <v>616250</v>
      </c>
      <c r="N344" s="252"/>
      <c r="O344" s="253"/>
      <c r="P344" s="267"/>
      <c r="Q344" s="268"/>
      <c r="R344" s="252">
        <v>124</v>
      </c>
      <c r="S344" s="253">
        <v>417011</v>
      </c>
      <c r="T344" s="267">
        <v>125</v>
      </c>
      <c r="U344" s="268">
        <v>425912</v>
      </c>
      <c r="V344" s="252"/>
      <c r="W344" s="253"/>
      <c r="X344" s="267"/>
      <c r="Y344" s="268"/>
      <c r="Z344" s="252"/>
      <c r="AA344" s="253"/>
      <c r="AB344" s="267"/>
      <c r="AC344" s="268"/>
      <c r="AD344" s="252">
        <v>124</v>
      </c>
      <c r="AE344" s="253">
        <v>38158</v>
      </c>
      <c r="AF344" s="267">
        <v>125</v>
      </c>
      <c r="AG344" s="268">
        <v>33405</v>
      </c>
      <c r="AH344" s="252"/>
      <c r="AI344" s="253"/>
      <c r="AJ344" s="267"/>
      <c r="AK344" s="268"/>
      <c r="AL344" s="252"/>
      <c r="AM344" s="253"/>
      <c r="AN344" s="267"/>
      <c r="AO344" s="268"/>
      <c r="AP344" s="255">
        <f t="shared" si="56"/>
        <v>124</v>
      </c>
      <c r="AQ344" s="256">
        <f t="shared" si="57"/>
        <v>1493490</v>
      </c>
      <c r="AR344" s="257">
        <f t="shared" si="58"/>
        <v>125</v>
      </c>
      <c r="AS344" s="258">
        <f t="shared" si="59"/>
        <v>1660709</v>
      </c>
      <c r="AT344" s="259"/>
      <c r="AU344" s="253"/>
      <c r="AV344" s="267"/>
      <c r="AW344" s="268"/>
      <c r="AX344" s="252"/>
      <c r="AY344" s="253"/>
      <c r="AZ344" s="267"/>
      <c r="BA344" s="268"/>
      <c r="BB344" s="252"/>
      <c r="BC344" s="253"/>
      <c r="BD344" s="267"/>
      <c r="BE344" s="268"/>
      <c r="BF344" s="252"/>
      <c r="BG344" s="253"/>
      <c r="BH344" s="267"/>
      <c r="BI344" s="268"/>
      <c r="BJ344" s="252"/>
      <c r="BK344" s="253"/>
      <c r="BL344" s="267"/>
      <c r="BM344" s="268"/>
      <c r="BN344" s="252"/>
      <c r="BO344" s="253"/>
      <c r="BP344" s="267"/>
      <c r="BQ344" s="268"/>
      <c r="BR344" s="252"/>
      <c r="BS344" s="253"/>
      <c r="BT344" s="267"/>
      <c r="BU344" s="268"/>
      <c r="BV344" s="252"/>
      <c r="BW344" s="253"/>
      <c r="BX344" s="267"/>
      <c r="BY344" s="268"/>
      <c r="BZ344" s="252"/>
      <c r="CA344" s="253"/>
      <c r="CB344" s="267"/>
      <c r="CC344" s="268"/>
      <c r="CD344" s="255">
        <f t="shared" si="60"/>
        <v>0</v>
      </c>
      <c r="CE344" s="256">
        <f t="shared" si="61"/>
        <v>0</v>
      </c>
      <c r="CF344" s="257">
        <f t="shared" si="62"/>
        <v>0</v>
      </c>
      <c r="CG344" s="261">
        <f t="shared" si="63"/>
        <v>0</v>
      </c>
    </row>
    <row r="345" spans="1:85" s="263" customFormat="1" ht="12.75" customHeight="1">
      <c r="A345" s="422" t="s">
        <v>683</v>
      </c>
      <c r="B345" s="423" t="s">
        <v>550</v>
      </c>
      <c r="C345" s="423"/>
      <c r="D345" s="424">
        <v>199908</v>
      </c>
      <c r="E345" s="425">
        <v>9</v>
      </c>
      <c r="F345" s="252">
        <v>75</v>
      </c>
      <c r="G345" s="253">
        <v>326097</v>
      </c>
      <c r="H345" s="267">
        <v>78</v>
      </c>
      <c r="I345" s="268">
        <v>405316</v>
      </c>
      <c r="J345" s="252">
        <v>74</v>
      </c>
      <c r="K345" s="253">
        <v>334998</v>
      </c>
      <c r="L345" s="267">
        <v>77</v>
      </c>
      <c r="M345" s="268">
        <v>379582</v>
      </c>
      <c r="N345" s="252"/>
      <c r="O345" s="253"/>
      <c r="P345" s="267"/>
      <c r="Q345" s="268"/>
      <c r="R345" s="252">
        <v>75</v>
      </c>
      <c r="S345" s="253">
        <v>285102</v>
      </c>
      <c r="T345" s="267">
        <v>78</v>
      </c>
      <c r="U345" s="268">
        <v>295021</v>
      </c>
      <c r="V345" s="252"/>
      <c r="W345" s="253"/>
      <c r="X345" s="267"/>
      <c r="Y345" s="268"/>
      <c r="Z345" s="252"/>
      <c r="AA345" s="253"/>
      <c r="AB345" s="267"/>
      <c r="AC345" s="268"/>
      <c r="AD345" s="252"/>
      <c r="AE345" s="253"/>
      <c r="AF345" s="267"/>
      <c r="AG345" s="268"/>
      <c r="AH345" s="252"/>
      <c r="AI345" s="253"/>
      <c r="AJ345" s="267"/>
      <c r="AK345" s="268"/>
      <c r="AL345" s="252"/>
      <c r="AM345" s="253"/>
      <c r="AN345" s="267"/>
      <c r="AO345" s="268"/>
      <c r="AP345" s="255">
        <f t="shared" ref="AP345:AP408" si="64">MAX(AL345,AH345,AD345,Z345,V345,R345,N345,J345,F345)</f>
        <v>75</v>
      </c>
      <c r="AQ345" s="256">
        <f t="shared" ref="AQ345:AQ408" si="65">SUM(AM345,AI345,AE345,AA345,W345,S345,O345,K345,G345)</f>
        <v>946197</v>
      </c>
      <c r="AR345" s="257">
        <f t="shared" ref="AR345:AR408" si="66">MAX(AN345,AJ345,AF345,AB345,X345,T345,P345,L345,H345)</f>
        <v>78</v>
      </c>
      <c r="AS345" s="258">
        <f t="shared" ref="AS345:AS408" si="67">SUM(AO345,AK345,AG345,AC345,Y345,U345,Q345,M345,I345)</f>
        <v>1079919</v>
      </c>
      <c r="AT345" s="259"/>
      <c r="AU345" s="253"/>
      <c r="AV345" s="267"/>
      <c r="AW345" s="268"/>
      <c r="AX345" s="252"/>
      <c r="AY345" s="253"/>
      <c r="AZ345" s="267"/>
      <c r="BA345" s="268"/>
      <c r="BB345" s="252"/>
      <c r="BC345" s="253"/>
      <c r="BD345" s="267"/>
      <c r="BE345" s="268"/>
      <c r="BF345" s="252"/>
      <c r="BG345" s="253"/>
      <c r="BH345" s="267"/>
      <c r="BI345" s="268"/>
      <c r="BJ345" s="252"/>
      <c r="BK345" s="253"/>
      <c r="BL345" s="267"/>
      <c r="BM345" s="268"/>
      <c r="BN345" s="252"/>
      <c r="BO345" s="253"/>
      <c r="BP345" s="267"/>
      <c r="BQ345" s="268"/>
      <c r="BR345" s="252"/>
      <c r="BS345" s="253"/>
      <c r="BT345" s="267"/>
      <c r="BU345" s="268"/>
      <c r="BV345" s="252"/>
      <c r="BW345" s="253"/>
      <c r="BX345" s="267"/>
      <c r="BY345" s="268"/>
      <c r="BZ345" s="252"/>
      <c r="CA345" s="253"/>
      <c r="CB345" s="267"/>
      <c r="CC345" s="268"/>
      <c r="CD345" s="255">
        <f t="shared" ref="CD345:CD408" si="68">MAX(BZ345,BV345,BR345,BN345,BJ345,BF345,BB345,AX345,AT345)</f>
        <v>0</v>
      </c>
      <c r="CE345" s="256">
        <f t="shared" ref="CE345:CE408" si="69">SUM(CA345,BW345,BS345,BO345,BK345,BG345,BC345,AY345,AU345)</f>
        <v>0</v>
      </c>
      <c r="CF345" s="257">
        <f t="shared" ref="CF345:CF408" si="70">MAX(CB345,BX345,BT345,BP345,BL345,BH345,BD345,AZ345,AV345)</f>
        <v>0</v>
      </c>
      <c r="CG345" s="261">
        <f t="shared" ref="CG345:CG408" si="71">SUM(CC345,BY345,BU345,BQ345,BM345,BI345,BE345,BA345,AW345)</f>
        <v>0</v>
      </c>
    </row>
    <row r="346" spans="1:85" s="263" customFormat="1" ht="12.75" customHeight="1">
      <c r="A346" s="422" t="s">
        <v>683</v>
      </c>
      <c r="B346" s="423" t="s">
        <v>551</v>
      </c>
      <c r="C346" s="423"/>
      <c r="D346" s="424">
        <v>199926</v>
      </c>
      <c r="E346" s="425">
        <v>9</v>
      </c>
      <c r="F346" s="252">
        <v>76</v>
      </c>
      <c r="G346" s="253">
        <v>310103</v>
      </c>
      <c r="H346" s="267">
        <v>84</v>
      </c>
      <c r="I346" s="268">
        <v>416380</v>
      </c>
      <c r="J346" s="252">
        <v>76</v>
      </c>
      <c r="K346" s="253">
        <v>344025</v>
      </c>
      <c r="L346" s="267">
        <v>84</v>
      </c>
      <c r="M346" s="268">
        <v>414086</v>
      </c>
      <c r="N346" s="252"/>
      <c r="O346" s="253"/>
      <c r="P346" s="267"/>
      <c r="Q346" s="268"/>
      <c r="R346" s="252">
        <v>76</v>
      </c>
      <c r="S346" s="253">
        <v>271118</v>
      </c>
      <c r="T346" s="267">
        <v>84</v>
      </c>
      <c r="U346" s="268">
        <v>303074</v>
      </c>
      <c r="V346" s="252"/>
      <c r="W346" s="253"/>
      <c r="X346" s="267"/>
      <c r="Y346" s="268"/>
      <c r="Z346" s="252"/>
      <c r="AA346" s="253"/>
      <c r="AB346" s="267"/>
      <c r="AC346" s="268"/>
      <c r="AD346" s="252"/>
      <c r="AE346" s="253"/>
      <c r="AF346" s="267"/>
      <c r="AG346" s="268"/>
      <c r="AH346" s="252"/>
      <c r="AI346" s="253"/>
      <c r="AJ346" s="267"/>
      <c r="AK346" s="268"/>
      <c r="AL346" s="252"/>
      <c r="AM346" s="253"/>
      <c r="AN346" s="267"/>
      <c r="AO346" s="268"/>
      <c r="AP346" s="255">
        <f t="shared" si="64"/>
        <v>76</v>
      </c>
      <c r="AQ346" s="256">
        <f t="shared" si="65"/>
        <v>925246</v>
      </c>
      <c r="AR346" s="257">
        <f t="shared" si="66"/>
        <v>84</v>
      </c>
      <c r="AS346" s="258">
        <f t="shared" si="67"/>
        <v>1133540</v>
      </c>
      <c r="AT346" s="259"/>
      <c r="AU346" s="253"/>
      <c r="AV346" s="267"/>
      <c r="AW346" s="268"/>
      <c r="AX346" s="252"/>
      <c r="AY346" s="253"/>
      <c r="AZ346" s="267"/>
      <c r="BA346" s="268"/>
      <c r="BB346" s="252"/>
      <c r="BC346" s="253"/>
      <c r="BD346" s="267"/>
      <c r="BE346" s="268"/>
      <c r="BF346" s="252"/>
      <c r="BG346" s="253"/>
      <c r="BH346" s="267"/>
      <c r="BI346" s="268"/>
      <c r="BJ346" s="252"/>
      <c r="BK346" s="253"/>
      <c r="BL346" s="267"/>
      <c r="BM346" s="268"/>
      <c r="BN346" s="252"/>
      <c r="BO346" s="253"/>
      <c r="BP346" s="267"/>
      <c r="BQ346" s="268"/>
      <c r="BR346" s="252"/>
      <c r="BS346" s="253"/>
      <c r="BT346" s="267"/>
      <c r="BU346" s="268"/>
      <c r="BV346" s="252"/>
      <c r="BW346" s="253"/>
      <c r="BX346" s="267"/>
      <c r="BY346" s="268"/>
      <c r="BZ346" s="252"/>
      <c r="CA346" s="253"/>
      <c r="CB346" s="267"/>
      <c r="CC346" s="268"/>
      <c r="CD346" s="255">
        <f t="shared" si="68"/>
        <v>0</v>
      </c>
      <c r="CE346" s="256">
        <f t="shared" si="69"/>
        <v>0</v>
      </c>
      <c r="CF346" s="257">
        <f t="shared" si="70"/>
        <v>0</v>
      </c>
      <c r="CG346" s="261">
        <f t="shared" si="71"/>
        <v>0</v>
      </c>
    </row>
    <row r="347" spans="1:85" s="263" customFormat="1" ht="12.75" customHeight="1">
      <c r="A347" s="422" t="s">
        <v>683</v>
      </c>
      <c r="B347" s="514" t="s">
        <v>552</v>
      </c>
      <c r="C347" s="515" t="s">
        <v>1252</v>
      </c>
      <c r="D347" s="424">
        <v>199953</v>
      </c>
      <c r="E347" s="516">
        <v>10</v>
      </c>
      <c r="F347" s="252">
        <v>52</v>
      </c>
      <c r="G347" s="253">
        <v>164313</v>
      </c>
      <c r="H347" s="267">
        <v>54</v>
      </c>
      <c r="I347" s="268">
        <v>198654</v>
      </c>
      <c r="J347" s="252">
        <v>52</v>
      </c>
      <c r="K347" s="253">
        <v>150696</v>
      </c>
      <c r="L347" s="267">
        <v>54</v>
      </c>
      <c r="M347" s="268">
        <v>199649</v>
      </c>
      <c r="N347" s="252"/>
      <c r="O347" s="253"/>
      <c r="P347" s="267"/>
      <c r="Q347" s="268"/>
      <c r="R347" s="252">
        <v>52</v>
      </c>
      <c r="S347" s="253">
        <v>143657</v>
      </c>
      <c r="T347" s="267">
        <v>54</v>
      </c>
      <c r="U347" s="268">
        <v>192797</v>
      </c>
      <c r="V347" s="252"/>
      <c r="W347" s="253"/>
      <c r="X347" s="267"/>
      <c r="Y347" s="268"/>
      <c r="Z347" s="252"/>
      <c r="AA347" s="253"/>
      <c r="AB347" s="267"/>
      <c r="AC347" s="268"/>
      <c r="AD347" s="252"/>
      <c r="AE347" s="253"/>
      <c r="AF347" s="267"/>
      <c r="AG347" s="268"/>
      <c r="AH347" s="252"/>
      <c r="AI347" s="253"/>
      <c r="AJ347" s="267"/>
      <c r="AK347" s="268"/>
      <c r="AL347" s="252"/>
      <c r="AM347" s="253"/>
      <c r="AN347" s="267"/>
      <c r="AO347" s="268"/>
      <c r="AP347" s="255">
        <f t="shared" si="64"/>
        <v>52</v>
      </c>
      <c r="AQ347" s="256">
        <f t="shared" si="65"/>
        <v>458666</v>
      </c>
      <c r="AR347" s="257">
        <f t="shared" si="66"/>
        <v>54</v>
      </c>
      <c r="AS347" s="258">
        <f t="shared" si="67"/>
        <v>591100</v>
      </c>
      <c r="AT347" s="259"/>
      <c r="AU347" s="253"/>
      <c r="AV347" s="267"/>
      <c r="AW347" s="268"/>
      <c r="AX347" s="252"/>
      <c r="AY347" s="253"/>
      <c r="AZ347" s="267"/>
      <c r="BA347" s="268"/>
      <c r="BB347" s="252"/>
      <c r="BC347" s="253"/>
      <c r="BD347" s="267"/>
      <c r="BE347" s="268"/>
      <c r="BF347" s="252"/>
      <c r="BG347" s="253"/>
      <c r="BH347" s="267"/>
      <c r="BI347" s="268"/>
      <c r="BJ347" s="252"/>
      <c r="BK347" s="253"/>
      <c r="BL347" s="267"/>
      <c r="BM347" s="268"/>
      <c r="BN347" s="252"/>
      <c r="BO347" s="253"/>
      <c r="BP347" s="267"/>
      <c r="BQ347" s="268"/>
      <c r="BR347" s="252"/>
      <c r="BS347" s="253"/>
      <c r="BT347" s="267"/>
      <c r="BU347" s="268"/>
      <c r="BV347" s="252"/>
      <c r="BW347" s="253"/>
      <c r="BX347" s="267"/>
      <c r="BY347" s="268"/>
      <c r="BZ347" s="252"/>
      <c r="CA347" s="253"/>
      <c r="CB347" s="267"/>
      <c r="CC347" s="268"/>
      <c r="CD347" s="255">
        <f t="shared" si="68"/>
        <v>0</v>
      </c>
      <c r="CE347" s="256">
        <f t="shared" si="69"/>
        <v>0</v>
      </c>
      <c r="CF347" s="257">
        <f t="shared" si="70"/>
        <v>0</v>
      </c>
      <c r="CG347" s="261">
        <f t="shared" si="71"/>
        <v>0</v>
      </c>
    </row>
    <row r="348" spans="1:85" s="263" customFormat="1" ht="12.75" customHeight="1">
      <c r="A348" s="426" t="s">
        <v>683</v>
      </c>
      <c r="B348" s="423" t="s">
        <v>529</v>
      </c>
      <c r="C348" s="423"/>
      <c r="D348" s="424">
        <v>197966</v>
      </c>
      <c r="E348" s="425">
        <v>10</v>
      </c>
      <c r="F348" s="252">
        <v>59</v>
      </c>
      <c r="G348" s="253">
        <v>263149</v>
      </c>
      <c r="H348" s="267">
        <v>64</v>
      </c>
      <c r="I348" s="268">
        <v>331543</v>
      </c>
      <c r="J348" s="252">
        <v>59</v>
      </c>
      <c r="K348" s="253">
        <v>267072</v>
      </c>
      <c r="L348" s="267">
        <v>64</v>
      </c>
      <c r="M348" s="268">
        <v>314880</v>
      </c>
      <c r="N348" s="252"/>
      <c r="O348" s="253"/>
      <c r="P348" s="267"/>
      <c r="Q348" s="268"/>
      <c r="R348" s="252">
        <v>59</v>
      </c>
      <c r="S348" s="253">
        <v>206470</v>
      </c>
      <c r="T348" s="267">
        <v>64</v>
      </c>
      <c r="U348" s="268">
        <v>220356</v>
      </c>
      <c r="V348" s="252"/>
      <c r="W348" s="253"/>
      <c r="X348" s="267"/>
      <c r="Y348" s="268"/>
      <c r="Z348" s="252"/>
      <c r="AA348" s="253"/>
      <c r="AB348" s="267"/>
      <c r="AC348" s="268"/>
      <c r="AD348" s="252"/>
      <c r="AE348" s="253"/>
      <c r="AF348" s="267"/>
      <c r="AG348" s="268"/>
      <c r="AH348" s="252"/>
      <c r="AI348" s="253"/>
      <c r="AJ348" s="267"/>
      <c r="AK348" s="268"/>
      <c r="AL348" s="252"/>
      <c r="AM348" s="253"/>
      <c r="AN348" s="267"/>
      <c r="AO348" s="268"/>
      <c r="AP348" s="255">
        <f t="shared" si="64"/>
        <v>59</v>
      </c>
      <c r="AQ348" s="256">
        <f t="shared" si="65"/>
        <v>736691</v>
      </c>
      <c r="AR348" s="257">
        <f t="shared" si="66"/>
        <v>64</v>
      </c>
      <c r="AS348" s="258">
        <f t="shared" si="67"/>
        <v>866779</v>
      </c>
      <c r="AT348" s="259"/>
      <c r="AU348" s="253"/>
      <c r="AV348" s="267"/>
      <c r="AW348" s="268"/>
      <c r="AX348" s="252"/>
      <c r="AY348" s="253"/>
      <c r="AZ348" s="267"/>
      <c r="BA348" s="268"/>
      <c r="BB348" s="252"/>
      <c r="BC348" s="253"/>
      <c r="BD348" s="267"/>
      <c r="BE348" s="268"/>
      <c r="BF348" s="252"/>
      <c r="BG348" s="253"/>
      <c r="BH348" s="267"/>
      <c r="BI348" s="268"/>
      <c r="BJ348" s="252"/>
      <c r="BK348" s="253"/>
      <c r="BL348" s="267"/>
      <c r="BM348" s="268"/>
      <c r="BN348" s="252"/>
      <c r="BO348" s="253"/>
      <c r="BP348" s="267"/>
      <c r="BQ348" s="268"/>
      <c r="BR348" s="252"/>
      <c r="BS348" s="253"/>
      <c r="BT348" s="267"/>
      <c r="BU348" s="268"/>
      <c r="BV348" s="252"/>
      <c r="BW348" s="253"/>
      <c r="BX348" s="267"/>
      <c r="BY348" s="268"/>
      <c r="BZ348" s="252"/>
      <c r="CA348" s="253"/>
      <c r="CB348" s="267"/>
      <c r="CC348" s="268"/>
      <c r="CD348" s="255">
        <f t="shared" si="68"/>
        <v>0</v>
      </c>
      <c r="CE348" s="256">
        <f t="shared" si="69"/>
        <v>0</v>
      </c>
      <c r="CF348" s="257">
        <f t="shared" si="70"/>
        <v>0</v>
      </c>
      <c r="CG348" s="261">
        <f t="shared" si="71"/>
        <v>0</v>
      </c>
    </row>
    <row r="349" spans="1:85" s="263" customFormat="1" ht="12.75" customHeight="1">
      <c r="A349" s="422" t="s">
        <v>683</v>
      </c>
      <c r="B349" s="423" t="s">
        <v>553</v>
      </c>
      <c r="C349" s="423"/>
      <c r="D349" s="424">
        <v>198011</v>
      </c>
      <c r="E349" s="425">
        <v>10</v>
      </c>
      <c r="F349" s="252">
        <v>43</v>
      </c>
      <c r="G349" s="253">
        <v>181574</v>
      </c>
      <c r="H349" s="267">
        <v>46</v>
      </c>
      <c r="I349" s="268">
        <v>291129</v>
      </c>
      <c r="J349" s="252">
        <v>43</v>
      </c>
      <c r="K349" s="253">
        <v>194661</v>
      </c>
      <c r="L349" s="267">
        <v>46</v>
      </c>
      <c r="M349" s="268">
        <v>226762</v>
      </c>
      <c r="N349" s="252"/>
      <c r="O349" s="253"/>
      <c r="P349" s="267"/>
      <c r="Q349" s="268"/>
      <c r="R349" s="252">
        <v>43</v>
      </c>
      <c r="S349" s="253">
        <v>158747</v>
      </c>
      <c r="T349" s="267">
        <v>46</v>
      </c>
      <c r="U349" s="268">
        <v>211906</v>
      </c>
      <c r="V349" s="252"/>
      <c r="W349" s="253"/>
      <c r="X349" s="267"/>
      <c r="Y349" s="268"/>
      <c r="Z349" s="252"/>
      <c r="AA349" s="253"/>
      <c r="AB349" s="267"/>
      <c r="AC349" s="268"/>
      <c r="AD349" s="252"/>
      <c r="AE349" s="253"/>
      <c r="AF349" s="267"/>
      <c r="AG349" s="268"/>
      <c r="AH349" s="252"/>
      <c r="AI349" s="253"/>
      <c r="AJ349" s="267"/>
      <c r="AK349" s="268"/>
      <c r="AL349" s="252"/>
      <c r="AM349" s="253"/>
      <c r="AN349" s="267"/>
      <c r="AO349" s="268"/>
      <c r="AP349" s="255">
        <f t="shared" si="64"/>
        <v>43</v>
      </c>
      <c r="AQ349" s="256">
        <f t="shared" si="65"/>
        <v>534982</v>
      </c>
      <c r="AR349" s="257">
        <f t="shared" si="66"/>
        <v>46</v>
      </c>
      <c r="AS349" s="258">
        <f t="shared" si="67"/>
        <v>729797</v>
      </c>
      <c r="AT349" s="259"/>
      <c r="AU349" s="253"/>
      <c r="AV349" s="267"/>
      <c r="AW349" s="268"/>
      <c r="AX349" s="252"/>
      <c r="AY349" s="253"/>
      <c r="AZ349" s="267"/>
      <c r="BA349" s="268"/>
      <c r="BB349" s="252"/>
      <c r="BC349" s="253"/>
      <c r="BD349" s="267"/>
      <c r="BE349" s="268"/>
      <c r="BF349" s="252"/>
      <c r="BG349" s="253"/>
      <c r="BH349" s="267"/>
      <c r="BI349" s="268"/>
      <c r="BJ349" s="252"/>
      <c r="BK349" s="253"/>
      <c r="BL349" s="267"/>
      <c r="BM349" s="268"/>
      <c r="BN349" s="252"/>
      <c r="BO349" s="253"/>
      <c r="BP349" s="267"/>
      <c r="BQ349" s="268"/>
      <c r="BR349" s="252"/>
      <c r="BS349" s="253"/>
      <c r="BT349" s="267"/>
      <c r="BU349" s="268"/>
      <c r="BV349" s="252"/>
      <c r="BW349" s="253"/>
      <c r="BX349" s="267"/>
      <c r="BY349" s="268"/>
      <c r="BZ349" s="252"/>
      <c r="CA349" s="253"/>
      <c r="CB349" s="267"/>
      <c r="CC349" s="268"/>
      <c r="CD349" s="255">
        <f t="shared" si="68"/>
        <v>0</v>
      </c>
      <c r="CE349" s="256">
        <f t="shared" si="69"/>
        <v>0</v>
      </c>
      <c r="CF349" s="257">
        <f t="shared" si="70"/>
        <v>0</v>
      </c>
      <c r="CG349" s="261">
        <f t="shared" si="71"/>
        <v>0</v>
      </c>
    </row>
    <row r="350" spans="1:85" s="263" customFormat="1" ht="12.75" customHeight="1">
      <c r="A350" s="422" t="s">
        <v>683</v>
      </c>
      <c r="B350" s="423" t="s">
        <v>554</v>
      </c>
      <c r="C350" s="423"/>
      <c r="D350" s="424">
        <v>198084</v>
      </c>
      <c r="E350" s="425">
        <v>10</v>
      </c>
      <c r="F350" s="252">
        <v>49</v>
      </c>
      <c r="G350" s="253">
        <v>154278</v>
      </c>
      <c r="H350" s="267">
        <v>53</v>
      </c>
      <c r="I350" s="268">
        <v>196769</v>
      </c>
      <c r="J350" s="252">
        <v>49</v>
      </c>
      <c r="K350" s="253">
        <v>107734</v>
      </c>
      <c r="L350" s="267">
        <v>53</v>
      </c>
      <c r="M350" s="268">
        <v>261268</v>
      </c>
      <c r="N350" s="252"/>
      <c r="O350" s="253"/>
      <c r="P350" s="267"/>
      <c r="Q350" s="268"/>
      <c r="R350" s="252">
        <v>49</v>
      </c>
      <c r="S350" s="253">
        <v>134882</v>
      </c>
      <c r="T350" s="267">
        <v>53</v>
      </c>
      <c r="U350" s="268">
        <v>143224</v>
      </c>
      <c r="V350" s="252"/>
      <c r="W350" s="253"/>
      <c r="X350" s="267"/>
      <c r="Y350" s="268"/>
      <c r="Z350" s="252"/>
      <c r="AA350" s="253"/>
      <c r="AB350" s="267"/>
      <c r="AC350" s="268"/>
      <c r="AD350" s="252"/>
      <c r="AE350" s="253"/>
      <c r="AF350" s="267"/>
      <c r="AG350" s="268"/>
      <c r="AH350" s="252"/>
      <c r="AI350" s="253"/>
      <c r="AJ350" s="267"/>
      <c r="AK350" s="268"/>
      <c r="AL350" s="252"/>
      <c r="AM350" s="253"/>
      <c r="AN350" s="267"/>
      <c r="AO350" s="268"/>
      <c r="AP350" s="255">
        <f t="shared" si="64"/>
        <v>49</v>
      </c>
      <c r="AQ350" s="256">
        <f t="shared" si="65"/>
        <v>396894</v>
      </c>
      <c r="AR350" s="257">
        <f t="shared" si="66"/>
        <v>53</v>
      </c>
      <c r="AS350" s="258">
        <f t="shared" si="67"/>
        <v>601261</v>
      </c>
      <c r="AT350" s="259"/>
      <c r="AU350" s="253"/>
      <c r="AV350" s="267"/>
      <c r="AW350" s="268"/>
      <c r="AX350" s="252"/>
      <c r="AY350" s="253"/>
      <c r="AZ350" s="267"/>
      <c r="BA350" s="268"/>
      <c r="BB350" s="252"/>
      <c r="BC350" s="253"/>
      <c r="BD350" s="267"/>
      <c r="BE350" s="268"/>
      <c r="BF350" s="252"/>
      <c r="BG350" s="253"/>
      <c r="BH350" s="267"/>
      <c r="BI350" s="268"/>
      <c r="BJ350" s="252"/>
      <c r="BK350" s="253"/>
      <c r="BL350" s="267"/>
      <c r="BM350" s="268"/>
      <c r="BN350" s="252"/>
      <c r="BO350" s="253"/>
      <c r="BP350" s="267"/>
      <c r="BQ350" s="268"/>
      <c r="BR350" s="252"/>
      <c r="BS350" s="253"/>
      <c r="BT350" s="267"/>
      <c r="BU350" s="268"/>
      <c r="BV350" s="252"/>
      <c r="BW350" s="253"/>
      <c r="BX350" s="267"/>
      <c r="BY350" s="268"/>
      <c r="BZ350" s="252"/>
      <c r="CA350" s="253"/>
      <c r="CB350" s="267"/>
      <c r="CC350" s="268"/>
      <c r="CD350" s="255">
        <f t="shared" si="68"/>
        <v>0</v>
      </c>
      <c r="CE350" s="256">
        <f t="shared" si="69"/>
        <v>0</v>
      </c>
      <c r="CF350" s="257">
        <f t="shared" si="70"/>
        <v>0</v>
      </c>
      <c r="CG350" s="261">
        <f t="shared" si="71"/>
        <v>0</v>
      </c>
    </row>
    <row r="351" spans="1:85" s="263" customFormat="1" ht="12.75" customHeight="1">
      <c r="A351" s="422" t="s">
        <v>683</v>
      </c>
      <c r="B351" s="423" t="s">
        <v>555</v>
      </c>
      <c r="C351" s="423"/>
      <c r="D351" s="424">
        <v>198206</v>
      </c>
      <c r="E351" s="425">
        <v>10</v>
      </c>
      <c r="F351" s="252">
        <v>66</v>
      </c>
      <c r="G351" s="253">
        <v>259666</v>
      </c>
      <c r="H351" s="267">
        <v>60</v>
      </c>
      <c r="I351" s="268">
        <v>282341</v>
      </c>
      <c r="J351" s="252">
        <v>66</v>
      </c>
      <c r="K351" s="253">
        <v>224069</v>
      </c>
      <c r="L351" s="267">
        <v>60</v>
      </c>
      <c r="M351" s="268">
        <v>221832</v>
      </c>
      <c r="N351" s="252"/>
      <c r="O351" s="253"/>
      <c r="P351" s="267"/>
      <c r="Q351" s="268"/>
      <c r="R351" s="252">
        <v>66</v>
      </c>
      <c r="S351" s="253">
        <v>221087</v>
      </c>
      <c r="T351" s="267">
        <v>60</v>
      </c>
      <c r="U351" s="268">
        <v>205510</v>
      </c>
      <c r="V351" s="252"/>
      <c r="W351" s="253"/>
      <c r="X351" s="267"/>
      <c r="Y351" s="268"/>
      <c r="Z351" s="252"/>
      <c r="AA351" s="253"/>
      <c r="AB351" s="267"/>
      <c r="AC351" s="268"/>
      <c r="AD351" s="252"/>
      <c r="AE351" s="253"/>
      <c r="AF351" s="267"/>
      <c r="AG351" s="268"/>
      <c r="AH351" s="252"/>
      <c r="AI351" s="253"/>
      <c r="AJ351" s="267"/>
      <c r="AK351" s="268"/>
      <c r="AL351" s="252"/>
      <c r="AM351" s="253"/>
      <c r="AN351" s="267"/>
      <c r="AO351" s="268"/>
      <c r="AP351" s="255">
        <f t="shared" si="64"/>
        <v>66</v>
      </c>
      <c r="AQ351" s="256">
        <f t="shared" si="65"/>
        <v>704822</v>
      </c>
      <c r="AR351" s="257">
        <f t="shared" si="66"/>
        <v>60</v>
      </c>
      <c r="AS351" s="258">
        <f t="shared" si="67"/>
        <v>709683</v>
      </c>
      <c r="AT351" s="259"/>
      <c r="AU351" s="253"/>
      <c r="AV351" s="267"/>
      <c r="AW351" s="268"/>
      <c r="AX351" s="252"/>
      <c r="AY351" s="253"/>
      <c r="AZ351" s="267"/>
      <c r="BA351" s="268"/>
      <c r="BB351" s="252"/>
      <c r="BC351" s="253"/>
      <c r="BD351" s="267"/>
      <c r="BE351" s="268"/>
      <c r="BF351" s="252"/>
      <c r="BG351" s="253"/>
      <c r="BH351" s="267"/>
      <c r="BI351" s="268"/>
      <c r="BJ351" s="252"/>
      <c r="BK351" s="253"/>
      <c r="BL351" s="267"/>
      <c r="BM351" s="268"/>
      <c r="BN351" s="252"/>
      <c r="BO351" s="253"/>
      <c r="BP351" s="267"/>
      <c r="BQ351" s="268"/>
      <c r="BR351" s="252"/>
      <c r="BS351" s="253"/>
      <c r="BT351" s="267"/>
      <c r="BU351" s="268"/>
      <c r="BV351" s="252"/>
      <c r="BW351" s="253"/>
      <c r="BX351" s="267"/>
      <c r="BY351" s="268"/>
      <c r="BZ351" s="252"/>
      <c r="CA351" s="253"/>
      <c r="CB351" s="267"/>
      <c r="CC351" s="268"/>
      <c r="CD351" s="255">
        <f t="shared" si="68"/>
        <v>0</v>
      </c>
      <c r="CE351" s="256">
        <f t="shared" si="69"/>
        <v>0</v>
      </c>
      <c r="CF351" s="257">
        <f t="shared" si="70"/>
        <v>0</v>
      </c>
      <c r="CG351" s="261">
        <f t="shared" si="71"/>
        <v>0</v>
      </c>
    </row>
    <row r="352" spans="1:85" s="263" customFormat="1" ht="12.75" customHeight="1">
      <c r="A352" s="422" t="s">
        <v>683</v>
      </c>
      <c r="B352" s="423" t="s">
        <v>556</v>
      </c>
      <c r="C352" s="423"/>
      <c r="D352" s="424">
        <v>198640</v>
      </c>
      <c r="E352" s="425">
        <v>10</v>
      </c>
      <c r="F352" s="252">
        <v>66</v>
      </c>
      <c r="G352" s="253">
        <v>200883</v>
      </c>
      <c r="H352" s="267">
        <v>64</v>
      </c>
      <c r="I352" s="268">
        <v>181541</v>
      </c>
      <c r="J352" s="252">
        <v>66</v>
      </c>
      <c r="K352" s="253">
        <v>278231</v>
      </c>
      <c r="L352" s="267">
        <v>64</v>
      </c>
      <c r="M352" s="268">
        <v>26291</v>
      </c>
      <c r="N352" s="252"/>
      <c r="O352" s="253"/>
      <c r="P352" s="267"/>
      <c r="Q352" s="268"/>
      <c r="R352" s="252">
        <v>66</v>
      </c>
      <c r="S352" s="253">
        <v>210008</v>
      </c>
      <c r="T352" s="267">
        <v>64</v>
      </c>
      <c r="U352" s="268">
        <v>223023</v>
      </c>
      <c r="V352" s="252"/>
      <c r="W352" s="253"/>
      <c r="X352" s="267"/>
      <c r="Y352" s="268"/>
      <c r="Z352" s="252"/>
      <c r="AA352" s="253"/>
      <c r="AB352" s="267"/>
      <c r="AC352" s="268"/>
      <c r="AD352" s="252"/>
      <c r="AE352" s="253"/>
      <c r="AF352" s="267"/>
      <c r="AG352" s="268"/>
      <c r="AH352" s="252"/>
      <c r="AI352" s="253"/>
      <c r="AJ352" s="267"/>
      <c r="AK352" s="268"/>
      <c r="AL352" s="252"/>
      <c r="AM352" s="253"/>
      <c r="AN352" s="267"/>
      <c r="AO352" s="268"/>
      <c r="AP352" s="255">
        <f t="shared" si="64"/>
        <v>66</v>
      </c>
      <c r="AQ352" s="256">
        <f t="shared" si="65"/>
        <v>689122</v>
      </c>
      <c r="AR352" s="257">
        <f t="shared" si="66"/>
        <v>64</v>
      </c>
      <c r="AS352" s="258">
        <f t="shared" si="67"/>
        <v>430855</v>
      </c>
      <c r="AT352" s="259"/>
      <c r="AU352" s="253"/>
      <c r="AV352" s="267"/>
      <c r="AW352" s="268"/>
      <c r="AX352" s="252"/>
      <c r="AY352" s="253"/>
      <c r="AZ352" s="267"/>
      <c r="BA352" s="268"/>
      <c r="BB352" s="252"/>
      <c r="BC352" s="253"/>
      <c r="BD352" s="267"/>
      <c r="BE352" s="268"/>
      <c r="BF352" s="252"/>
      <c r="BG352" s="253"/>
      <c r="BH352" s="267"/>
      <c r="BI352" s="268"/>
      <c r="BJ352" s="252"/>
      <c r="BK352" s="253"/>
      <c r="BL352" s="267"/>
      <c r="BM352" s="268"/>
      <c r="BN352" s="252"/>
      <c r="BO352" s="253"/>
      <c r="BP352" s="267"/>
      <c r="BQ352" s="268"/>
      <c r="BR352" s="252"/>
      <c r="BS352" s="253"/>
      <c r="BT352" s="267"/>
      <c r="BU352" s="268"/>
      <c r="BV352" s="252"/>
      <c r="BW352" s="253"/>
      <c r="BX352" s="267"/>
      <c r="BY352" s="268"/>
      <c r="BZ352" s="252"/>
      <c r="CA352" s="253"/>
      <c r="CB352" s="267"/>
      <c r="CC352" s="268"/>
      <c r="CD352" s="255">
        <f t="shared" si="68"/>
        <v>0</v>
      </c>
      <c r="CE352" s="256">
        <f t="shared" si="69"/>
        <v>0</v>
      </c>
      <c r="CF352" s="257">
        <f t="shared" si="70"/>
        <v>0</v>
      </c>
      <c r="CG352" s="261">
        <f t="shared" si="71"/>
        <v>0</v>
      </c>
    </row>
    <row r="353" spans="1:85" s="263" customFormat="1" ht="12.75" customHeight="1">
      <c r="A353" s="422" t="s">
        <v>683</v>
      </c>
      <c r="B353" s="423" t="s">
        <v>557</v>
      </c>
      <c r="C353" s="423"/>
      <c r="D353" s="424">
        <v>198729</v>
      </c>
      <c r="E353" s="425">
        <v>10</v>
      </c>
      <c r="F353" s="252">
        <v>58</v>
      </c>
      <c r="G353" s="253">
        <v>217502</v>
      </c>
      <c r="H353" s="267">
        <v>58</v>
      </c>
      <c r="I353" s="268">
        <v>253859</v>
      </c>
      <c r="J353" s="252">
        <v>58</v>
      </c>
      <c r="K353" s="253">
        <v>262545</v>
      </c>
      <c r="L353" s="267">
        <v>58</v>
      </c>
      <c r="M353" s="268">
        <v>285917</v>
      </c>
      <c r="N353" s="252"/>
      <c r="O353" s="253"/>
      <c r="P353" s="267"/>
      <c r="Q353" s="268"/>
      <c r="R353" s="252">
        <v>58</v>
      </c>
      <c r="S353" s="253">
        <v>190159</v>
      </c>
      <c r="T353" s="267">
        <v>58</v>
      </c>
      <c r="U353" s="268">
        <v>184778</v>
      </c>
      <c r="V353" s="252"/>
      <c r="W353" s="253"/>
      <c r="X353" s="267"/>
      <c r="Y353" s="268"/>
      <c r="Z353" s="252"/>
      <c r="AA353" s="253"/>
      <c r="AB353" s="267"/>
      <c r="AC353" s="268"/>
      <c r="AD353" s="252"/>
      <c r="AE353" s="253"/>
      <c r="AF353" s="267"/>
      <c r="AG353" s="268"/>
      <c r="AH353" s="252"/>
      <c r="AI353" s="253"/>
      <c r="AJ353" s="267"/>
      <c r="AK353" s="268"/>
      <c r="AL353" s="252"/>
      <c r="AM353" s="253"/>
      <c r="AN353" s="267"/>
      <c r="AO353" s="268"/>
      <c r="AP353" s="255">
        <f t="shared" si="64"/>
        <v>58</v>
      </c>
      <c r="AQ353" s="256">
        <f t="shared" si="65"/>
        <v>670206</v>
      </c>
      <c r="AR353" s="257">
        <f t="shared" si="66"/>
        <v>58</v>
      </c>
      <c r="AS353" s="258">
        <f t="shared" si="67"/>
        <v>724554</v>
      </c>
      <c r="AT353" s="259"/>
      <c r="AU353" s="253"/>
      <c r="AV353" s="267"/>
      <c r="AW353" s="268"/>
      <c r="AX353" s="252"/>
      <c r="AY353" s="253"/>
      <c r="AZ353" s="267"/>
      <c r="BA353" s="268"/>
      <c r="BB353" s="252"/>
      <c r="BC353" s="253"/>
      <c r="BD353" s="267"/>
      <c r="BE353" s="268"/>
      <c r="BF353" s="252"/>
      <c r="BG353" s="253"/>
      <c r="BH353" s="267"/>
      <c r="BI353" s="268"/>
      <c r="BJ353" s="252"/>
      <c r="BK353" s="253"/>
      <c r="BL353" s="267"/>
      <c r="BM353" s="268"/>
      <c r="BN353" s="252"/>
      <c r="BO353" s="253"/>
      <c r="BP353" s="267"/>
      <c r="BQ353" s="268"/>
      <c r="BR353" s="252"/>
      <c r="BS353" s="253"/>
      <c r="BT353" s="267"/>
      <c r="BU353" s="268"/>
      <c r="BV353" s="252"/>
      <c r="BW353" s="253"/>
      <c r="BX353" s="267"/>
      <c r="BY353" s="268"/>
      <c r="BZ353" s="252"/>
      <c r="CA353" s="253"/>
      <c r="CB353" s="267"/>
      <c r="CC353" s="268"/>
      <c r="CD353" s="255">
        <f t="shared" si="68"/>
        <v>0</v>
      </c>
      <c r="CE353" s="256">
        <f t="shared" si="69"/>
        <v>0</v>
      </c>
      <c r="CF353" s="257">
        <f t="shared" si="70"/>
        <v>0</v>
      </c>
      <c r="CG353" s="261">
        <f t="shared" si="71"/>
        <v>0</v>
      </c>
    </row>
    <row r="354" spans="1:85" s="263" customFormat="1" ht="12.75" customHeight="1">
      <c r="A354" s="422" t="s">
        <v>683</v>
      </c>
      <c r="B354" s="423" t="s">
        <v>558</v>
      </c>
      <c r="C354" s="423"/>
      <c r="D354" s="424">
        <v>198905</v>
      </c>
      <c r="E354" s="425">
        <v>10</v>
      </c>
      <c r="F354" s="252">
        <v>27</v>
      </c>
      <c r="G354" s="253">
        <v>98581</v>
      </c>
      <c r="H354" s="267">
        <v>23</v>
      </c>
      <c r="I354" s="268">
        <v>103617</v>
      </c>
      <c r="J354" s="252">
        <v>27</v>
      </c>
      <c r="K354" s="253">
        <v>122219</v>
      </c>
      <c r="L354" s="267">
        <v>23</v>
      </c>
      <c r="M354" s="268">
        <v>113381</v>
      </c>
      <c r="N354" s="252"/>
      <c r="O354" s="253"/>
      <c r="P354" s="267"/>
      <c r="Q354" s="268"/>
      <c r="R354" s="252">
        <v>27</v>
      </c>
      <c r="S354" s="253">
        <v>86188</v>
      </c>
      <c r="T354" s="267">
        <v>23</v>
      </c>
      <c r="U354" s="268">
        <v>75420</v>
      </c>
      <c r="V354" s="252"/>
      <c r="W354" s="253"/>
      <c r="X354" s="267"/>
      <c r="Y354" s="268"/>
      <c r="Z354" s="252"/>
      <c r="AA354" s="253"/>
      <c r="AB354" s="267"/>
      <c r="AC354" s="268"/>
      <c r="AD354" s="252"/>
      <c r="AE354" s="253"/>
      <c r="AF354" s="267"/>
      <c r="AG354" s="268"/>
      <c r="AH354" s="252"/>
      <c r="AI354" s="253"/>
      <c r="AJ354" s="267"/>
      <c r="AK354" s="268"/>
      <c r="AL354" s="252"/>
      <c r="AM354" s="253"/>
      <c r="AN354" s="267"/>
      <c r="AO354" s="268"/>
      <c r="AP354" s="255">
        <f t="shared" si="64"/>
        <v>27</v>
      </c>
      <c r="AQ354" s="256">
        <f t="shared" si="65"/>
        <v>306988</v>
      </c>
      <c r="AR354" s="257">
        <f t="shared" si="66"/>
        <v>23</v>
      </c>
      <c r="AS354" s="258">
        <f t="shared" si="67"/>
        <v>292418</v>
      </c>
      <c r="AT354" s="259"/>
      <c r="AU354" s="253"/>
      <c r="AV354" s="267"/>
      <c r="AW354" s="268"/>
      <c r="AX354" s="252"/>
      <c r="AY354" s="253"/>
      <c r="AZ354" s="267"/>
      <c r="BA354" s="268"/>
      <c r="BB354" s="252"/>
      <c r="BC354" s="253"/>
      <c r="BD354" s="267"/>
      <c r="BE354" s="268"/>
      <c r="BF354" s="252"/>
      <c r="BG354" s="253"/>
      <c r="BH354" s="267"/>
      <c r="BI354" s="268"/>
      <c r="BJ354" s="252"/>
      <c r="BK354" s="253"/>
      <c r="BL354" s="267"/>
      <c r="BM354" s="268"/>
      <c r="BN354" s="252"/>
      <c r="BO354" s="253"/>
      <c r="BP354" s="267"/>
      <c r="BQ354" s="268"/>
      <c r="BR354" s="252"/>
      <c r="BS354" s="253"/>
      <c r="BT354" s="267"/>
      <c r="BU354" s="268"/>
      <c r="BV354" s="252"/>
      <c r="BW354" s="253"/>
      <c r="BX354" s="267"/>
      <c r="BY354" s="268"/>
      <c r="BZ354" s="252"/>
      <c r="CA354" s="253"/>
      <c r="CB354" s="267"/>
      <c r="CC354" s="268"/>
      <c r="CD354" s="255">
        <f t="shared" si="68"/>
        <v>0</v>
      </c>
      <c r="CE354" s="256">
        <f t="shared" si="69"/>
        <v>0</v>
      </c>
      <c r="CF354" s="257">
        <f t="shared" si="70"/>
        <v>0</v>
      </c>
      <c r="CG354" s="261">
        <f t="shared" si="71"/>
        <v>0</v>
      </c>
    </row>
    <row r="355" spans="1:85" s="263" customFormat="1" ht="12.75" customHeight="1">
      <c r="A355" s="422" t="s">
        <v>683</v>
      </c>
      <c r="B355" s="423" t="s">
        <v>560</v>
      </c>
      <c r="C355" s="423"/>
      <c r="D355" s="424">
        <v>198923</v>
      </c>
      <c r="E355" s="425">
        <v>10</v>
      </c>
      <c r="F355" s="252">
        <v>49</v>
      </c>
      <c r="G355" s="253">
        <v>195982</v>
      </c>
      <c r="H355" s="267">
        <v>49</v>
      </c>
      <c r="I355" s="268">
        <v>185262</v>
      </c>
      <c r="J355" s="252">
        <v>49</v>
      </c>
      <c r="K355" s="253">
        <v>221821</v>
      </c>
      <c r="L355" s="267">
        <v>49</v>
      </c>
      <c r="M355" s="268">
        <v>241550</v>
      </c>
      <c r="N355" s="252"/>
      <c r="O355" s="253"/>
      <c r="P355" s="267"/>
      <c r="Q355" s="268"/>
      <c r="R355" s="252">
        <v>49</v>
      </c>
      <c r="S355" s="253">
        <v>171345</v>
      </c>
      <c r="T355" s="267">
        <v>49</v>
      </c>
      <c r="U355" s="268">
        <v>164301</v>
      </c>
      <c r="V355" s="252"/>
      <c r="W355" s="253"/>
      <c r="X355" s="267"/>
      <c r="Y355" s="268"/>
      <c r="Z355" s="252"/>
      <c r="AA355" s="253"/>
      <c r="AB355" s="267"/>
      <c r="AC355" s="268"/>
      <c r="AD355" s="252"/>
      <c r="AE355" s="253"/>
      <c r="AF355" s="267"/>
      <c r="AG355" s="268"/>
      <c r="AH355" s="252"/>
      <c r="AI355" s="253"/>
      <c r="AJ355" s="267"/>
      <c r="AK355" s="268"/>
      <c r="AL355" s="252"/>
      <c r="AM355" s="253"/>
      <c r="AN355" s="267"/>
      <c r="AO355" s="268"/>
      <c r="AP355" s="255">
        <f t="shared" si="64"/>
        <v>49</v>
      </c>
      <c r="AQ355" s="256">
        <f t="shared" si="65"/>
        <v>589148</v>
      </c>
      <c r="AR355" s="257">
        <f t="shared" si="66"/>
        <v>49</v>
      </c>
      <c r="AS355" s="258">
        <f t="shared" si="67"/>
        <v>591113</v>
      </c>
      <c r="AT355" s="259"/>
      <c r="AU355" s="253"/>
      <c r="AV355" s="267"/>
      <c r="AW355" s="268"/>
      <c r="AX355" s="252"/>
      <c r="AY355" s="253"/>
      <c r="AZ355" s="267"/>
      <c r="BA355" s="268"/>
      <c r="BB355" s="252"/>
      <c r="BC355" s="253"/>
      <c r="BD355" s="267"/>
      <c r="BE355" s="268"/>
      <c r="BF355" s="252"/>
      <c r="BG355" s="253"/>
      <c r="BH355" s="267"/>
      <c r="BI355" s="268"/>
      <c r="BJ355" s="252"/>
      <c r="BK355" s="253"/>
      <c r="BL355" s="267"/>
      <c r="BM355" s="268"/>
      <c r="BN355" s="252"/>
      <c r="BO355" s="253"/>
      <c r="BP355" s="267"/>
      <c r="BQ355" s="268"/>
      <c r="BR355" s="252"/>
      <c r="BS355" s="253"/>
      <c r="BT355" s="267"/>
      <c r="BU355" s="268"/>
      <c r="BV355" s="252"/>
      <c r="BW355" s="253"/>
      <c r="BX355" s="267"/>
      <c r="BY355" s="268"/>
      <c r="BZ355" s="252"/>
      <c r="CA355" s="253"/>
      <c r="CB355" s="267"/>
      <c r="CC355" s="268"/>
      <c r="CD355" s="255">
        <f t="shared" si="68"/>
        <v>0</v>
      </c>
      <c r="CE355" s="256">
        <f t="shared" si="69"/>
        <v>0</v>
      </c>
      <c r="CF355" s="257">
        <f t="shared" si="70"/>
        <v>0</v>
      </c>
      <c r="CG355" s="261">
        <f t="shared" si="71"/>
        <v>0</v>
      </c>
    </row>
    <row r="356" spans="1:85" s="263" customFormat="1" ht="12.75" customHeight="1">
      <c r="A356" s="422" t="s">
        <v>683</v>
      </c>
      <c r="B356" s="423" t="s">
        <v>561</v>
      </c>
      <c r="C356" s="423"/>
      <c r="D356" s="424">
        <v>199023</v>
      </c>
      <c r="E356" s="425">
        <v>10</v>
      </c>
      <c r="F356" s="252">
        <v>40</v>
      </c>
      <c r="G356" s="253">
        <v>147386</v>
      </c>
      <c r="H356" s="267">
        <v>41</v>
      </c>
      <c r="I356" s="268">
        <v>182588</v>
      </c>
      <c r="J356" s="252">
        <v>40</v>
      </c>
      <c r="K356" s="253">
        <v>135799</v>
      </c>
      <c r="L356" s="267">
        <v>41</v>
      </c>
      <c r="M356" s="268">
        <v>151585</v>
      </c>
      <c r="N356" s="252"/>
      <c r="O356" s="253"/>
      <c r="P356" s="267"/>
      <c r="Q356" s="268"/>
      <c r="R356" s="252">
        <v>40</v>
      </c>
      <c r="S356" s="253">
        <v>128858</v>
      </c>
      <c r="T356" s="267">
        <v>41</v>
      </c>
      <c r="U356" s="268">
        <v>132902</v>
      </c>
      <c r="V356" s="252"/>
      <c r="W356" s="253"/>
      <c r="X356" s="267"/>
      <c r="Y356" s="268"/>
      <c r="Z356" s="252"/>
      <c r="AA356" s="253"/>
      <c r="AB356" s="267"/>
      <c r="AC356" s="268"/>
      <c r="AD356" s="252"/>
      <c r="AE356" s="253"/>
      <c r="AF356" s="267"/>
      <c r="AG356" s="268"/>
      <c r="AH356" s="252"/>
      <c r="AI356" s="253"/>
      <c r="AJ356" s="267"/>
      <c r="AK356" s="268"/>
      <c r="AL356" s="252"/>
      <c r="AM356" s="253"/>
      <c r="AN356" s="267"/>
      <c r="AO356" s="268"/>
      <c r="AP356" s="255">
        <f t="shared" si="64"/>
        <v>40</v>
      </c>
      <c r="AQ356" s="256">
        <f t="shared" si="65"/>
        <v>412043</v>
      </c>
      <c r="AR356" s="257">
        <f t="shared" si="66"/>
        <v>41</v>
      </c>
      <c r="AS356" s="258">
        <f t="shared" si="67"/>
        <v>467075</v>
      </c>
      <c r="AT356" s="259"/>
      <c r="AU356" s="253"/>
      <c r="AV356" s="267"/>
      <c r="AW356" s="268"/>
      <c r="AX356" s="252"/>
      <c r="AY356" s="253"/>
      <c r="AZ356" s="267"/>
      <c r="BA356" s="268"/>
      <c r="BB356" s="252"/>
      <c r="BC356" s="253"/>
      <c r="BD356" s="267"/>
      <c r="BE356" s="268"/>
      <c r="BF356" s="252"/>
      <c r="BG356" s="253"/>
      <c r="BH356" s="267"/>
      <c r="BI356" s="268"/>
      <c r="BJ356" s="252"/>
      <c r="BK356" s="253"/>
      <c r="BL356" s="267"/>
      <c r="BM356" s="268"/>
      <c r="BN356" s="252"/>
      <c r="BO356" s="253"/>
      <c r="BP356" s="267"/>
      <c r="BQ356" s="268"/>
      <c r="BR356" s="252"/>
      <c r="BS356" s="253"/>
      <c r="BT356" s="267"/>
      <c r="BU356" s="268"/>
      <c r="BV356" s="252"/>
      <c r="BW356" s="253"/>
      <c r="BX356" s="267"/>
      <c r="BY356" s="268"/>
      <c r="BZ356" s="252"/>
      <c r="CA356" s="253"/>
      <c r="CB356" s="267"/>
      <c r="CC356" s="268"/>
      <c r="CD356" s="255">
        <f t="shared" si="68"/>
        <v>0</v>
      </c>
      <c r="CE356" s="256">
        <f t="shared" si="69"/>
        <v>0</v>
      </c>
      <c r="CF356" s="257">
        <f t="shared" si="70"/>
        <v>0</v>
      </c>
      <c r="CG356" s="261">
        <f t="shared" si="71"/>
        <v>0</v>
      </c>
    </row>
    <row r="357" spans="1:85" s="263" customFormat="1" ht="12.75" customHeight="1">
      <c r="A357" s="422" t="s">
        <v>683</v>
      </c>
      <c r="B357" s="423" t="s">
        <v>562</v>
      </c>
      <c r="C357" s="423"/>
      <c r="D357" s="424">
        <v>199263</v>
      </c>
      <c r="E357" s="425">
        <v>10</v>
      </c>
      <c r="F357" s="252">
        <v>28</v>
      </c>
      <c r="G357" s="253">
        <v>92195</v>
      </c>
      <c r="H357" s="267">
        <v>27</v>
      </c>
      <c r="I357" s="268">
        <v>125090</v>
      </c>
      <c r="J357" s="252">
        <v>28</v>
      </c>
      <c r="K357" s="253">
        <v>107559</v>
      </c>
      <c r="L357" s="267">
        <v>27</v>
      </c>
      <c r="M357" s="268">
        <v>126016</v>
      </c>
      <c r="N357" s="252"/>
      <c r="O357" s="253"/>
      <c r="P357" s="267"/>
      <c r="Q357" s="268"/>
      <c r="R357" s="252">
        <v>28</v>
      </c>
      <c r="S357" s="253">
        <v>93188</v>
      </c>
      <c r="T357" s="267">
        <v>28</v>
      </c>
      <c r="U357" s="268">
        <v>95703</v>
      </c>
      <c r="V357" s="252"/>
      <c r="W357" s="253"/>
      <c r="X357" s="267"/>
      <c r="Y357" s="268"/>
      <c r="Z357" s="252"/>
      <c r="AA357" s="253"/>
      <c r="AB357" s="267"/>
      <c r="AC357" s="268"/>
      <c r="AD357" s="252"/>
      <c r="AE357" s="253"/>
      <c r="AF357" s="267"/>
      <c r="AG357" s="268"/>
      <c r="AH357" s="252"/>
      <c r="AI357" s="253"/>
      <c r="AJ357" s="267"/>
      <c r="AK357" s="268"/>
      <c r="AL357" s="252"/>
      <c r="AM357" s="253"/>
      <c r="AN357" s="267"/>
      <c r="AO357" s="268"/>
      <c r="AP357" s="255">
        <f t="shared" si="64"/>
        <v>28</v>
      </c>
      <c r="AQ357" s="256">
        <f t="shared" si="65"/>
        <v>292942</v>
      </c>
      <c r="AR357" s="257">
        <f t="shared" si="66"/>
        <v>28</v>
      </c>
      <c r="AS357" s="258">
        <f t="shared" si="67"/>
        <v>346809</v>
      </c>
      <c r="AT357" s="259"/>
      <c r="AU357" s="253"/>
      <c r="AV357" s="267"/>
      <c r="AW357" s="268"/>
      <c r="AX357" s="252"/>
      <c r="AY357" s="253"/>
      <c r="AZ357" s="267"/>
      <c r="BA357" s="268"/>
      <c r="BB357" s="252"/>
      <c r="BC357" s="253"/>
      <c r="BD357" s="267"/>
      <c r="BE357" s="268"/>
      <c r="BF357" s="252"/>
      <c r="BG357" s="253"/>
      <c r="BH357" s="267"/>
      <c r="BI357" s="268"/>
      <c r="BJ357" s="252"/>
      <c r="BK357" s="253"/>
      <c r="BL357" s="267"/>
      <c r="BM357" s="268"/>
      <c r="BN357" s="252"/>
      <c r="BO357" s="253"/>
      <c r="BP357" s="267"/>
      <c r="BQ357" s="268"/>
      <c r="BR357" s="252"/>
      <c r="BS357" s="253"/>
      <c r="BT357" s="267"/>
      <c r="BU357" s="268"/>
      <c r="BV357" s="252"/>
      <c r="BW357" s="253"/>
      <c r="BX357" s="267"/>
      <c r="BY357" s="268"/>
      <c r="BZ357" s="252"/>
      <c r="CA357" s="253"/>
      <c r="CB357" s="267"/>
      <c r="CC357" s="268"/>
      <c r="CD357" s="255">
        <f t="shared" si="68"/>
        <v>0</v>
      </c>
      <c r="CE357" s="256">
        <f t="shared" si="69"/>
        <v>0</v>
      </c>
      <c r="CF357" s="257">
        <f t="shared" si="70"/>
        <v>0</v>
      </c>
      <c r="CG357" s="261">
        <f t="shared" si="71"/>
        <v>0</v>
      </c>
    </row>
    <row r="358" spans="1:85" s="263" customFormat="1" ht="12.75" customHeight="1">
      <c r="A358" s="422" t="s">
        <v>683</v>
      </c>
      <c r="B358" s="423" t="s">
        <v>563</v>
      </c>
      <c r="C358" s="423"/>
      <c r="D358" s="424">
        <v>199467</v>
      </c>
      <c r="E358" s="425">
        <v>10</v>
      </c>
      <c r="F358" s="252">
        <v>41</v>
      </c>
      <c r="G358" s="253">
        <v>175310</v>
      </c>
      <c r="H358" s="267">
        <v>36</v>
      </c>
      <c r="I358" s="268">
        <v>189190</v>
      </c>
      <c r="J358" s="252">
        <v>41</v>
      </c>
      <c r="K358" s="253">
        <v>185592</v>
      </c>
      <c r="L358" s="267">
        <v>35</v>
      </c>
      <c r="M358" s="268">
        <v>172536</v>
      </c>
      <c r="N358" s="252"/>
      <c r="O358" s="253"/>
      <c r="P358" s="267"/>
      <c r="Q358" s="268"/>
      <c r="R358" s="252">
        <v>41</v>
      </c>
      <c r="S358" s="253">
        <v>153271</v>
      </c>
      <c r="T358" s="267">
        <v>36</v>
      </c>
      <c r="U358" s="268">
        <v>137707</v>
      </c>
      <c r="V358" s="252"/>
      <c r="W358" s="253"/>
      <c r="X358" s="267"/>
      <c r="Y358" s="268"/>
      <c r="Z358" s="252"/>
      <c r="AA358" s="253"/>
      <c r="AB358" s="267"/>
      <c r="AC358" s="268"/>
      <c r="AD358" s="252"/>
      <c r="AE358" s="253"/>
      <c r="AF358" s="267"/>
      <c r="AG358" s="268"/>
      <c r="AH358" s="252"/>
      <c r="AI358" s="253"/>
      <c r="AJ358" s="267"/>
      <c r="AK358" s="268"/>
      <c r="AL358" s="252"/>
      <c r="AM358" s="253"/>
      <c r="AN358" s="267"/>
      <c r="AO358" s="268"/>
      <c r="AP358" s="255">
        <f t="shared" si="64"/>
        <v>41</v>
      </c>
      <c r="AQ358" s="256">
        <f t="shared" si="65"/>
        <v>514173</v>
      </c>
      <c r="AR358" s="257">
        <f t="shared" si="66"/>
        <v>36</v>
      </c>
      <c r="AS358" s="258">
        <f t="shared" si="67"/>
        <v>499433</v>
      </c>
      <c r="AT358" s="259"/>
      <c r="AU358" s="253"/>
      <c r="AV358" s="267"/>
      <c r="AW358" s="268"/>
      <c r="AX358" s="252"/>
      <c r="AY358" s="253"/>
      <c r="AZ358" s="267"/>
      <c r="BA358" s="268"/>
      <c r="BB358" s="252"/>
      <c r="BC358" s="253"/>
      <c r="BD358" s="267"/>
      <c r="BE358" s="268"/>
      <c r="BF358" s="252"/>
      <c r="BG358" s="253"/>
      <c r="BH358" s="267"/>
      <c r="BI358" s="268"/>
      <c r="BJ358" s="252"/>
      <c r="BK358" s="253"/>
      <c r="BL358" s="267"/>
      <c r="BM358" s="268"/>
      <c r="BN358" s="252"/>
      <c r="BO358" s="253"/>
      <c r="BP358" s="267"/>
      <c r="BQ358" s="268"/>
      <c r="BR358" s="252"/>
      <c r="BS358" s="253"/>
      <c r="BT358" s="267"/>
      <c r="BU358" s="268"/>
      <c r="BV358" s="252"/>
      <c r="BW358" s="253"/>
      <c r="BX358" s="267"/>
      <c r="BY358" s="268"/>
      <c r="BZ358" s="252"/>
      <c r="CA358" s="253"/>
      <c r="CB358" s="267"/>
      <c r="CC358" s="268"/>
      <c r="CD358" s="255">
        <f t="shared" si="68"/>
        <v>0</v>
      </c>
      <c r="CE358" s="256">
        <f t="shared" si="69"/>
        <v>0</v>
      </c>
      <c r="CF358" s="257">
        <f t="shared" si="70"/>
        <v>0</v>
      </c>
      <c r="CG358" s="261">
        <f t="shared" si="71"/>
        <v>0</v>
      </c>
    </row>
    <row r="359" spans="1:85" s="263" customFormat="1" ht="12.75" customHeight="1">
      <c r="A359" s="422" t="s">
        <v>683</v>
      </c>
      <c r="B359" s="423" t="s">
        <v>564</v>
      </c>
      <c r="C359" s="423"/>
      <c r="D359" s="424">
        <v>199625</v>
      </c>
      <c r="E359" s="425">
        <v>10</v>
      </c>
      <c r="F359" s="252">
        <v>59</v>
      </c>
      <c r="G359" s="253">
        <v>228106</v>
      </c>
      <c r="H359" s="267">
        <v>65</v>
      </c>
      <c r="I359" s="268">
        <v>305516</v>
      </c>
      <c r="J359" s="252">
        <v>58</v>
      </c>
      <c r="K359" s="253">
        <v>196909</v>
      </c>
      <c r="L359" s="267">
        <v>64</v>
      </c>
      <c r="M359" s="268">
        <v>236621</v>
      </c>
      <c r="N359" s="252"/>
      <c r="O359" s="253"/>
      <c r="P359" s="267"/>
      <c r="Q359" s="268"/>
      <c r="R359" s="252">
        <v>59</v>
      </c>
      <c r="S359" s="253">
        <v>199430</v>
      </c>
      <c r="T359" s="267">
        <v>65</v>
      </c>
      <c r="U359" s="268">
        <v>222378</v>
      </c>
      <c r="V359" s="252"/>
      <c r="W359" s="253"/>
      <c r="X359" s="267"/>
      <c r="Y359" s="268"/>
      <c r="Z359" s="252"/>
      <c r="AA359" s="253"/>
      <c r="AB359" s="267"/>
      <c r="AC359" s="268"/>
      <c r="AD359" s="252"/>
      <c r="AE359" s="253"/>
      <c r="AF359" s="267"/>
      <c r="AG359" s="268"/>
      <c r="AH359" s="252"/>
      <c r="AI359" s="253"/>
      <c r="AJ359" s="267"/>
      <c r="AK359" s="268"/>
      <c r="AL359" s="252"/>
      <c r="AM359" s="253"/>
      <c r="AN359" s="267"/>
      <c r="AO359" s="268"/>
      <c r="AP359" s="255">
        <f t="shared" si="64"/>
        <v>59</v>
      </c>
      <c r="AQ359" s="256">
        <f t="shared" si="65"/>
        <v>624445</v>
      </c>
      <c r="AR359" s="257">
        <f t="shared" si="66"/>
        <v>65</v>
      </c>
      <c r="AS359" s="258">
        <f t="shared" si="67"/>
        <v>764515</v>
      </c>
      <c r="AT359" s="259"/>
      <c r="AU359" s="253"/>
      <c r="AV359" s="267"/>
      <c r="AW359" s="268"/>
      <c r="AX359" s="252"/>
      <c r="AY359" s="253"/>
      <c r="AZ359" s="267"/>
      <c r="BA359" s="268"/>
      <c r="BB359" s="252"/>
      <c r="BC359" s="253"/>
      <c r="BD359" s="267"/>
      <c r="BE359" s="268"/>
      <c r="BF359" s="252"/>
      <c r="BG359" s="253"/>
      <c r="BH359" s="267"/>
      <c r="BI359" s="268"/>
      <c r="BJ359" s="252"/>
      <c r="BK359" s="253"/>
      <c r="BL359" s="267"/>
      <c r="BM359" s="268"/>
      <c r="BN359" s="252"/>
      <c r="BO359" s="253"/>
      <c r="BP359" s="267"/>
      <c r="BQ359" s="268"/>
      <c r="BR359" s="252"/>
      <c r="BS359" s="253"/>
      <c r="BT359" s="267"/>
      <c r="BU359" s="268"/>
      <c r="BV359" s="252"/>
      <c r="BW359" s="253"/>
      <c r="BX359" s="267"/>
      <c r="BY359" s="268"/>
      <c r="BZ359" s="252"/>
      <c r="CA359" s="253"/>
      <c r="CB359" s="267"/>
      <c r="CC359" s="268"/>
      <c r="CD359" s="255">
        <f t="shared" si="68"/>
        <v>0</v>
      </c>
      <c r="CE359" s="256">
        <f t="shared" si="69"/>
        <v>0</v>
      </c>
      <c r="CF359" s="257">
        <f t="shared" si="70"/>
        <v>0</v>
      </c>
      <c r="CG359" s="261">
        <f t="shared" si="71"/>
        <v>0</v>
      </c>
    </row>
    <row r="360" spans="1:85" s="263" customFormat="1" ht="12.75" customHeight="1">
      <c r="A360" s="422" t="s">
        <v>683</v>
      </c>
      <c r="B360" s="423" t="s">
        <v>565</v>
      </c>
      <c r="C360" s="423"/>
      <c r="D360" s="424">
        <v>199795</v>
      </c>
      <c r="E360" s="425">
        <v>10</v>
      </c>
      <c r="F360" s="252">
        <v>29</v>
      </c>
      <c r="G360" s="253">
        <v>137683</v>
      </c>
      <c r="H360" s="267">
        <v>27</v>
      </c>
      <c r="I360" s="268">
        <v>132402</v>
      </c>
      <c r="J360" s="252">
        <v>35</v>
      </c>
      <c r="K360" s="253">
        <v>158432</v>
      </c>
      <c r="L360" s="267">
        <v>34</v>
      </c>
      <c r="M360" s="268">
        <v>167586</v>
      </c>
      <c r="N360" s="252"/>
      <c r="O360" s="253"/>
      <c r="P360" s="267"/>
      <c r="Q360" s="268"/>
      <c r="R360" s="252">
        <v>35</v>
      </c>
      <c r="S360" s="253">
        <v>120374</v>
      </c>
      <c r="T360" s="267">
        <v>34</v>
      </c>
      <c r="U360" s="268">
        <v>115757</v>
      </c>
      <c r="V360" s="252"/>
      <c r="W360" s="253"/>
      <c r="X360" s="267"/>
      <c r="Y360" s="268"/>
      <c r="Z360" s="252"/>
      <c r="AA360" s="253"/>
      <c r="AB360" s="267"/>
      <c r="AC360" s="268"/>
      <c r="AD360" s="252"/>
      <c r="AE360" s="253"/>
      <c r="AF360" s="267"/>
      <c r="AG360" s="268"/>
      <c r="AH360" s="252"/>
      <c r="AI360" s="253"/>
      <c r="AJ360" s="267"/>
      <c r="AK360" s="268"/>
      <c r="AL360" s="252"/>
      <c r="AM360" s="253"/>
      <c r="AN360" s="267"/>
      <c r="AO360" s="268"/>
      <c r="AP360" s="255">
        <f t="shared" si="64"/>
        <v>35</v>
      </c>
      <c r="AQ360" s="256">
        <f t="shared" si="65"/>
        <v>416489</v>
      </c>
      <c r="AR360" s="257">
        <f t="shared" si="66"/>
        <v>34</v>
      </c>
      <c r="AS360" s="258">
        <f t="shared" si="67"/>
        <v>415745</v>
      </c>
      <c r="AT360" s="259"/>
      <c r="AU360" s="253"/>
      <c r="AV360" s="267"/>
      <c r="AW360" s="268"/>
      <c r="AX360" s="252"/>
      <c r="AY360" s="253"/>
      <c r="AZ360" s="267"/>
      <c r="BA360" s="268"/>
      <c r="BB360" s="252"/>
      <c r="BC360" s="253"/>
      <c r="BD360" s="267"/>
      <c r="BE360" s="268"/>
      <c r="BF360" s="252"/>
      <c r="BG360" s="253"/>
      <c r="BH360" s="267"/>
      <c r="BI360" s="268"/>
      <c r="BJ360" s="252"/>
      <c r="BK360" s="253"/>
      <c r="BL360" s="267"/>
      <c r="BM360" s="268"/>
      <c r="BN360" s="252"/>
      <c r="BO360" s="253"/>
      <c r="BP360" s="267"/>
      <c r="BQ360" s="268"/>
      <c r="BR360" s="252"/>
      <c r="BS360" s="253"/>
      <c r="BT360" s="267"/>
      <c r="BU360" s="268"/>
      <c r="BV360" s="252"/>
      <c r="BW360" s="253"/>
      <c r="BX360" s="267"/>
      <c r="BY360" s="268"/>
      <c r="BZ360" s="252"/>
      <c r="CA360" s="253"/>
      <c r="CB360" s="267"/>
      <c r="CC360" s="268"/>
      <c r="CD360" s="255">
        <f t="shared" si="68"/>
        <v>0</v>
      </c>
      <c r="CE360" s="256">
        <f t="shared" si="69"/>
        <v>0</v>
      </c>
      <c r="CF360" s="257">
        <f t="shared" si="70"/>
        <v>0</v>
      </c>
      <c r="CG360" s="261">
        <f t="shared" si="71"/>
        <v>0</v>
      </c>
    </row>
    <row r="361" spans="1:85" s="263" customFormat="1" ht="12.75" customHeight="1">
      <c r="A361" s="248" t="s">
        <v>42</v>
      </c>
      <c r="B361" s="249" t="s">
        <v>237</v>
      </c>
      <c r="C361" s="249"/>
      <c r="D361" s="250">
        <v>207388</v>
      </c>
      <c r="E361" s="251">
        <v>1</v>
      </c>
      <c r="F361" s="252">
        <v>753</v>
      </c>
      <c r="G361" s="253">
        <v>9678309</v>
      </c>
      <c r="H361" s="267">
        <v>747</v>
      </c>
      <c r="I361" s="268">
        <v>9772254</v>
      </c>
      <c r="J361" s="252">
        <v>753</v>
      </c>
      <c r="K361" s="253">
        <v>3124950</v>
      </c>
      <c r="L361" s="267">
        <v>747</v>
      </c>
      <c r="M361" s="268">
        <v>3255426</v>
      </c>
      <c r="N361" s="252"/>
      <c r="O361" s="253"/>
      <c r="P361" s="267"/>
      <c r="Q361" s="268"/>
      <c r="R361" s="252">
        <v>753</v>
      </c>
      <c r="S361" s="253">
        <v>4169361</v>
      </c>
      <c r="T361" s="267">
        <v>747</v>
      </c>
      <c r="U361" s="268">
        <v>4138380</v>
      </c>
      <c r="V361" s="252">
        <v>753</v>
      </c>
      <c r="W361" s="253">
        <v>32379</v>
      </c>
      <c r="X361" s="267">
        <v>747</v>
      </c>
      <c r="Y361" s="268">
        <v>33615</v>
      </c>
      <c r="Z361" s="252">
        <v>753</v>
      </c>
      <c r="AA361" s="253">
        <v>359934</v>
      </c>
      <c r="AB361" s="267">
        <v>747</v>
      </c>
      <c r="AC361" s="268">
        <v>357066</v>
      </c>
      <c r="AD361" s="252">
        <v>753</v>
      </c>
      <c r="AE361" s="253">
        <v>276351</v>
      </c>
      <c r="AF361" s="267">
        <v>747</v>
      </c>
      <c r="AG361" s="268">
        <v>354078</v>
      </c>
      <c r="AH361" s="252"/>
      <c r="AI361" s="253"/>
      <c r="AJ361" s="267"/>
      <c r="AK361" s="268"/>
      <c r="AL361" s="252">
        <v>753</v>
      </c>
      <c r="AM361" s="253">
        <v>0</v>
      </c>
      <c r="AN361" s="267">
        <v>747</v>
      </c>
      <c r="AO361" s="268">
        <v>0</v>
      </c>
      <c r="AP361" s="255">
        <f t="shared" si="64"/>
        <v>753</v>
      </c>
      <c r="AQ361" s="256">
        <f t="shared" si="65"/>
        <v>17641284</v>
      </c>
      <c r="AR361" s="257">
        <f t="shared" si="66"/>
        <v>747</v>
      </c>
      <c r="AS361" s="258">
        <f t="shared" si="67"/>
        <v>17910819</v>
      </c>
      <c r="AT361" s="259">
        <v>175</v>
      </c>
      <c r="AU361" s="253">
        <v>2476950</v>
      </c>
      <c r="AV361" s="267">
        <v>183</v>
      </c>
      <c r="AW361" s="268">
        <f>13084*AV361</f>
        <v>2394372</v>
      </c>
      <c r="AX361" s="252">
        <v>175</v>
      </c>
      <c r="AY361" s="253">
        <v>677425</v>
      </c>
      <c r="AZ361" s="267">
        <v>183</v>
      </c>
      <c r="BA361" s="268">
        <f>4077*$AZ361</f>
        <v>746091</v>
      </c>
      <c r="BB361" s="252"/>
      <c r="BC361" s="253"/>
      <c r="BD361" s="267"/>
      <c r="BE361" s="268"/>
      <c r="BF361" s="252">
        <v>175</v>
      </c>
      <c r="BG361" s="253">
        <v>1025150</v>
      </c>
      <c r="BH361" s="267">
        <v>183</v>
      </c>
      <c r="BI361" s="268">
        <f>5607*BH361</f>
        <v>1026081</v>
      </c>
      <c r="BJ361" s="252">
        <v>175</v>
      </c>
      <c r="BK361" s="253">
        <v>7525</v>
      </c>
      <c r="BL361" s="267">
        <v>183</v>
      </c>
      <c r="BM361" s="268">
        <f>45*BL361</f>
        <v>8235</v>
      </c>
      <c r="BN361" s="252">
        <v>175</v>
      </c>
      <c r="BO361" s="253">
        <v>81900</v>
      </c>
      <c r="BP361" s="267">
        <v>183</v>
      </c>
      <c r="BQ361" s="268">
        <f>255*BP361</f>
        <v>46665</v>
      </c>
      <c r="BR361" s="252">
        <v>175</v>
      </c>
      <c r="BS361" s="253">
        <v>75425</v>
      </c>
      <c r="BT361" s="267">
        <v>183</v>
      </c>
      <c r="BU361" s="268">
        <f>542*BT361</f>
        <v>99186</v>
      </c>
      <c r="BV361" s="252"/>
      <c r="BW361" s="253"/>
      <c r="BX361" s="267"/>
      <c r="BY361" s="268"/>
      <c r="BZ361" s="252">
        <v>175</v>
      </c>
      <c r="CA361" s="253">
        <v>0</v>
      </c>
      <c r="CB361" s="267">
        <v>183</v>
      </c>
      <c r="CC361" s="268">
        <v>0</v>
      </c>
      <c r="CD361" s="255">
        <f t="shared" si="68"/>
        <v>175</v>
      </c>
      <c r="CE361" s="256">
        <f t="shared" si="69"/>
        <v>4344375</v>
      </c>
      <c r="CF361" s="257">
        <f t="shared" si="70"/>
        <v>183</v>
      </c>
      <c r="CG361" s="261">
        <f t="shared" si="71"/>
        <v>4320630</v>
      </c>
    </row>
    <row r="362" spans="1:85" s="263" customFormat="1" ht="12.75" customHeight="1">
      <c r="A362" s="248" t="s">
        <v>42</v>
      </c>
      <c r="B362" s="249" t="s">
        <v>238</v>
      </c>
      <c r="C362" s="249"/>
      <c r="D362" s="250">
        <v>207500</v>
      </c>
      <c r="E362" s="251">
        <v>1</v>
      </c>
      <c r="F362" s="252">
        <v>1000</v>
      </c>
      <c r="G362" s="253">
        <v>17145000</v>
      </c>
      <c r="H362" s="267">
        <v>982</v>
      </c>
      <c r="I362" s="268">
        <v>19015448</v>
      </c>
      <c r="J362" s="252">
        <v>1000</v>
      </c>
      <c r="K362" s="253">
        <v>5707000</v>
      </c>
      <c r="L362" s="267">
        <v>982</v>
      </c>
      <c r="M362" s="268">
        <v>5627842</v>
      </c>
      <c r="N362" s="252"/>
      <c r="O362" s="253"/>
      <c r="P362" s="267"/>
      <c r="Q362" s="268"/>
      <c r="R362" s="252">
        <v>1000</v>
      </c>
      <c r="S362" s="253">
        <v>5457000</v>
      </c>
      <c r="T362" s="267">
        <v>982</v>
      </c>
      <c r="U362" s="268">
        <v>5358774</v>
      </c>
      <c r="V362" s="252">
        <v>1000</v>
      </c>
      <c r="W362" s="253">
        <v>1000</v>
      </c>
      <c r="X362" s="267">
        <v>982</v>
      </c>
      <c r="Y362" s="268">
        <v>982</v>
      </c>
      <c r="Z362" s="252">
        <v>1000</v>
      </c>
      <c r="AA362" s="253">
        <v>155000</v>
      </c>
      <c r="AB362" s="267">
        <v>982</v>
      </c>
      <c r="AC362" s="268">
        <v>152210</v>
      </c>
      <c r="AD362" s="252">
        <v>1000</v>
      </c>
      <c r="AE362" s="253">
        <v>525000</v>
      </c>
      <c r="AF362" s="267">
        <v>982</v>
      </c>
      <c r="AG362" s="268">
        <v>662850</v>
      </c>
      <c r="AH362" s="252"/>
      <c r="AI362" s="253"/>
      <c r="AJ362" s="267"/>
      <c r="AK362" s="268"/>
      <c r="AL362" s="252">
        <v>1000</v>
      </c>
      <c r="AM362" s="253">
        <v>2000</v>
      </c>
      <c r="AN362" s="267">
        <v>982</v>
      </c>
      <c r="AO362" s="268">
        <v>1964</v>
      </c>
      <c r="AP362" s="255">
        <f t="shared" si="64"/>
        <v>1000</v>
      </c>
      <c r="AQ362" s="256">
        <f t="shared" si="65"/>
        <v>28992000</v>
      </c>
      <c r="AR362" s="257">
        <f t="shared" si="66"/>
        <v>982</v>
      </c>
      <c r="AS362" s="258">
        <f t="shared" si="67"/>
        <v>30820070</v>
      </c>
      <c r="AT362" s="259">
        <v>124</v>
      </c>
      <c r="AU362" s="253">
        <v>3966884</v>
      </c>
      <c r="AV362" s="267">
        <v>136</v>
      </c>
      <c r="AW362" s="268">
        <f>34721*AV362</f>
        <v>4722056</v>
      </c>
      <c r="AX362" s="252">
        <v>124</v>
      </c>
      <c r="AY362" s="253">
        <v>766196</v>
      </c>
      <c r="AZ362" s="267">
        <v>136</v>
      </c>
      <c r="BA362" s="268">
        <f>6175*AZ362</f>
        <v>839800</v>
      </c>
      <c r="BB362" s="252"/>
      <c r="BC362" s="253"/>
      <c r="BD362" s="267"/>
      <c r="BE362" s="268"/>
      <c r="BF362" s="252">
        <v>124</v>
      </c>
      <c r="BG362" s="253">
        <v>987040</v>
      </c>
      <c r="BH362" s="267">
        <v>136</v>
      </c>
      <c r="BI362" s="268">
        <f>7806*BH362</f>
        <v>1061616</v>
      </c>
      <c r="BJ362" s="252">
        <v>124</v>
      </c>
      <c r="BK362" s="253">
        <v>124</v>
      </c>
      <c r="BL362" s="267">
        <v>136</v>
      </c>
      <c r="BM362" s="268">
        <f>1*BL362</f>
        <v>136</v>
      </c>
      <c r="BN362" s="252">
        <v>124</v>
      </c>
      <c r="BO362" s="253">
        <v>32240</v>
      </c>
      <c r="BP362" s="267">
        <v>136</v>
      </c>
      <c r="BQ362" s="268">
        <f>456*BP362</f>
        <v>62016</v>
      </c>
      <c r="BR362" s="252">
        <v>124</v>
      </c>
      <c r="BS362" s="253">
        <v>108996</v>
      </c>
      <c r="BT362" s="267">
        <v>136</v>
      </c>
      <c r="BU362" s="268">
        <f>1111*BT362</f>
        <v>151096</v>
      </c>
      <c r="BV362" s="252"/>
      <c r="BW362" s="253"/>
      <c r="BX362" s="267"/>
      <c r="BY362" s="268"/>
      <c r="BZ362" s="252">
        <v>124</v>
      </c>
      <c r="CA362" s="253">
        <v>248</v>
      </c>
      <c r="CB362" s="267">
        <v>136</v>
      </c>
      <c r="CC362" s="268">
        <f>2*CB362</f>
        <v>272</v>
      </c>
      <c r="CD362" s="255">
        <f t="shared" si="68"/>
        <v>124</v>
      </c>
      <c r="CE362" s="256">
        <f t="shared" si="69"/>
        <v>5861728</v>
      </c>
      <c r="CF362" s="257">
        <f t="shared" si="70"/>
        <v>136</v>
      </c>
      <c r="CG362" s="261">
        <f t="shared" si="71"/>
        <v>6836992</v>
      </c>
    </row>
    <row r="363" spans="1:85" s="263" customFormat="1" ht="12.75" customHeight="1">
      <c r="A363" s="248" t="s">
        <v>42</v>
      </c>
      <c r="B363" s="427" t="s">
        <v>239</v>
      </c>
      <c r="C363" s="427"/>
      <c r="D363" s="428">
        <v>207263</v>
      </c>
      <c r="E363" s="429">
        <v>3</v>
      </c>
      <c r="F363" s="252">
        <v>288</v>
      </c>
      <c r="G363" s="253">
        <v>2267136</v>
      </c>
      <c r="H363" s="267">
        <v>296</v>
      </c>
      <c r="I363" s="268">
        <v>2414472</v>
      </c>
      <c r="J363" s="252">
        <v>288</v>
      </c>
      <c r="K363" s="253">
        <v>1540800</v>
      </c>
      <c r="L363" s="267">
        <v>296</v>
      </c>
      <c r="M363" s="268">
        <v>1741960</v>
      </c>
      <c r="N363" s="252"/>
      <c r="O363" s="253"/>
      <c r="P363" s="267"/>
      <c r="Q363" s="268"/>
      <c r="R363" s="252">
        <v>288</v>
      </c>
      <c r="S363" s="253">
        <v>1159488</v>
      </c>
      <c r="T363" s="267">
        <v>296</v>
      </c>
      <c r="U363" s="268">
        <v>1176600</v>
      </c>
      <c r="V363" s="252">
        <v>288</v>
      </c>
      <c r="W363" s="253">
        <v>40896</v>
      </c>
      <c r="X363" s="267">
        <v>296</v>
      </c>
      <c r="Y363" s="268">
        <v>44104</v>
      </c>
      <c r="Z363" s="252">
        <v>288</v>
      </c>
      <c r="AA363" s="253">
        <v>93888</v>
      </c>
      <c r="AB363" s="267">
        <v>296</v>
      </c>
      <c r="AC363" s="268">
        <v>95312</v>
      </c>
      <c r="AD363" s="252">
        <v>288</v>
      </c>
      <c r="AE363" s="253">
        <v>230400</v>
      </c>
      <c r="AF363" s="267">
        <v>296</v>
      </c>
      <c r="AG363" s="268">
        <v>236800</v>
      </c>
      <c r="AH363" s="252"/>
      <c r="AI363" s="253"/>
      <c r="AJ363" s="267"/>
      <c r="AK363" s="268"/>
      <c r="AL363" s="252">
        <v>288</v>
      </c>
      <c r="AM363" s="253">
        <v>56160</v>
      </c>
      <c r="AN363" s="267">
        <v>296</v>
      </c>
      <c r="AO363" s="268">
        <v>56832</v>
      </c>
      <c r="AP363" s="255">
        <f t="shared" si="64"/>
        <v>288</v>
      </c>
      <c r="AQ363" s="256">
        <f t="shared" si="65"/>
        <v>5388768</v>
      </c>
      <c r="AR363" s="257">
        <f t="shared" si="66"/>
        <v>296</v>
      </c>
      <c r="AS363" s="258">
        <f t="shared" si="67"/>
        <v>5766080</v>
      </c>
      <c r="AT363" s="259">
        <v>34</v>
      </c>
      <c r="AU363" s="253">
        <v>415412</v>
      </c>
      <c r="AV363" s="267">
        <v>37</v>
      </c>
      <c r="AW363" s="268">
        <f>12872*AV363</f>
        <v>476264</v>
      </c>
      <c r="AX363" s="252">
        <v>34</v>
      </c>
      <c r="AY363" s="253">
        <v>181900</v>
      </c>
      <c r="AZ363" s="267">
        <v>37</v>
      </c>
      <c r="BA363" s="268">
        <f>5885*AZ363</f>
        <v>217745</v>
      </c>
      <c r="BB363" s="252"/>
      <c r="BC363" s="253"/>
      <c r="BD363" s="267"/>
      <c r="BE363" s="268"/>
      <c r="BF363" s="252">
        <v>34</v>
      </c>
      <c r="BG363" s="253">
        <v>200736</v>
      </c>
      <c r="BH363" s="267">
        <v>37</v>
      </c>
      <c r="BI363" s="268">
        <f>5961*BH363</f>
        <v>220557</v>
      </c>
      <c r="BJ363" s="252">
        <v>34</v>
      </c>
      <c r="BK363" s="253">
        <v>4828</v>
      </c>
      <c r="BL363" s="267">
        <v>37</v>
      </c>
      <c r="BM363" s="268">
        <f>149*BL363</f>
        <v>5513</v>
      </c>
      <c r="BN363" s="252">
        <v>34</v>
      </c>
      <c r="BO363" s="253">
        <v>16490</v>
      </c>
      <c r="BP363" s="267">
        <v>37</v>
      </c>
      <c r="BQ363" s="268">
        <f>489*BP363</f>
        <v>18093</v>
      </c>
      <c r="BR363" s="252">
        <v>34</v>
      </c>
      <c r="BS363" s="253">
        <v>27200</v>
      </c>
      <c r="BT363" s="267">
        <v>37</v>
      </c>
      <c r="BU363" s="268">
        <f>800*BT363</f>
        <v>29600</v>
      </c>
      <c r="BV363" s="252"/>
      <c r="BW363" s="253"/>
      <c r="BX363" s="267"/>
      <c r="BY363" s="268"/>
      <c r="BZ363" s="252">
        <v>34</v>
      </c>
      <c r="CA363" s="253">
        <v>9860</v>
      </c>
      <c r="CB363" s="267">
        <v>37</v>
      </c>
      <c r="CC363" s="268">
        <f>292*CB363</f>
        <v>10804</v>
      </c>
      <c r="CD363" s="255">
        <f t="shared" si="68"/>
        <v>34</v>
      </c>
      <c r="CE363" s="256">
        <f t="shared" si="69"/>
        <v>856426</v>
      </c>
      <c r="CF363" s="257">
        <f t="shared" si="70"/>
        <v>37</v>
      </c>
      <c r="CG363" s="261">
        <f t="shared" si="71"/>
        <v>978576</v>
      </c>
    </row>
    <row r="364" spans="1:85" s="263" customFormat="1" ht="12.75" customHeight="1">
      <c r="A364" s="248" t="s">
        <v>42</v>
      </c>
      <c r="B364" s="249" t="s">
        <v>240</v>
      </c>
      <c r="C364" s="249"/>
      <c r="D364" s="250">
        <v>206941</v>
      </c>
      <c r="E364" s="251">
        <v>3</v>
      </c>
      <c r="F364" s="252">
        <v>445</v>
      </c>
      <c r="G364" s="253">
        <v>1782225</v>
      </c>
      <c r="H364" s="267">
        <v>448</v>
      </c>
      <c r="I364" s="268">
        <f>+H364*3768</f>
        <v>1688064</v>
      </c>
      <c r="J364" s="252">
        <v>445</v>
      </c>
      <c r="K364" s="253">
        <v>1970460</v>
      </c>
      <c r="L364" s="267">
        <v>448</v>
      </c>
      <c r="M364" s="268">
        <v>2109632</v>
      </c>
      <c r="N364" s="252"/>
      <c r="O364" s="253"/>
      <c r="P364" s="267"/>
      <c r="Q364" s="268"/>
      <c r="R364" s="252">
        <v>445</v>
      </c>
      <c r="S364" s="253">
        <v>2150240</v>
      </c>
      <c r="T364" s="267">
        <v>448</v>
      </c>
      <c r="U364" s="268">
        <v>2060800</v>
      </c>
      <c r="V364" s="252">
        <v>445</v>
      </c>
      <c r="W364" s="253">
        <v>0</v>
      </c>
      <c r="X364" s="267">
        <v>448</v>
      </c>
      <c r="Y364" s="268">
        <v>0</v>
      </c>
      <c r="Z364" s="252">
        <v>445</v>
      </c>
      <c r="AA364" s="253">
        <v>178000</v>
      </c>
      <c r="AB364" s="267">
        <v>448</v>
      </c>
      <c r="AC364" s="268">
        <v>179200</v>
      </c>
      <c r="AD364" s="252">
        <v>445</v>
      </c>
      <c r="AE364" s="253">
        <v>0</v>
      </c>
      <c r="AF364" s="267">
        <v>448</v>
      </c>
      <c r="AG364" s="268">
        <v>0</v>
      </c>
      <c r="AH364" s="252"/>
      <c r="AI364" s="253"/>
      <c r="AJ364" s="267"/>
      <c r="AK364" s="268"/>
      <c r="AL364" s="252">
        <v>445</v>
      </c>
      <c r="AM364" s="253">
        <v>0</v>
      </c>
      <c r="AN364" s="267">
        <v>448</v>
      </c>
      <c r="AO364" s="268">
        <v>99904</v>
      </c>
      <c r="AP364" s="255">
        <f t="shared" si="64"/>
        <v>445</v>
      </c>
      <c r="AQ364" s="256">
        <f t="shared" si="65"/>
        <v>6080925</v>
      </c>
      <c r="AR364" s="257">
        <f t="shared" si="66"/>
        <v>448</v>
      </c>
      <c r="AS364" s="258">
        <f t="shared" si="67"/>
        <v>6137600</v>
      </c>
      <c r="AT364" s="259">
        <v>0</v>
      </c>
      <c r="AU364" s="253"/>
      <c r="AV364" s="267">
        <v>0</v>
      </c>
      <c r="AW364" s="268"/>
      <c r="AX364" s="252">
        <v>0</v>
      </c>
      <c r="AY364" s="253"/>
      <c r="AZ364" s="267">
        <v>0</v>
      </c>
      <c r="BA364" s="268"/>
      <c r="BB364" s="252"/>
      <c r="BC364" s="253"/>
      <c r="BD364" s="267"/>
      <c r="BE364" s="268"/>
      <c r="BF364" s="252">
        <v>0</v>
      </c>
      <c r="BG364" s="253"/>
      <c r="BH364" s="267">
        <v>0</v>
      </c>
      <c r="BI364" s="268"/>
      <c r="BJ364" s="252">
        <v>0</v>
      </c>
      <c r="BK364" s="253"/>
      <c r="BL364" s="267">
        <v>0</v>
      </c>
      <c r="BM364" s="268"/>
      <c r="BN364" s="252">
        <v>0</v>
      </c>
      <c r="BO364" s="253"/>
      <c r="BP364" s="267">
        <v>0</v>
      </c>
      <c r="BQ364" s="268"/>
      <c r="BR364" s="252">
        <v>0</v>
      </c>
      <c r="BS364" s="253"/>
      <c r="BT364" s="267">
        <v>0</v>
      </c>
      <c r="BU364" s="268"/>
      <c r="BV364" s="252"/>
      <c r="BW364" s="253"/>
      <c r="BX364" s="267"/>
      <c r="BY364" s="268"/>
      <c r="BZ364" s="252">
        <v>0</v>
      </c>
      <c r="CA364" s="253"/>
      <c r="CB364" s="267">
        <v>0</v>
      </c>
      <c r="CC364" s="268">
        <v>0</v>
      </c>
      <c r="CD364" s="255">
        <f t="shared" si="68"/>
        <v>0</v>
      </c>
      <c r="CE364" s="256">
        <f t="shared" si="69"/>
        <v>0</v>
      </c>
      <c r="CF364" s="257">
        <f t="shared" si="70"/>
        <v>0</v>
      </c>
      <c r="CG364" s="261">
        <f t="shared" si="71"/>
        <v>0</v>
      </c>
    </row>
    <row r="365" spans="1:85" s="263" customFormat="1" ht="12.75" customHeight="1">
      <c r="A365" s="248" t="s">
        <v>42</v>
      </c>
      <c r="B365" s="249" t="s">
        <v>241</v>
      </c>
      <c r="C365" s="249"/>
      <c r="D365" s="250">
        <v>206914</v>
      </c>
      <c r="E365" s="251">
        <v>5</v>
      </c>
      <c r="F365" s="252">
        <v>168</v>
      </c>
      <c r="G365" s="253">
        <v>1592808</v>
      </c>
      <c r="H365" s="267">
        <v>173</v>
      </c>
      <c r="I365" s="268">
        <f>+H365*9674</f>
        <v>1673602</v>
      </c>
      <c r="J365" s="252">
        <v>168</v>
      </c>
      <c r="K365" s="253">
        <v>866040</v>
      </c>
      <c r="L365" s="267">
        <v>173</v>
      </c>
      <c r="M365" s="268">
        <v>946137</v>
      </c>
      <c r="N365" s="252"/>
      <c r="O365" s="253"/>
      <c r="P365" s="267"/>
      <c r="Q365" s="268"/>
      <c r="R365" s="252">
        <v>168</v>
      </c>
      <c r="S365" s="253">
        <v>661416</v>
      </c>
      <c r="T365" s="267">
        <v>173</v>
      </c>
      <c r="U365" s="268">
        <v>683004</v>
      </c>
      <c r="V365" s="252">
        <v>168</v>
      </c>
      <c r="W365" s="253">
        <v>18312</v>
      </c>
      <c r="X365" s="267">
        <v>173</v>
      </c>
      <c r="Y365" s="268">
        <v>18857</v>
      </c>
      <c r="Z365" s="252">
        <v>168</v>
      </c>
      <c r="AA365" s="253">
        <v>108192</v>
      </c>
      <c r="AB365" s="267">
        <v>173</v>
      </c>
      <c r="AC365" s="268">
        <v>94631</v>
      </c>
      <c r="AD365" s="252">
        <v>168</v>
      </c>
      <c r="AE365" s="253">
        <v>68376</v>
      </c>
      <c r="AF365" s="267">
        <v>173</v>
      </c>
      <c r="AG365" s="268">
        <v>75947</v>
      </c>
      <c r="AH365" s="252"/>
      <c r="AI365" s="253"/>
      <c r="AJ365" s="267"/>
      <c r="AK365" s="268"/>
      <c r="AL365" s="252">
        <v>168</v>
      </c>
      <c r="AM365" s="253">
        <v>40824</v>
      </c>
      <c r="AN365" s="267">
        <v>173</v>
      </c>
      <c r="AO365" s="268">
        <v>40482</v>
      </c>
      <c r="AP365" s="255">
        <f t="shared" si="64"/>
        <v>168</v>
      </c>
      <c r="AQ365" s="256">
        <f t="shared" si="65"/>
        <v>3355968</v>
      </c>
      <c r="AR365" s="257">
        <f t="shared" si="66"/>
        <v>173</v>
      </c>
      <c r="AS365" s="258">
        <f t="shared" si="67"/>
        <v>3532660</v>
      </c>
      <c r="AT365" s="259">
        <v>0</v>
      </c>
      <c r="AU365" s="253"/>
      <c r="AV365" s="267">
        <v>6</v>
      </c>
      <c r="AW365" s="268">
        <f>8629*AV365</f>
        <v>51774</v>
      </c>
      <c r="AX365" s="252">
        <v>0</v>
      </c>
      <c r="AY365" s="253"/>
      <c r="AZ365" s="267">
        <v>6</v>
      </c>
      <c r="BA365" s="268">
        <f>5469*AZ365</f>
        <v>32814</v>
      </c>
      <c r="BB365" s="252"/>
      <c r="BC365" s="253"/>
      <c r="BD365" s="267"/>
      <c r="BE365" s="268"/>
      <c r="BF365" s="252">
        <v>0</v>
      </c>
      <c r="BG365" s="253"/>
      <c r="BH365" s="267">
        <v>6</v>
      </c>
      <c r="BI365" s="268">
        <f>3477*BH365</f>
        <v>20862</v>
      </c>
      <c r="BJ365" s="252">
        <v>0</v>
      </c>
      <c r="BK365" s="253"/>
      <c r="BL365" s="267">
        <v>6</v>
      </c>
      <c r="BM365" s="268">
        <f>109*BL365</f>
        <v>654</v>
      </c>
      <c r="BN365" s="252">
        <v>0</v>
      </c>
      <c r="BO365" s="253"/>
      <c r="BP365" s="267">
        <v>6</v>
      </c>
      <c r="BQ365" s="268">
        <f>483*BP365</f>
        <v>2898</v>
      </c>
      <c r="BR365" s="252">
        <v>0</v>
      </c>
      <c r="BS365" s="253"/>
      <c r="BT365" s="267">
        <v>6</v>
      </c>
      <c r="BU365" s="268">
        <f>386*BT365</f>
        <v>2316</v>
      </c>
      <c r="BV365" s="252"/>
      <c r="BW365" s="253"/>
      <c r="BX365" s="267"/>
      <c r="BY365" s="268"/>
      <c r="BZ365" s="252">
        <v>0</v>
      </c>
      <c r="CA365" s="253"/>
      <c r="CB365" s="267">
        <v>6</v>
      </c>
      <c r="CC365" s="268">
        <f>209*CB365</f>
        <v>1254</v>
      </c>
      <c r="CD365" s="255">
        <f t="shared" si="68"/>
        <v>0</v>
      </c>
      <c r="CE365" s="256">
        <f t="shared" si="69"/>
        <v>0</v>
      </c>
      <c r="CF365" s="257">
        <f t="shared" si="70"/>
        <v>6</v>
      </c>
      <c r="CG365" s="261">
        <f t="shared" si="71"/>
        <v>112572</v>
      </c>
    </row>
    <row r="366" spans="1:85" s="263" customFormat="1" ht="12.75" customHeight="1">
      <c r="A366" s="248" t="s">
        <v>42</v>
      </c>
      <c r="B366" s="249" t="s">
        <v>242</v>
      </c>
      <c r="C366" s="249"/>
      <c r="D366" s="250">
        <v>207041</v>
      </c>
      <c r="E366" s="251">
        <v>5</v>
      </c>
      <c r="F366" s="252">
        <v>160</v>
      </c>
      <c r="G366" s="253">
        <v>1502400</v>
      </c>
      <c r="H366" s="267">
        <v>157</v>
      </c>
      <c r="I366" s="268">
        <v>1480510</v>
      </c>
      <c r="J366" s="252">
        <v>160</v>
      </c>
      <c r="K366" s="253">
        <v>924800</v>
      </c>
      <c r="L366" s="267">
        <v>157</v>
      </c>
      <c r="M366" s="268">
        <v>952833</v>
      </c>
      <c r="N366" s="252"/>
      <c r="O366" s="253"/>
      <c r="P366" s="267"/>
      <c r="Q366" s="268"/>
      <c r="R366" s="252">
        <v>160</v>
      </c>
      <c r="S366" s="253">
        <v>636480</v>
      </c>
      <c r="T366" s="267">
        <v>157</v>
      </c>
      <c r="U366" s="268">
        <v>624232</v>
      </c>
      <c r="V366" s="252">
        <v>160</v>
      </c>
      <c r="W366" s="253">
        <v>22720</v>
      </c>
      <c r="X366" s="267">
        <v>157</v>
      </c>
      <c r="Y366" s="268">
        <v>23393</v>
      </c>
      <c r="Z366" s="252">
        <v>160</v>
      </c>
      <c r="AA366" s="253">
        <v>64640</v>
      </c>
      <c r="AB366" s="267">
        <v>157</v>
      </c>
      <c r="AC366" s="268">
        <v>63428</v>
      </c>
      <c r="AD366" s="252">
        <v>160</v>
      </c>
      <c r="AE366" s="253">
        <v>102560</v>
      </c>
      <c r="AF366" s="267">
        <v>157</v>
      </c>
      <c r="AG366" s="268">
        <v>105033</v>
      </c>
      <c r="AH366" s="252"/>
      <c r="AI366" s="253"/>
      <c r="AJ366" s="267"/>
      <c r="AK366" s="268"/>
      <c r="AL366" s="252">
        <v>160</v>
      </c>
      <c r="AM366" s="253">
        <v>34240</v>
      </c>
      <c r="AN366" s="267">
        <v>157</v>
      </c>
      <c r="AO366" s="268">
        <v>33598</v>
      </c>
      <c r="AP366" s="255">
        <f t="shared" si="64"/>
        <v>160</v>
      </c>
      <c r="AQ366" s="256">
        <f t="shared" si="65"/>
        <v>3287840</v>
      </c>
      <c r="AR366" s="257">
        <f t="shared" si="66"/>
        <v>157</v>
      </c>
      <c r="AS366" s="258">
        <f t="shared" si="67"/>
        <v>3283027</v>
      </c>
      <c r="AT366" s="259">
        <v>12</v>
      </c>
      <c r="AU366" s="253">
        <v>155076</v>
      </c>
      <c r="AV366" s="267">
        <v>10</v>
      </c>
      <c r="AW366" s="268">
        <f>11545*AV366</f>
        <v>115450</v>
      </c>
      <c r="AX366" s="252">
        <v>12</v>
      </c>
      <c r="AY366" s="253">
        <v>69360</v>
      </c>
      <c r="AZ366" s="267">
        <v>10</v>
      </c>
      <c r="BA366" s="268">
        <f>6069*AZ366</f>
        <v>60690</v>
      </c>
      <c r="BB366" s="252"/>
      <c r="BC366" s="253"/>
      <c r="BD366" s="267"/>
      <c r="BE366" s="268"/>
      <c r="BF366" s="252">
        <v>12</v>
      </c>
      <c r="BG366" s="253">
        <v>1704</v>
      </c>
      <c r="BH366" s="267">
        <v>10</v>
      </c>
      <c r="BI366" s="268">
        <f>4970*BH366</f>
        <v>49700</v>
      </c>
      <c r="BJ366" s="252">
        <v>12</v>
      </c>
      <c r="BK366" s="253">
        <v>6876</v>
      </c>
      <c r="BL366" s="267">
        <v>10</v>
      </c>
      <c r="BM366" s="268">
        <f>149*BL366</f>
        <v>1490</v>
      </c>
      <c r="BN366" s="252">
        <v>12</v>
      </c>
      <c r="BO366" s="253"/>
      <c r="BP366" s="267">
        <v>10</v>
      </c>
      <c r="BQ366" s="268">
        <f>505*BP366</f>
        <v>5050</v>
      </c>
      <c r="BR366" s="252">
        <v>12</v>
      </c>
      <c r="BS366" s="253">
        <v>4968</v>
      </c>
      <c r="BT366" s="267">
        <v>10</v>
      </c>
      <c r="BU366" s="268">
        <f>364*BT366</f>
        <v>3640</v>
      </c>
      <c r="BV366" s="252"/>
      <c r="BW366" s="253"/>
      <c r="BX366" s="267"/>
      <c r="BY366" s="268"/>
      <c r="BZ366" s="252">
        <v>12</v>
      </c>
      <c r="CA366" s="253">
        <v>3648</v>
      </c>
      <c r="CB366" s="267">
        <v>10</v>
      </c>
      <c r="CC366" s="268">
        <f>268*CB366</f>
        <v>2680</v>
      </c>
      <c r="CD366" s="255">
        <f t="shared" si="68"/>
        <v>12</v>
      </c>
      <c r="CE366" s="256">
        <f t="shared" si="69"/>
        <v>241632</v>
      </c>
      <c r="CF366" s="257">
        <f t="shared" si="70"/>
        <v>10</v>
      </c>
      <c r="CG366" s="261">
        <f t="shared" si="71"/>
        <v>238700</v>
      </c>
    </row>
    <row r="367" spans="1:85" s="263" customFormat="1" ht="12.75" customHeight="1">
      <c r="A367" s="248" t="s">
        <v>42</v>
      </c>
      <c r="B367" s="427" t="s">
        <v>243</v>
      </c>
      <c r="C367" s="427"/>
      <c r="D367" s="250">
        <v>207209</v>
      </c>
      <c r="E367" s="430">
        <v>5</v>
      </c>
      <c r="F367" s="252">
        <v>96</v>
      </c>
      <c r="G367" s="253">
        <v>712032</v>
      </c>
      <c r="H367" s="267">
        <v>89</v>
      </c>
      <c r="I367" s="268">
        <v>718675</v>
      </c>
      <c r="J367" s="252">
        <v>96</v>
      </c>
      <c r="K367" s="253">
        <v>408960</v>
      </c>
      <c r="L367" s="267">
        <v>89</v>
      </c>
      <c r="M367" s="268">
        <v>427378</v>
      </c>
      <c r="N367" s="252"/>
      <c r="O367" s="253"/>
      <c r="P367" s="267"/>
      <c r="Q367" s="268"/>
      <c r="R367" s="252">
        <v>96</v>
      </c>
      <c r="S367" s="253">
        <v>278880</v>
      </c>
      <c r="T367" s="267">
        <v>89</v>
      </c>
      <c r="U367" s="268">
        <v>277057</v>
      </c>
      <c r="V367" s="252">
        <v>96</v>
      </c>
      <c r="W367" s="253">
        <v>14304</v>
      </c>
      <c r="X367" s="267">
        <v>89</v>
      </c>
      <c r="Y367" s="268">
        <v>16554</v>
      </c>
      <c r="Z367" s="252">
        <v>96</v>
      </c>
      <c r="AA367" s="253">
        <v>32544</v>
      </c>
      <c r="AB367" s="267">
        <v>89</v>
      </c>
      <c r="AC367" s="268">
        <v>30616</v>
      </c>
      <c r="AD367" s="252">
        <v>96</v>
      </c>
      <c r="AE367" s="253">
        <v>37440</v>
      </c>
      <c r="AF367" s="267">
        <v>89</v>
      </c>
      <c r="AG367" s="268">
        <v>34888</v>
      </c>
      <c r="AH367" s="252"/>
      <c r="AI367" s="253"/>
      <c r="AJ367" s="267"/>
      <c r="AK367" s="268"/>
      <c r="AL367" s="252">
        <v>96</v>
      </c>
      <c r="AM367" s="253">
        <v>65184</v>
      </c>
      <c r="AN367" s="267">
        <v>89</v>
      </c>
      <c r="AO367" s="268">
        <v>82859</v>
      </c>
      <c r="AP367" s="255">
        <f t="shared" si="64"/>
        <v>96</v>
      </c>
      <c r="AQ367" s="256">
        <f t="shared" si="65"/>
        <v>1549344</v>
      </c>
      <c r="AR367" s="257">
        <f t="shared" si="66"/>
        <v>89</v>
      </c>
      <c r="AS367" s="258">
        <f t="shared" si="67"/>
        <v>1588027</v>
      </c>
      <c r="AT367" s="259">
        <v>50</v>
      </c>
      <c r="AU367" s="253">
        <v>476150</v>
      </c>
      <c r="AV367" s="267">
        <v>47</v>
      </c>
      <c r="AW367" s="268">
        <f>10028*AV367</f>
        <v>471316</v>
      </c>
      <c r="AX367" s="252">
        <v>50</v>
      </c>
      <c r="AY367" s="253">
        <v>213000</v>
      </c>
      <c r="AZ367" s="267">
        <v>47</v>
      </c>
      <c r="BA367" s="268">
        <f>4802*AZ367</f>
        <v>225694</v>
      </c>
      <c r="BB367" s="252"/>
      <c r="BC367" s="253"/>
      <c r="BD367" s="267"/>
      <c r="BE367" s="268"/>
      <c r="BF367" s="252">
        <v>50</v>
      </c>
      <c r="BG367" s="253">
        <v>192950</v>
      </c>
      <c r="BH367" s="267">
        <v>47</v>
      </c>
      <c r="BI367" s="268">
        <f>3867*BH367</f>
        <v>181749</v>
      </c>
      <c r="BJ367" s="252">
        <v>50</v>
      </c>
      <c r="BK367" s="253">
        <v>7450</v>
      </c>
      <c r="BL367" s="267">
        <v>47</v>
      </c>
      <c r="BM367" s="268">
        <f>186*BL367</f>
        <v>8742</v>
      </c>
      <c r="BN367" s="252">
        <v>50</v>
      </c>
      <c r="BO367" s="253">
        <v>21800</v>
      </c>
      <c r="BP367" s="267">
        <v>47</v>
      </c>
      <c r="BQ367" s="268">
        <f>437*BP367</f>
        <v>20539</v>
      </c>
      <c r="BR367" s="252">
        <v>50</v>
      </c>
      <c r="BS367" s="253">
        <v>20850</v>
      </c>
      <c r="BT367" s="267">
        <v>47</v>
      </c>
      <c r="BU367" s="268">
        <f>485*BT367</f>
        <v>22795</v>
      </c>
      <c r="BV367" s="252"/>
      <c r="BW367" s="253"/>
      <c r="BX367" s="267"/>
      <c r="BY367" s="268"/>
      <c r="BZ367" s="252">
        <v>50</v>
      </c>
      <c r="CA367" s="253">
        <v>42850</v>
      </c>
      <c r="CB367" s="267">
        <v>47</v>
      </c>
      <c r="CC367" s="268">
        <f>1156*CB367</f>
        <v>54332</v>
      </c>
      <c r="CD367" s="255">
        <f t="shared" si="68"/>
        <v>50</v>
      </c>
      <c r="CE367" s="256">
        <f t="shared" si="69"/>
        <v>975050</v>
      </c>
      <c r="CF367" s="257">
        <f t="shared" si="70"/>
        <v>47</v>
      </c>
      <c r="CG367" s="261">
        <f t="shared" si="71"/>
        <v>985167</v>
      </c>
    </row>
    <row r="368" spans="1:85" s="263" customFormat="1" ht="12.75" customHeight="1">
      <c r="A368" s="248" t="s">
        <v>42</v>
      </c>
      <c r="B368" s="249" t="s">
        <v>244</v>
      </c>
      <c r="C368" s="249"/>
      <c r="D368" s="250">
        <v>207306</v>
      </c>
      <c r="E368" s="251">
        <v>5</v>
      </c>
      <c r="F368" s="252">
        <v>78</v>
      </c>
      <c r="G368" s="253">
        <v>701688</v>
      </c>
      <c r="H368" s="267">
        <v>82</v>
      </c>
      <c r="I368" s="268">
        <v>756860</v>
      </c>
      <c r="J368" s="252">
        <v>78</v>
      </c>
      <c r="K368" s="253">
        <v>395382</v>
      </c>
      <c r="L368" s="267">
        <v>82</v>
      </c>
      <c r="M368" s="268">
        <v>448458</v>
      </c>
      <c r="N368" s="252"/>
      <c r="O368" s="253"/>
      <c r="P368" s="267"/>
      <c r="Q368" s="268"/>
      <c r="R368" s="252">
        <v>78</v>
      </c>
      <c r="S368" s="253">
        <v>292422</v>
      </c>
      <c r="T368" s="267">
        <v>82</v>
      </c>
      <c r="U368" s="268">
        <v>308238</v>
      </c>
      <c r="V368" s="252">
        <v>78</v>
      </c>
      <c r="W368" s="253">
        <v>11076</v>
      </c>
      <c r="X368" s="267">
        <v>82</v>
      </c>
      <c r="Y368" s="268">
        <v>15252</v>
      </c>
      <c r="Z368" s="252">
        <v>78</v>
      </c>
      <c r="AA368" s="253">
        <v>23868</v>
      </c>
      <c r="AB368" s="267">
        <v>82</v>
      </c>
      <c r="AC368" s="268">
        <v>25174</v>
      </c>
      <c r="AD368" s="252">
        <v>78</v>
      </c>
      <c r="AE368" s="253">
        <v>40560</v>
      </c>
      <c r="AF368" s="267">
        <v>82</v>
      </c>
      <c r="AG368" s="268">
        <v>43050</v>
      </c>
      <c r="AH368" s="252"/>
      <c r="AI368" s="253"/>
      <c r="AJ368" s="267"/>
      <c r="AK368" s="268"/>
      <c r="AL368" s="252">
        <v>78</v>
      </c>
      <c r="AM368" s="253">
        <v>22932</v>
      </c>
      <c r="AN368" s="267">
        <v>82</v>
      </c>
      <c r="AO368" s="268">
        <v>23452</v>
      </c>
      <c r="AP368" s="255">
        <f t="shared" si="64"/>
        <v>78</v>
      </c>
      <c r="AQ368" s="256">
        <f t="shared" si="65"/>
        <v>1487928</v>
      </c>
      <c r="AR368" s="257">
        <f t="shared" si="66"/>
        <v>82</v>
      </c>
      <c r="AS368" s="258">
        <f t="shared" si="67"/>
        <v>1620484</v>
      </c>
      <c r="AT368" s="259">
        <v>7</v>
      </c>
      <c r="AU368" s="253">
        <v>89103</v>
      </c>
      <c r="AV368" s="267">
        <v>7</v>
      </c>
      <c r="AW368" s="268">
        <f>13002*AV368</f>
        <v>91014</v>
      </c>
      <c r="AX368" s="252">
        <v>7</v>
      </c>
      <c r="AY368" s="253">
        <v>35483</v>
      </c>
      <c r="AZ368" s="267">
        <v>7</v>
      </c>
      <c r="BA368" s="268">
        <f>5469*AZ368</f>
        <v>38283</v>
      </c>
      <c r="BB368" s="252"/>
      <c r="BC368" s="253"/>
      <c r="BD368" s="267"/>
      <c r="BE368" s="268"/>
      <c r="BF368" s="252">
        <v>7</v>
      </c>
      <c r="BG368" s="253">
        <v>38276</v>
      </c>
      <c r="BH368" s="267">
        <v>7</v>
      </c>
      <c r="BI368" s="268">
        <f>5468*BH368</f>
        <v>38276</v>
      </c>
      <c r="BJ368" s="252">
        <v>7</v>
      </c>
      <c r="BK368" s="253">
        <v>994</v>
      </c>
      <c r="BL368" s="267">
        <v>7</v>
      </c>
      <c r="BM368" s="268">
        <f>186*BL368</f>
        <v>1302</v>
      </c>
      <c r="BN368" s="252">
        <v>7</v>
      </c>
      <c r="BO368" s="253">
        <v>3122</v>
      </c>
      <c r="BP368" s="267">
        <v>7</v>
      </c>
      <c r="BQ368" s="268">
        <f>446*BP368</f>
        <v>3122</v>
      </c>
      <c r="BR368" s="252">
        <v>7</v>
      </c>
      <c r="BS368" s="253">
        <v>5306</v>
      </c>
      <c r="BT368" s="267">
        <v>7</v>
      </c>
      <c r="BU368" s="268">
        <f>763*BT368</f>
        <v>5341</v>
      </c>
      <c r="BV368" s="252"/>
      <c r="BW368" s="253"/>
      <c r="BX368" s="267"/>
      <c r="BY368" s="268"/>
      <c r="BZ368" s="252">
        <v>7</v>
      </c>
      <c r="CA368" s="253">
        <v>2695</v>
      </c>
      <c r="CB368" s="267">
        <v>7</v>
      </c>
      <c r="CC368" s="268">
        <f>376*CB368</f>
        <v>2632</v>
      </c>
      <c r="CD368" s="255">
        <f t="shared" si="68"/>
        <v>7</v>
      </c>
      <c r="CE368" s="256">
        <f t="shared" si="69"/>
        <v>174979</v>
      </c>
      <c r="CF368" s="257">
        <f t="shared" si="70"/>
        <v>7</v>
      </c>
      <c r="CG368" s="261">
        <f t="shared" si="71"/>
        <v>179970</v>
      </c>
    </row>
    <row r="369" spans="1:85" s="263" customFormat="1" ht="12.75" customHeight="1">
      <c r="A369" s="248" t="s">
        <v>42</v>
      </c>
      <c r="B369" s="333" t="s">
        <v>245</v>
      </c>
      <c r="C369" s="517" t="s">
        <v>1219</v>
      </c>
      <c r="D369" s="250">
        <v>207847</v>
      </c>
      <c r="E369" s="251">
        <v>5</v>
      </c>
      <c r="F369" s="252">
        <v>129</v>
      </c>
      <c r="G369" s="253">
        <v>1110174</v>
      </c>
      <c r="H369" s="267">
        <v>128</v>
      </c>
      <c r="I369" s="268">
        <v>1115008</v>
      </c>
      <c r="J369" s="252">
        <v>129</v>
      </c>
      <c r="K369" s="253">
        <v>651708</v>
      </c>
      <c r="L369" s="267">
        <v>128</v>
      </c>
      <c r="M369" s="268">
        <v>712064</v>
      </c>
      <c r="N369" s="252"/>
      <c r="O369" s="253"/>
      <c r="P369" s="267"/>
      <c r="Q369" s="268"/>
      <c r="R369" s="252">
        <v>129</v>
      </c>
      <c r="S369" s="253">
        <v>570567</v>
      </c>
      <c r="T369" s="267">
        <v>128</v>
      </c>
      <c r="U369" s="268">
        <v>566528</v>
      </c>
      <c r="V369" s="252">
        <v>129</v>
      </c>
      <c r="W369" s="253">
        <v>91332</v>
      </c>
      <c r="X369" s="267">
        <v>128</v>
      </c>
      <c r="Y369" s="268">
        <v>90752</v>
      </c>
      <c r="Z369" s="252">
        <v>129</v>
      </c>
      <c r="AA369" s="253">
        <v>36378</v>
      </c>
      <c r="AB369" s="267">
        <v>128</v>
      </c>
      <c r="AC369" s="268">
        <v>36096</v>
      </c>
      <c r="AD369" s="252">
        <v>129</v>
      </c>
      <c r="AE369" s="253">
        <v>102813</v>
      </c>
      <c r="AF369" s="267">
        <v>128</v>
      </c>
      <c r="AG369" s="268">
        <v>102144</v>
      </c>
      <c r="AH369" s="252"/>
      <c r="AI369" s="253"/>
      <c r="AJ369" s="267"/>
      <c r="AK369" s="268"/>
      <c r="AL369" s="252">
        <v>129</v>
      </c>
      <c r="AM369" s="253">
        <v>40377</v>
      </c>
      <c r="AN369" s="267">
        <v>128</v>
      </c>
      <c r="AO369" s="268">
        <v>39936</v>
      </c>
      <c r="AP369" s="255">
        <f t="shared" si="64"/>
        <v>129</v>
      </c>
      <c r="AQ369" s="256">
        <f t="shared" si="65"/>
        <v>2603349</v>
      </c>
      <c r="AR369" s="257">
        <f t="shared" si="66"/>
        <v>128</v>
      </c>
      <c r="AS369" s="258">
        <f t="shared" si="67"/>
        <v>2662528</v>
      </c>
      <c r="AT369" s="259">
        <v>12</v>
      </c>
      <c r="AU369" s="253">
        <v>161112</v>
      </c>
      <c r="AV369" s="267">
        <v>12</v>
      </c>
      <c r="AW369" s="268">
        <f>13453*AV369</f>
        <v>161436</v>
      </c>
      <c r="AX369" s="252">
        <v>12</v>
      </c>
      <c r="AY369" s="253">
        <v>57012</v>
      </c>
      <c r="AZ369" s="267">
        <v>12</v>
      </c>
      <c r="BA369" s="268">
        <f>5674*AZ369</f>
        <v>68088</v>
      </c>
      <c r="BB369" s="252"/>
      <c r="BC369" s="253"/>
      <c r="BD369" s="267"/>
      <c r="BE369" s="268"/>
      <c r="BF369" s="252">
        <v>12</v>
      </c>
      <c r="BG369" s="253">
        <v>74136</v>
      </c>
      <c r="BH369" s="267">
        <v>12</v>
      </c>
      <c r="BI369" s="268">
        <f>6155*BH369</f>
        <v>73860</v>
      </c>
      <c r="BJ369" s="252">
        <v>12</v>
      </c>
      <c r="BK369" s="253">
        <v>12840</v>
      </c>
      <c r="BL369" s="267">
        <v>12</v>
      </c>
      <c r="BM369" s="268">
        <f>1061*BL369</f>
        <v>12732</v>
      </c>
      <c r="BN369" s="252">
        <v>12</v>
      </c>
      <c r="BO369" s="253">
        <v>5124</v>
      </c>
      <c r="BP369" s="267">
        <v>12</v>
      </c>
      <c r="BQ369" s="268">
        <f>423*BP369</f>
        <v>5076</v>
      </c>
      <c r="BR369" s="252">
        <v>12</v>
      </c>
      <c r="BS369" s="253">
        <v>12312</v>
      </c>
      <c r="BT369" s="267">
        <v>12</v>
      </c>
      <c r="BU369" s="268">
        <f>1016*BT369</f>
        <v>12192</v>
      </c>
      <c r="BV369" s="252"/>
      <c r="BW369" s="253"/>
      <c r="BX369" s="267"/>
      <c r="BY369" s="268"/>
      <c r="BZ369" s="252">
        <v>12</v>
      </c>
      <c r="CA369" s="253">
        <v>5160</v>
      </c>
      <c r="CB369" s="267">
        <v>12</v>
      </c>
      <c r="CC369" s="268">
        <f>427*CB369</f>
        <v>5124</v>
      </c>
      <c r="CD369" s="255">
        <f t="shared" si="68"/>
        <v>12</v>
      </c>
      <c r="CE369" s="256">
        <f t="shared" si="69"/>
        <v>327696</v>
      </c>
      <c r="CF369" s="257">
        <f t="shared" si="70"/>
        <v>12</v>
      </c>
      <c r="CG369" s="261">
        <f t="shared" si="71"/>
        <v>338508</v>
      </c>
    </row>
    <row r="370" spans="1:85" s="263" customFormat="1" ht="12.75" customHeight="1">
      <c r="A370" s="248" t="s">
        <v>42</v>
      </c>
      <c r="B370" s="249" t="s">
        <v>246</v>
      </c>
      <c r="C370" s="249"/>
      <c r="D370" s="250">
        <v>207865</v>
      </c>
      <c r="E370" s="251">
        <v>5</v>
      </c>
      <c r="F370" s="252">
        <v>191</v>
      </c>
      <c r="G370" s="253">
        <v>1886889</v>
      </c>
      <c r="H370" s="267">
        <v>193</v>
      </c>
      <c r="I370" s="268">
        <v>1955862</v>
      </c>
      <c r="J370" s="252">
        <v>191</v>
      </c>
      <c r="K370" s="253">
        <v>980976</v>
      </c>
      <c r="L370" s="267">
        <v>193</v>
      </c>
      <c r="M370" s="268">
        <v>1086590</v>
      </c>
      <c r="N370" s="252"/>
      <c r="O370" s="253"/>
      <c r="P370" s="267"/>
      <c r="Q370" s="268"/>
      <c r="R370" s="252">
        <v>191</v>
      </c>
      <c r="S370" s="253">
        <v>778898</v>
      </c>
      <c r="T370" s="267">
        <v>193</v>
      </c>
      <c r="U370" s="268">
        <v>800757</v>
      </c>
      <c r="V370" s="252">
        <v>191</v>
      </c>
      <c r="W370" s="253">
        <v>28650</v>
      </c>
      <c r="X370" s="267">
        <v>193</v>
      </c>
      <c r="Y370" s="268">
        <v>28950</v>
      </c>
      <c r="Z370" s="252">
        <v>191</v>
      </c>
      <c r="AA370" s="253">
        <v>67232</v>
      </c>
      <c r="AB370" s="267">
        <v>193</v>
      </c>
      <c r="AC370" s="268">
        <v>69287</v>
      </c>
      <c r="AD370" s="252">
        <v>191</v>
      </c>
      <c r="AE370" s="253">
        <v>122240</v>
      </c>
      <c r="AF370" s="267">
        <v>193</v>
      </c>
      <c r="AG370" s="268">
        <v>125836</v>
      </c>
      <c r="AH370" s="252"/>
      <c r="AI370" s="253"/>
      <c r="AJ370" s="267"/>
      <c r="AK370" s="268"/>
      <c r="AL370" s="252">
        <v>191</v>
      </c>
      <c r="AM370" s="253">
        <v>54053</v>
      </c>
      <c r="AN370" s="267">
        <v>193</v>
      </c>
      <c r="AO370" s="268">
        <v>55391</v>
      </c>
      <c r="AP370" s="255">
        <f t="shared" si="64"/>
        <v>191</v>
      </c>
      <c r="AQ370" s="256">
        <f t="shared" si="65"/>
        <v>3918938</v>
      </c>
      <c r="AR370" s="257">
        <f t="shared" si="66"/>
        <v>193</v>
      </c>
      <c r="AS370" s="258">
        <f t="shared" si="67"/>
        <v>4122673</v>
      </c>
      <c r="AT370" s="259">
        <v>19</v>
      </c>
      <c r="AU370" s="253">
        <v>317737</v>
      </c>
      <c r="AV370" s="267">
        <v>21</v>
      </c>
      <c r="AW370" s="268">
        <f>16347*AV370</f>
        <v>343287</v>
      </c>
      <c r="AX370" s="252">
        <v>19</v>
      </c>
      <c r="AY370" s="253">
        <v>98477</v>
      </c>
      <c r="AZ370" s="267">
        <v>21</v>
      </c>
      <c r="BA370" s="268">
        <f>5607*AZ370</f>
        <v>117747</v>
      </c>
      <c r="BB370" s="252"/>
      <c r="BC370" s="253"/>
      <c r="BD370" s="267"/>
      <c r="BE370" s="268"/>
      <c r="BF370" s="252">
        <v>19</v>
      </c>
      <c r="BG370" s="253">
        <v>132487</v>
      </c>
      <c r="BH370" s="267">
        <v>21</v>
      </c>
      <c r="BI370" s="268">
        <f>6850*BH370</f>
        <v>143850</v>
      </c>
      <c r="BJ370" s="252">
        <v>19</v>
      </c>
      <c r="BK370" s="253">
        <v>2850</v>
      </c>
      <c r="BL370" s="267">
        <v>21</v>
      </c>
      <c r="BM370" s="268">
        <f>150*BL370</f>
        <v>3150</v>
      </c>
      <c r="BN370" s="252">
        <v>19</v>
      </c>
      <c r="BO370" s="253">
        <v>11761</v>
      </c>
      <c r="BP370" s="267">
        <v>21</v>
      </c>
      <c r="BQ370" s="268">
        <f>601*BP370</f>
        <v>12621</v>
      </c>
      <c r="BR370" s="252">
        <v>19</v>
      </c>
      <c r="BS370" s="253">
        <v>21375</v>
      </c>
      <c r="BT370" s="267">
        <v>21</v>
      </c>
      <c r="BU370" s="268">
        <f>1094*BT370</f>
        <v>22974</v>
      </c>
      <c r="BV370" s="252"/>
      <c r="BW370" s="253"/>
      <c r="BX370" s="267"/>
      <c r="BY370" s="268"/>
      <c r="BZ370" s="252">
        <v>19</v>
      </c>
      <c r="CA370" s="253">
        <v>8227</v>
      </c>
      <c r="CB370" s="267">
        <v>21</v>
      </c>
      <c r="CC370" s="268">
        <f>423*CB370</f>
        <v>8883</v>
      </c>
      <c r="CD370" s="255">
        <f t="shared" si="68"/>
        <v>19</v>
      </c>
      <c r="CE370" s="256">
        <f t="shared" si="69"/>
        <v>592914</v>
      </c>
      <c r="CF370" s="257">
        <f t="shared" si="70"/>
        <v>21</v>
      </c>
      <c r="CG370" s="261">
        <f t="shared" si="71"/>
        <v>652512</v>
      </c>
    </row>
    <row r="371" spans="1:85" s="263" customFormat="1" ht="12.75" customHeight="1">
      <c r="A371" s="248" t="s">
        <v>42</v>
      </c>
      <c r="B371" s="249" t="s">
        <v>247</v>
      </c>
      <c r="C371" s="249"/>
      <c r="D371" s="250">
        <v>207351</v>
      </c>
      <c r="E371" s="251">
        <v>6</v>
      </c>
      <c r="F371" s="252">
        <v>45</v>
      </c>
      <c r="G371" s="253">
        <v>326925</v>
      </c>
      <c r="H371" s="267">
        <v>44</v>
      </c>
      <c r="I371" s="268">
        <v>342760</v>
      </c>
      <c r="J371" s="252">
        <v>45</v>
      </c>
      <c r="K371" s="253">
        <v>191655</v>
      </c>
      <c r="L371" s="267">
        <v>44</v>
      </c>
      <c r="M371" s="268">
        <v>217008</v>
      </c>
      <c r="N371" s="252"/>
      <c r="O371" s="253"/>
      <c r="P371" s="267"/>
      <c r="Q371" s="268"/>
      <c r="R371" s="252">
        <v>45</v>
      </c>
      <c r="S371" s="253">
        <v>135675</v>
      </c>
      <c r="T371" s="267">
        <v>44</v>
      </c>
      <c r="U371" s="268">
        <v>138512</v>
      </c>
      <c r="V371" s="252">
        <v>45</v>
      </c>
      <c r="W371" s="253">
        <v>6390</v>
      </c>
      <c r="X371" s="267">
        <v>44</v>
      </c>
      <c r="Y371" s="268">
        <v>6424</v>
      </c>
      <c r="Z371" s="252">
        <v>45</v>
      </c>
      <c r="AA371" s="253">
        <v>13185</v>
      </c>
      <c r="AB371" s="267">
        <v>44</v>
      </c>
      <c r="AC371" s="268">
        <v>13464</v>
      </c>
      <c r="AD371" s="252">
        <v>45</v>
      </c>
      <c r="AE371" s="253">
        <v>11520</v>
      </c>
      <c r="AF371" s="267">
        <v>44</v>
      </c>
      <c r="AG371" s="268">
        <v>12188</v>
      </c>
      <c r="AH371" s="252"/>
      <c r="AI371" s="253"/>
      <c r="AJ371" s="267"/>
      <c r="AK371" s="268"/>
      <c r="AL371" s="252">
        <v>45</v>
      </c>
      <c r="AM371" s="253">
        <v>8685</v>
      </c>
      <c r="AN371" s="267">
        <v>44</v>
      </c>
      <c r="AO371" s="268">
        <v>8888</v>
      </c>
      <c r="AP371" s="255">
        <f t="shared" si="64"/>
        <v>45</v>
      </c>
      <c r="AQ371" s="256">
        <f t="shared" si="65"/>
        <v>694035</v>
      </c>
      <c r="AR371" s="257">
        <f t="shared" si="66"/>
        <v>44</v>
      </c>
      <c r="AS371" s="258">
        <f t="shared" si="67"/>
        <v>739244</v>
      </c>
      <c r="AT371" s="259">
        <v>9</v>
      </c>
      <c r="AU371" s="253">
        <v>57807</v>
      </c>
      <c r="AV371" s="267">
        <v>9</v>
      </c>
      <c r="AW371" s="268">
        <f>8146*AV371</f>
        <v>73314</v>
      </c>
      <c r="AX371" s="252">
        <v>9</v>
      </c>
      <c r="AY371" s="253">
        <v>38331</v>
      </c>
      <c r="AZ371" s="267">
        <v>9</v>
      </c>
      <c r="BA371" s="268">
        <f>5034*AZ371</f>
        <v>45306</v>
      </c>
      <c r="BB371" s="252"/>
      <c r="BC371" s="253"/>
      <c r="BD371" s="267"/>
      <c r="BE371" s="268"/>
      <c r="BF371" s="252">
        <v>9</v>
      </c>
      <c r="BG371" s="253">
        <v>23652</v>
      </c>
      <c r="BH371" s="267">
        <v>9</v>
      </c>
      <c r="BI371" s="268">
        <f>3301*BH371</f>
        <v>29709</v>
      </c>
      <c r="BJ371" s="252">
        <v>9</v>
      </c>
      <c r="BK371" s="253">
        <v>1278</v>
      </c>
      <c r="BL371" s="267">
        <v>9</v>
      </c>
      <c r="BM371" s="268">
        <f>149*BL371</f>
        <v>1341</v>
      </c>
      <c r="BN371" s="252">
        <v>9</v>
      </c>
      <c r="BO371" s="253">
        <v>2304</v>
      </c>
      <c r="BP371" s="267">
        <v>9</v>
      </c>
      <c r="BQ371" s="268">
        <f>321*BP371</f>
        <v>2889</v>
      </c>
      <c r="BR371" s="252">
        <v>9</v>
      </c>
      <c r="BS371" s="253">
        <v>2007</v>
      </c>
      <c r="BT371" s="267">
        <v>9</v>
      </c>
      <c r="BU371" s="268">
        <f>454*BT371</f>
        <v>4086</v>
      </c>
      <c r="BV371" s="252"/>
      <c r="BW371" s="253"/>
      <c r="BX371" s="267"/>
      <c r="BY371" s="268"/>
      <c r="BZ371" s="252">
        <v>9</v>
      </c>
      <c r="CA371" s="253">
        <v>1512</v>
      </c>
      <c r="CB371" s="267">
        <v>9</v>
      </c>
      <c r="CC371" s="268">
        <f>195*CB371</f>
        <v>1755</v>
      </c>
      <c r="CD371" s="255">
        <f t="shared" si="68"/>
        <v>9</v>
      </c>
      <c r="CE371" s="256">
        <f t="shared" si="69"/>
        <v>126891</v>
      </c>
      <c r="CF371" s="257">
        <f t="shared" si="70"/>
        <v>9</v>
      </c>
      <c r="CG371" s="261">
        <f t="shared" si="71"/>
        <v>158400</v>
      </c>
    </row>
    <row r="372" spans="1:85" s="263" customFormat="1" ht="12.75" customHeight="1">
      <c r="A372" s="248" t="s">
        <v>42</v>
      </c>
      <c r="B372" s="272" t="s">
        <v>249</v>
      </c>
      <c r="C372" s="272"/>
      <c r="D372" s="250">
        <v>207661</v>
      </c>
      <c r="E372" s="251">
        <v>6</v>
      </c>
      <c r="F372" s="252">
        <v>83</v>
      </c>
      <c r="G372" s="253">
        <v>1038496</v>
      </c>
      <c r="H372" s="267">
        <v>92</v>
      </c>
      <c r="I372" s="268">
        <v>1129392</v>
      </c>
      <c r="J372" s="252">
        <v>83</v>
      </c>
      <c r="K372" s="253">
        <v>418818</v>
      </c>
      <c r="L372" s="267">
        <v>92</v>
      </c>
      <c r="M372" s="268">
        <v>499376</v>
      </c>
      <c r="N372" s="252"/>
      <c r="O372" s="253"/>
      <c r="P372" s="267"/>
      <c r="Q372" s="268"/>
      <c r="R372" s="252">
        <v>83</v>
      </c>
      <c r="S372" s="253">
        <v>316562</v>
      </c>
      <c r="T372" s="267">
        <v>92</v>
      </c>
      <c r="U372" s="268">
        <v>357696</v>
      </c>
      <c r="V372" s="252">
        <v>83</v>
      </c>
      <c r="W372" s="253">
        <v>11786</v>
      </c>
      <c r="X372" s="267">
        <v>92</v>
      </c>
      <c r="Y372" s="268">
        <v>13708</v>
      </c>
      <c r="Z372" s="252">
        <v>83</v>
      </c>
      <c r="AA372" s="253">
        <v>26394</v>
      </c>
      <c r="AB372" s="267">
        <v>92</v>
      </c>
      <c r="AC372" s="268">
        <v>29256</v>
      </c>
      <c r="AD372" s="252">
        <v>83</v>
      </c>
      <c r="AE372" s="253">
        <v>16351</v>
      </c>
      <c r="AF372" s="267">
        <v>92</v>
      </c>
      <c r="AG372" s="268">
        <v>21804</v>
      </c>
      <c r="AH372" s="252"/>
      <c r="AI372" s="253"/>
      <c r="AJ372" s="267"/>
      <c r="AK372" s="268"/>
      <c r="AL372" s="252">
        <v>83</v>
      </c>
      <c r="AM372" s="253">
        <v>14110</v>
      </c>
      <c r="AN372" s="267">
        <v>92</v>
      </c>
      <c r="AO372" s="268">
        <v>15364</v>
      </c>
      <c r="AP372" s="255">
        <f t="shared" si="64"/>
        <v>83</v>
      </c>
      <c r="AQ372" s="256">
        <f t="shared" si="65"/>
        <v>1842517</v>
      </c>
      <c r="AR372" s="257">
        <f t="shared" si="66"/>
        <v>92</v>
      </c>
      <c r="AS372" s="258">
        <f t="shared" si="67"/>
        <v>2066596</v>
      </c>
      <c r="AT372" s="259">
        <v>13</v>
      </c>
      <c r="AU372" s="253">
        <v>220350</v>
      </c>
      <c r="AV372" s="267">
        <v>9</v>
      </c>
      <c r="AW372" s="268">
        <f>14840*AV372</f>
        <v>133560</v>
      </c>
      <c r="AX372" s="252">
        <v>13</v>
      </c>
      <c r="AY372" s="253">
        <v>65598</v>
      </c>
      <c r="AZ372" s="267">
        <v>9</v>
      </c>
      <c r="BA372" s="268">
        <f>5428*AZ372</f>
        <v>48852</v>
      </c>
      <c r="BB372" s="252"/>
      <c r="BC372" s="253"/>
      <c r="BD372" s="267"/>
      <c r="BE372" s="268"/>
      <c r="BF372" s="252">
        <v>13</v>
      </c>
      <c r="BG372" s="253">
        <v>67366</v>
      </c>
      <c r="BH372" s="267">
        <v>9</v>
      </c>
      <c r="BI372" s="268">
        <f>4807*BH372</f>
        <v>43263</v>
      </c>
      <c r="BJ372" s="252">
        <v>13</v>
      </c>
      <c r="BK372" s="253">
        <v>1846</v>
      </c>
      <c r="BL372" s="267">
        <v>9</v>
      </c>
      <c r="BM372" s="268">
        <f>149*BL372</f>
        <v>1341</v>
      </c>
      <c r="BN372" s="252">
        <v>13</v>
      </c>
      <c r="BO372" s="253">
        <v>5551</v>
      </c>
      <c r="BP372" s="267">
        <v>9</v>
      </c>
      <c r="BQ372" s="268">
        <f>400*BP372</f>
        <v>3600</v>
      </c>
      <c r="BR372" s="252">
        <v>13</v>
      </c>
      <c r="BS372" s="253">
        <v>3549</v>
      </c>
      <c r="BT372" s="267">
        <v>9</v>
      </c>
      <c r="BU372" s="268">
        <f>297*BT372</f>
        <v>2673</v>
      </c>
      <c r="BV372" s="252"/>
      <c r="BW372" s="253"/>
      <c r="BX372" s="267"/>
      <c r="BY372" s="268"/>
      <c r="BZ372" s="252">
        <v>13</v>
      </c>
      <c r="CA372" s="253">
        <v>3211</v>
      </c>
      <c r="CB372" s="267">
        <v>9</v>
      </c>
      <c r="CC372" s="268">
        <f>227*CB372</f>
        <v>2043</v>
      </c>
      <c r="CD372" s="255">
        <f t="shared" si="68"/>
        <v>13</v>
      </c>
      <c r="CE372" s="256">
        <f t="shared" si="69"/>
        <v>367471</v>
      </c>
      <c r="CF372" s="257">
        <f t="shared" si="70"/>
        <v>9</v>
      </c>
      <c r="CG372" s="261">
        <f t="shared" si="71"/>
        <v>235332</v>
      </c>
    </row>
    <row r="373" spans="1:85" s="263" customFormat="1" ht="12.75" customHeight="1">
      <c r="A373" s="248" t="s">
        <v>42</v>
      </c>
      <c r="B373" s="249" t="s">
        <v>248</v>
      </c>
      <c r="C373" s="249"/>
      <c r="D373" s="250">
        <v>207722</v>
      </c>
      <c r="E373" s="251">
        <v>6</v>
      </c>
      <c r="F373" s="252">
        <v>47</v>
      </c>
      <c r="G373" s="253">
        <v>391134</v>
      </c>
      <c r="H373" s="267">
        <v>47</v>
      </c>
      <c r="I373" s="268">
        <v>268135</v>
      </c>
      <c r="J373" s="252">
        <v>47</v>
      </c>
      <c r="K373" s="253">
        <v>266819</v>
      </c>
      <c r="L373" s="267">
        <v>47</v>
      </c>
      <c r="M373" s="268">
        <v>270344</v>
      </c>
      <c r="N373" s="252"/>
      <c r="O373" s="253"/>
      <c r="P373" s="267"/>
      <c r="Q373" s="268"/>
      <c r="R373" s="252">
        <v>47</v>
      </c>
      <c r="S373" s="253">
        <v>183629</v>
      </c>
      <c r="T373" s="267">
        <v>47</v>
      </c>
      <c r="U373" s="268">
        <v>180997</v>
      </c>
      <c r="V373" s="252">
        <v>47</v>
      </c>
      <c r="W373" s="253">
        <v>7003</v>
      </c>
      <c r="X373" s="267">
        <v>47</v>
      </c>
      <c r="Y373" s="268">
        <v>8742</v>
      </c>
      <c r="Z373" s="252">
        <v>47</v>
      </c>
      <c r="AA373" s="253">
        <v>10340</v>
      </c>
      <c r="AB373" s="267">
        <v>47</v>
      </c>
      <c r="AC373" s="268">
        <v>13254</v>
      </c>
      <c r="AD373" s="252">
        <v>47</v>
      </c>
      <c r="AE373" s="253">
        <v>16074</v>
      </c>
      <c r="AF373" s="267">
        <v>47</v>
      </c>
      <c r="AG373" s="268">
        <v>18471</v>
      </c>
      <c r="AH373" s="252"/>
      <c r="AI373" s="253"/>
      <c r="AJ373" s="267"/>
      <c r="AK373" s="268"/>
      <c r="AL373" s="252">
        <v>47</v>
      </c>
      <c r="AM373" s="253">
        <v>13959</v>
      </c>
      <c r="AN373" s="267">
        <v>47</v>
      </c>
      <c r="AO373" s="268">
        <v>13677</v>
      </c>
      <c r="AP373" s="255">
        <f t="shared" si="64"/>
        <v>47</v>
      </c>
      <c r="AQ373" s="256">
        <f t="shared" si="65"/>
        <v>888958</v>
      </c>
      <c r="AR373" s="257">
        <f t="shared" si="66"/>
        <v>47</v>
      </c>
      <c r="AS373" s="258">
        <f t="shared" si="67"/>
        <v>773620</v>
      </c>
      <c r="AT373" s="259">
        <v>9</v>
      </c>
      <c r="AU373" s="253">
        <v>100062</v>
      </c>
      <c r="AV373" s="267">
        <v>9</v>
      </c>
      <c r="AW373" s="268">
        <f>6838*AV373</f>
        <v>61542</v>
      </c>
      <c r="AX373" s="252">
        <v>9</v>
      </c>
      <c r="AY373" s="253">
        <v>51093</v>
      </c>
      <c r="AZ373" s="267">
        <v>9</v>
      </c>
      <c r="BA373" s="268">
        <f>5752*AZ373</f>
        <v>51768</v>
      </c>
      <c r="BB373" s="252"/>
      <c r="BC373" s="253"/>
      <c r="BD373" s="267"/>
      <c r="BE373" s="268"/>
      <c r="BF373" s="252">
        <v>9</v>
      </c>
      <c r="BG373" s="253">
        <v>49383</v>
      </c>
      <c r="BH373" s="267">
        <v>9</v>
      </c>
      <c r="BI373" s="268">
        <f>4866*BH373</f>
        <v>43794</v>
      </c>
      <c r="BJ373" s="252">
        <v>9</v>
      </c>
      <c r="BK373" s="253">
        <v>1341</v>
      </c>
      <c r="BL373" s="267">
        <v>9</v>
      </c>
      <c r="BM373" s="268">
        <f>186*BL373</f>
        <v>1674</v>
      </c>
      <c r="BN373" s="252">
        <v>9</v>
      </c>
      <c r="BO373" s="253">
        <v>2772</v>
      </c>
      <c r="BP373" s="267">
        <v>9</v>
      </c>
      <c r="BQ373" s="268">
        <f>356*BP373</f>
        <v>3204</v>
      </c>
      <c r="BR373" s="252">
        <v>9</v>
      </c>
      <c r="BS373" s="253">
        <v>4320</v>
      </c>
      <c r="BT373" s="267">
        <v>9</v>
      </c>
      <c r="BU373" s="268">
        <f>496*BT373</f>
        <v>4464</v>
      </c>
      <c r="BV373" s="252"/>
      <c r="BW373" s="253"/>
      <c r="BX373" s="267"/>
      <c r="BY373" s="268"/>
      <c r="BZ373" s="252">
        <v>9</v>
      </c>
      <c r="CA373" s="253">
        <v>3357</v>
      </c>
      <c r="CB373" s="267">
        <v>9</v>
      </c>
      <c r="CC373" s="268">
        <f>340*CB373</f>
        <v>3060</v>
      </c>
      <c r="CD373" s="255">
        <f t="shared" si="68"/>
        <v>9</v>
      </c>
      <c r="CE373" s="256">
        <f t="shared" si="69"/>
        <v>212328</v>
      </c>
      <c r="CF373" s="257">
        <f t="shared" si="70"/>
        <v>9</v>
      </c>
      <c r="CG373" s="261">
        <f t="shared" si="71"/>
        <v>169506</v>
      </c>
    </row>
    <row r="374" spans="1:85" s="263" customFormat="1" ht="12.75" customHeight="1">
      <c r="A374" s="248" t="s">
        <v>42</v>
      </c>
      <c r="B374" s="270" t="s">
        <v>253</v>
      </c>
      <c r="C374" s="270"/>
      <c r="D374" s="431">
        <v>207564</v>
      </c>
      <c r="E374" s="343">
        <v>7</v>
      </c>
      <c r="F374" s="252">
        <v>111</v>
      </c>
      <c r="G374" s="253"/>
      <c r="H374" s="267">
        <v>113</v>
      </c>
      <c r="I374" s="268">
        <v>1082540</v>
      </c>
      <c r="J374" s="252">
        <v>111</v>
      </c>
      <c r="K374" s="253"/>
      <c r="L374" s="267">
        <v>113</v>
      </c>
      <c r="M374" s="268">
        <v>493019</v>
      </c>
      <c r="N374" s="252"/>
      <c r="O374" s="253"/>
      <c r="P374" s="267"/>
      <c r="Q374" s="268"/>
      <c r="R374" s="252">
        <v>111</v>
      </c>
      <c r="S374" s="253"/>
      <c r="T374" s="267">
        <v>113</v>
      </c>
      <c r="U374" s="268">
        <v>443299</v>
      </c>
      <c r="V374" s="252">
        <v>111</v>
      </c>
      <c r="W374" s="253">
        <v>4773</v>
      </c>
      <c r="X374" s="267">
        <v>113</v>
      </c>
      <c r="Y374" s="268">
        <v>5085</v>
      </c>
      <c r="Z374" s="252">
        <v>111</v>
      </c>
      <c r="AA374" s="253">
        <v>39405</v>
      </c>
      <c r="AB374" s="267">
        <v>113</v>
      </c>
      <c r="AC374" s="268">
        <f>+AB374*346</f>
        <v>39098</v>
      </c>
      <c r="AD374" s="252">
        <v>111</v>
      </c>
      <c r="AE374" s="253">
        <v>28416</v>
      </c>
      <c r="AF374" s="267">
        <v>113</v>
      </c>
      <c r="AG374" s="268">
        <f>+AF374*323</f>
        <v>36499</v>
      </c>
      <c r="AH374" s="252"/>
      <c r="AI374" s="253"/>
      <c r="AJ374" s="267"/>
      <c r="AK374" s="268"/>
      <c r="AL374" s="252">
        <v>111</v>
      </c>
      <c r="AM374" s="253">
        <v>0</v>
      </c>
      <c r="AN374" s="267">
        <v>113</v>
      </c>
      <c r="AO374" s="268">
        <v>0</v>
      </c>
      <c r="AP374" s="255">
        <f t="shared" si="64"/>
        <v>111</v>
      </c>
      <c r="AQ374" s="256">
        <f t="shared" si="65"/>
        <v>72594</v>
      </c>
      <c r="AR374" s="257">
        <f t="shared" si="66"/>
        <v>113</v>
      </c>
      <c r="AS374" s="258">
        <f t="shared" si="67"/>
        <v>2099540</v>
      </c>
      <c r="AT374" s="259">
        <v>13</v>
      </c>
      <c r="AU374" s="253">
        <v>171288</v>
      </c>
      <c r="AV374" s="267">
        <v>9</v>
      </c>
      <c r="AW374" s="268">
        <f>+AV374*12850</f>
        <v>115650</v>
      </c>
      <c r="AX374" s="252">
        <v>13</v>
      </c>
      <c r="AY374" s="253">
        <v>54028</v>
      </c>
      <c r="AZ374" s="267">
        <v>9</v>
      </c>
      <c r="BA374" s="268">
        <f>4363*AZ374</f>
        <v>39267</v>
      </c>
      <c r="BB374" s="252"/>
      <c r="BC374" s="253"/>
      <c r="BD374" s="267"/>
      <c r="BE374" s="268"/>
      <c r="BF374" s="252">
        <v>13</v>
      </c>
      <c r="BG374" s="253">
        <v>67028</v>
      </c>
      <c r="BH374" s="267">
        <v>9</v>
      </c>
      <c r="BI374" s="268">
        <f>4941*BH374</f>
        <v>44469</v>
      </c>
      <c r="BJ374" s="252">
        <v>13</v>
      </c>
      <c r="BK374" s="253">
        <v>559</v>
      </c>
      <c r="BL374" s="267">
        <v>9</v>
      </c>
      <c r="BM374" s="268">
        <f>45*BL374</f>
        <v>405</v>
      </c>
      <c r="BN374" s="252">
        <v>13</v>
      </c>
      <c r="BO374" s="253">
        <v>5915</v>
      </c>
      <c r="BP374" s="267">
        <v>9</v>
      </c>
      <c r="BQ374" s="268">
        <f>436*BP374</f>
        <v>3924</v>
      </c>
      <c r="BR374" s="252">
        <v>13</v>
      </c>
      <c r="BS374" s="253">
        <v>4290</v>
      </c>
      <c r="BT374" s="267">
        <v>9</v>
      </c>
      <c r="BU374" s="268">
        <f>407*BT374</f>
        <v>3663</v>
      </c>
      <c r="BV374" s="252"/>
      <c r="BW374" s="253"/>
      <c r="BX374" s="267"/>
      <c r="BY374" s="268"/>
      <c r="BZ374" s="252">
        <v>13</v>
      </c>
      <c r="CA374" s="253">
        <v>0</v>
      </c>
      <c r="CB374" s="267">
        <v>9</v>
      </c>
      <c r="CC374" s="268">
        <v>0</v>
      </c>
      <c r="CD374" s="255">
        <f t="shared" si="68"/>
        <v>13</v>
      </c>
      <c r="CE374" s="256">
        <f t="shared" si="69"/>
        <v>303108</v>
      </c>
      <c r="CF374" s="257">
        <f t="shared" si="70"/>
        <v>9</v>
      </c>
      <c r="CG374" s="261">
        <f t="shared" si="71"/>
        <v>207378</v>
      </c>
    </row>
    <row r="375" spans="1:85" s="263" customFormat="1" ht="12.75" customHeight="1">
      <c r="A375" s="248" t="s">
        <v>42</v>
      </c>
      <c r="B375" s="270" t="s">
        <v>250</v>
      </c>
      <c r="C375" s="270"/>
      <c r="D375" s="250">
        <v>207449</v>
      </c>
      <c r="E375" s="251">
        <v>8</v>
      </c>
      <c r="F375" s="252">
        <v>144</v>
      </c>
      <c r="G375" s="253">
        <v>1799424</v>
      </c>
      <c r="H375" s="267">
        <v>146</v>
      </c>
      <c r="I375" s="268">
        <v>1793610</v>
      </c>
      <c r="J375" s="252">
        <v>144</v>
      </c>
      <c r="K375" s="253">
        <v>876528</v>
      </c>
      <c r="L375" s="267">
        <v>146</v>
      </c>
      <c r="M375" s="268">
        <v>894688</v>
      </c>
      <c r="N375" s="252"/>
      <c r="O375" s="253"/>
      <c r="P375" s="267"/>
      <c r="Q375" s="268"/>
      <c r="R375" s="252">
        <v>144</v>
      </c>
      <c r="S375" s="253">
        <v>438624</v>
      </c>
      <c r="T375" s="267">
        <v>146</v>
      </c>
      <c r="U375" s="268">
        <v>437562</v>
      </c>
      <c r="V375" s="252">
        <v>144</v>
      </c>
      <c r="W375" s="253">
        <v>11376</v>
      </c>
      <c r="X375" s="267">
        <v>146</v>
      </c>
      <c r="Y375" s="268">
        <v>11242</v>
      </c>
      <c r="Z375" s="252">
        <v>144</v>
      </c>
      <c r="AA375" s="253">
        <v>50976</v>
      </c>
      <c r="AB375" s="267">
        <v>146</v>
      </c>
      <c r="AC375" s="268">
        <v>27156</v>
      </c>
      <c r="AD375" s="252">
        <v>144</v>
      </c>
      <c r="AE375" s="253">
        <v>47520</v>
      </c>
      <c r="AF375" s="267">
        <v>146</v>
      </c>
      <c r="AG375" s="268">
        <v>55042</v>
      </c>
      <c r="AH375" s="252"/>
      <c r="AI375" s="253"/>
      <c r="AJ375" s="267"/>
      <c r="AK375" s="268"/>
      <c r="AL375" s="252">
        <v>144</v>
      </c>
      <c r="AM375" s="253">
        <v>28944</v>
      </c>
      <c r="AN375" s="267">
        <v>146</v>
      </c>
      <c r="AO375" s="268">
        <v>23214</v>
      </c>
      <c r="AP375" s="255">
        <f t="shared" si="64"/>
        <v>144</v>
      </c>
      <c r="AQ375" s="256">
        <f t="shared" si="65"/>
        <v>3253392</v>
      </c>
      <c r="AR375" s="257">
        <f t="shared" si="66"/>
        <v>146</v>
      </c>
      <c r="AS375" s="258">
        <f t="shared" si="67"/>
        <v>3242514</v>
      </c>
      <c r="AT375" s="259">
        <v>1</v>
      </c>
      <c r="AU375" s="253">
        <v>21956</v>
      </c>
      <c r="AV375" s="267">
        <v>0</v>
      </c>
      <c r="AW375" s="268"/>
      <c r="AX375" s="252">
        <v>1</v>
      </c>
      <c r="AY375" s="253">
        <v>6087</v>
      </c>
      <c r="AZ375" s="267">
        <v>0</v>
      </c>
      <c r="BA375" s="268"/>
      <c r="BB375" s="252"/>
      <c r="BC375" s="253"/>
      <c r="BD375" s="267"/>
      <c r="BE375" s="268"/>
      <c r="BF375" s="252">
        <v>1</v>
      </c>
      <c r="BG375" s="253">
        <v>5569</v>
      </c>
      <c r="BH375" s="267">
        <v>0</v>
      </c>
      <c r="BI375" s="268"/>
      <c r="BJ375" s="252">
        <v>1</v>
      </c>
      <c r="BK375" s="253">
        <v>144</v>
      </c>
      <c r="BL375" s="267">
        <v>0</v>
      </c>
      <c r="BM375" s="268"/>
      <c r="BN375" s="252">
        <v>1</v>
      </c>
      <c r="BO375" s="253">
        <v>648</v>
      </c>
      <c r="BP375" s="267">
        <v>0</v>
      </c>
      <c r="BQ375" s="268"/>
      <c r="BR375" s="252">
        <v>1</v>
      </c>
      <c r="BS375" s="253">
        <v>602</v>
      </c>
      <c r="BT375" s="267">
        <v>0</v>
      </c>
      <c r="BU375" s="268"/>
      <c r="BV375" s="252"/>
      <c r="BW375" s="253"/>
      <c r="BX375" s="267"/>
      <c r="BY375" s="268"/>
      <c r="BZ375" s="252">
        <v>1</v>
      </c>
      <c r="CA375" s="253">
        <v>368</v>
      </c>
      <c r="CB375" s="267">
        <v>0</v>
      </c>
      <c r="CC375" s="268">
        <v>0</v>
      </c>
      <c r="CD375" s="255">
        <f t="shared" si="68"/>
        <v>1</v>
      </c>
      <c r="CE375" s="256">
        <f t="shared" si="69"/>
        <v>35374</v>
      </c>
      <c r="CF375" s="257">
        <f t="shared" si="70"/>
        <v>0</v>
      </c>
      <c r="CG375" s="261">
        <f t="shared" si="71"/>
        <v>0</v>
      </c>
    </row>
    <row r="376" spans="1:85" s="263" customFormat="1" ht="12.75" customHeight="1">
      <c r="A376" s="248" t="s">
        <v>42</v>
      </c>
      <c r="B376" s="249" t="s">
        <v>251</v>
      </c>
      <c r="C376" s="249"/>
      <c r="D376" s="250">
        <v>207935</v>
      </c>
      <c r="E376" s="251">
        <v>8</v>
      </c>
      <c r="F376" s="252">
        <v>260</v>
      </c>
      <c r="G376" s="253">
        <v>3293420</v>
      </c>
      <c r="H376" s="267">
        <v>256</v>
      </c>
      <c r="I376" s="268">
        <v>3309312</v>
      </c>
      <c r="J376" s="252">
        <v>260</v>
      </c>
      <c r="K376" s="253">
        <v>1476800</v>
      </c>
      <c r="L376" s="267">
        <v>256</v>
      </c>
      <c r="M376" s="268">
        <v>1474048</v>
      </c>
      <c r="N376" s="252"/>
      <c r="O376" s="253"/>
      <c r="P376" s="267"/>
      <c r="Q376" s="268"/>
      <c r="R376" s="252">
        <v>260</v>
      </c>
      <c r="S376" s="253">
        <v>1074320</v>
      </c>
      <c r="T376" s="267">
        <v>256</v>
      </c>
      <c r="U376" s="268">
        <v>1084160</v>
      </c>
      <c r="V376" s="252">
        <v>260</v>
      </c>
      <c r="W376" s="253">
        <v>0</v>
      </c>
      <c r="X376" s="267">
        <v>256</v>
      </c>
      <c r="Y376" s="268">
        <v>0</v>
      </c>
      <c r="Z376" s="252">
        <v>260</v>
      </c>
      <c r="AA376" s="253">
        <v>87880</v>
      </c>
      <c r="AB376" s="267">
        <v>256</v>
      </c>
      <c r="AC376" s="268">
        <v>85248</v>
      </c>
      <c r="AD376" s="252">
        <v>260</v>
      </c>
      <c r="AE376" s="253">
        <v>33800</v>
      </c>
      <c r="AF376" s="267">
        <v>256</v>
      </c>
      <c r="AG376" s="268">
        <v>34560</v>
      </c>
      <c r="AH376" s="252"/>
      <c r="AI376" s="253"/>
      <c r="AJ376" s="267"/>
      <c r="AK376" s="268"/>
      <c r="AL376" s="252">
        <v>260</v>
      </c>
      <c r="AM376" s="253">
        <v>120120</v>
      </c>
      <c r="AN376" s="267">
        <v>256</v>
      </c>
      <c r="AO376" s="268">
        <v>114944</v>
      </c>
      <c r="AP376" s="255">
        <f t="shared" si="64"/>
        <v>260</v>
      </c>
      <c r="AQ376" s="256">
        <f t="shared" si="65"/>
        <v>6086340</v>
      </c>
      <c r="AR376" s="257">
        <f t="shared" si="66"/>
        <v>256</v>
      </c>
      <c r="AS376" s="258">
        <f t="shared" si="67"/>
        <v>6102272</v>
      </c>
      <c r="AT376" s="259">
        <v>41</v>
      </c>
      <c r="AU376" s="253">
        <v>575968</v>
      </c>
      <c r="AV376" s="267">
        <v>42</v>
      </c>
      <c r="AW376" s="268">
        <f>14408*AV376</f>
        <v>605136</v>
      </c>
      <c r="AX376" s="252">
        <v>41</v>
      </c>
      <c r="AY376" s="253">
        <v>240875</v>
      </c>
      <c r="AZ376" s="267">
        <v>42</v>
      </c>
      <c r="BA376" s="268">
        <f>5965*AZ376</f>
        <v>250530</v>
      </c>
      <c r="BB376" s="252"/>
      <c r="BC376" s="253"/>
      <c r="BD376" s="267"/>
      <c r="BE376" s="268"/>
      <c r="BF376" s="252">
        <v>41</v>
      </c>
      <c r="BG376" s="253">
        <v>189379</v>
      </c>
      <c r="BH376" s="267">
        <v>42</v>
      </c>
      <c r="BI376" s="268">
        <f>4659*BH376</f>
        <v>195678</v>
      </c>
      <c r="BJ376" s="252">
        <v>41</v>
      </c>
      <c r="BK376" s="253">
        <v>0</v>
      </c>
      <c r="BL376" s="267">
        <v>42</v>
      </c>
      <c r="BM376" s="268">
        <v>0</v>
      </c>
      <c r="BN376" s="252">
        <v>41</v>
      </c>
      <c r="BO376" s="253">
        <v>15785</v>
      </c>
      <c r="BP376" s="267">
        <v>42</v>
      </c>
      <c r="BQ376" s="268">
        <f>387*BP376</f>
        <v>16254</v>
      </c>
      <c r="BR376" s="252">
        <v>41</v>
      </c>
      <c r="BS376" s="253">
        <v>5330</v>
      </c>
      <c r="BT376" s="267">
        <v>42</v>
      </c>
      <c r="BU376" s="268">
        <f>135*BT376</f>
        <v>5670</v>
      </c>
      <c r="BV376" s="252"/>
      <c r="BW376" s="253"/>
      <c r="BX376" s="267"/>
      <c r="BY376" s="268"/>
      <c r="BZ376" s="252">
        <v>41</v>
      </c>
      <c r="CA376" s="253">
        <v>20254</v>
      </c>
      <c r="CB376" s="267">
        <v>42</v>
      </c>
      <c r="CC376" s="268">
        <f>513*CB376</f>
        <v>21546</v>
      </c>
      <c r="CD376" s="255">
        <f t="shared" si="68"/>
        <v>41</v>
      </c>
      <c r="CE376" s="256">
        <f t="shared" si="69"/>
        <v>1047591</v>
      </c>
      <c r="CF376" s="257">
        <f t="shared" si="70"/>
        <v>42</v>
      </c>
      <c r="CG376" s="261">
        <f t="shared" si="71"/>
        <v>1094814</v>
      </c>
    </row>
    <row r="377" spans="1:85" s="263" customFormat="1" ht="12.75" customHeight="1">
      <c r="A377" s="248" t="s">
        <v>42</v>
      </c>
      <c r="B377" s="270" t="s">
        <v>252</v>
      </c>
      <c r="C377" s="270"/>
      <c r="D377" s="250">
        <v>207281</v>
      </c>
      <c r="E377" s="251">
        <v>9</v>
      </c>
      <c r="F377" s="252">
        <v>95</v>
      </c>
      <c r="G377" s="253">
        <v>899745</v>
      </c>
      <c r="H377" s="267">
        <v>92</v>
      </c>
      <c r="I377" s="268">
        <v>905832</v>
      </c>
      <c r="J377" s="252">
        <v>95</v>
      </c>
      <c r="K377" s="253">
        <v>530005</v>
      </c>
      <c r="L377" s="267">
        <v>92</v>
      </c>
      <c r="M377" s="268">
        <v>535256</v>
      </c>
      <c r="N377" s="252"/>
      <c r="O377" s="253"/>
      <c r="P377" s="267"/>
      <c r="Q377" s="268"/>
      <c r="R377" s="252">
        <v>95</v>
      </c>
      <c r="S377" s="253">
        <v>335730</v>
      </c>
      <c r="T377" s="267">
        <v>92</v>
      </c>
      <c r="U377" s="268">
        <v>325404</v>
      </c>
      <c r="V377" s="252">
        <v>95</v>
      </c>
      <c r="W377" s="253">
        <v>13395</v>
      </c>
      <c r="X377" s="267">
        <v>92</v>
      </c>
      <c r="Y377" s="268">
        <v>17112</v>
      </c>
      <c r="Z377" s="252">
        <v>95</v>
      </c>
      <c r="AA377" s="253">
        <v>20045</v>
      </c>
      <c r="AB377" s="267">
        <v>92</v>
      </c>
      <c r="AC377" s="268">
        <v>19412</v>
      </c>
      <c r="AD377" s="252">
        <v>95</v>
      </c>
      <c r="AE377" s="253">
        <v>23370</v>
      </c>
      <c r="AF377" s="267">
        <v>92</v>
      </c>
      <c r="AG377" s="268">
        <v>22632</v>
      </c>
      <c r="AH377" s="252"/>
      <c r="AI377" s="253"/>
      <c r="AJ377" s="267"/>
      <c r="AK377" s="268"/>
      <c r="AL377" s="252">
        <v>95</v>
      </c>
      <c r="AM377" s="253">
        <v>31635</v>
      </c>
      <c r="AN377" s="267">
        <v>92</v>
      </c>
      <c r="AO377" s="268">
        <v>30636</v>
      </c>
      <c r="AP377" s="255">
        <f t="shared" si="64"/>
        <v>95</v>
      </c>
      <c r="AQ377" s="256">
        <f t="shared" si="65"/>
        <v>1853925</v>
      </c>
      <c r="AR377" s="257">
        <f t="shared" si="66"/>
        <v>92</v>
      </c>
      <c r="AS377" s="258">
        <f t="shared" si="67"/>
        <v>1856284</v>
      </c>
      <c r="AT377" s="259">
        <v>3</v>
      </c>
      <c r="AU377" s="253">
        <v>32169</v>
      </c>
      <c r="AV377" s="267">
        <v>3</v>
      </c>
      <c r="AW377" s="268">
        <f>11031*AV377</f>
        <v>33093</v>
      </c>
      <c r="AX377" s="252">
        <v>3</v>
      </c>
      <c r="AY377" s="253">
        <v>16737</v>
      </c>
      <c r="AZ377" s="267">
        <v>3</v>
      </c>
      <c r="BA377" s="268">
        <f>5818*AZ377</f>
        <v>17454</v>
      </c>
      <c r="BB377" s="252"/>
      <c r="BC377" s="253"/>
      <c r="BD377" s="267"/>
      <c r="BE377" s="268"/>
      <c r="BF377" s="252">
        <v>3</v>
      </c>
      <c r="BG377" s="253">
        <v>12366</v>
      </c>
      <c r="BH377" s="267">
        <v>3</v>
      </c>
      <c r="BI377" s="268">
        <f>4122*BH377</f>
        <v>12366</v>
      </c>
      <c r="BJ377" s="252">
        <v>3</v>
      </c>
      <c r="BK377" s="253">
        <v>447</v>
      </c>
      <c r="BL377" s="267">
        <v>3</v>
      </c>
      <c r="BM377" s="268">
        <f>186*BL377</f>
        <v>558</v>
      </c>
      <c r="BN377" s="252">
        <v>3</v>
      </c>
      <c r="BO377" s="253">
        <v>738</v>
      </c>
      <c r="BP377" s="267">
        <v>3</v>
      </c>
      <c r="BQ377" s="268">
        <f>246*BP377</f>
        <v>738</v>
      </c>
      <c r="BR377" s="252">
        <v>3</v>
      </c>
      <c r="BS377" s="253">
        <v>1638</v>
      </c>
      <c r="BT377" s="267">
        <v>3</v>
      </c>
      <c r="BU377" s="268">
        <f>546*BT377</f>
        <v>1638</v>
      </c>
      <c r="BV377" s="252"/>
      <c r="BW377" s="253"/>
      <c r="BX377" s="267"/>
      <c r="BY377" s="268"/>
      <c r="BZ377" s="252">
        <v>3</v>
      </c>
      <c r="CA377" s="253">
        <v>1164</v>
      </c>
      <c r="CB377" s="267">
        <v>3</v>
      </c>
      <c r="CC377" s="268">
        <f>388*CB377</f>
        <v>1164</v>
      </c>
      <c r="CD377" s="255">
        <f t="shared" si="68"/>
        <v>3</v>
      </c>
      <c r="CE377" s="256">
        <f t="shared" si="69"/>
        <v>65259</v>
      </c>
      <c r="CF377" s="257">
        <f t="shared" si="70"/>
        <v>3</v>
      </c>
      <c r="CG377" s="261">
        <f t="shared" si="71"/>
        <v>67011</v>
      </c>
    </row>
    <row r="378" spans="1:85" s="263" customFormat="1" ht="12.75" customHeight="1">
      <c r="A378" s="248" t="s">
        <v>42</v>
      </c>
      <c r="B378" s="333" t="s">
        <v>254</v>
      </c>
      <c r="C378" s="518" t="s">
        <v>1253</v>
      </c>
      <c r="D378" s="250">
        <v>207397</v>
      </c>
      <c r="E378" s="430">
        <v>9</v>
      </c>
      <c r="F378" s="252">
        <v>53</v>
      </c>
      <c r="G378" s="253"/>
      <c r="H378" s="267">
        <v>53</v>
      </c>
      <c r="I378" s="268">
        <v>486487</v>
      </c>
      <c r="J378" s="252">
        <v>53</v>
      </c>
      <c r="K378" s="253"/>
      <c r="L378" s="267">
        <v>53</v>
      </c>
      <c r="M378" s="268">
        <v>231239</v>
      </c>
      <c r="N378" s="252"/>
      <c r="O378" s="253"/>
      <c r="P378" s="267"/>
      <c r="Q378" s="268"/>
      <c r="R378" s="252">
        <v>53</v>
      </c>
      <c r="S378" s="253"/>
      <c r="T378" s="267">
        <v>53</v>
      </c>
      <c r="U378" s="268">
        <v>193927</v>
      </c>
      <c r="V378" s="252">
        <v>53</v>
      </c>
      <c r="W378" s="253">
        <v>2279</v>
      </c>
      <c r="X378" s="267">
        <v>53</v>
      </c>
      <c r="Y378" s="268">
        <v>2385</v>
      </c>
      <c r="Z378" s="252">
        <v>53</v>
      </c>
      <c r="AA378" s="253">
        <v>17119</v>
      </c>
      <c r="AB378" s="267">
        <v>53</v>
      </c>
      <c r="AC378" s="268">
        <f>+AB378*323</f>
        <v>17119</v>
      </c>
      <c r="AD378" s="252">
        <v>53</v>
      </c>
      <c r="AE378" s="253">
        <v>12402</v>
      </c>
      <c r="AF378" s="267">
        <v>53</v>
      </c>
      <c r="AG378" s="268">
        <f>+AF378*301</f>
        <v>15953</v>
      </c>
      <c r="AH378" s="252"/>
      <c r="AI378" s="253"/>
      <c r="AJ378" s="267"/>
      <c r="AK378" s="268"/>
      <c r="AL378" s="252">
        <v>53</v>
      </c>
      <c r="AM378" s="253">
        <v>0</v>
      </c>
      <c r="AN378" s="267">
        <v>53</v>
      </c>
      <c r="AO378" s="268">
        <v>0</v>
      </c>
      <c r="AP378" s="255">
        <f t="shared" si="64"/>
        <v>53</v>
      </c>
      <c r="AQ378" s="256">
        <f t="shared" si="65"/>
        <v>31800</v>
      </c>
      <c r="AR378" s="257">
        <f t="shared" si="66"/>
        <v>53</v>
      </c>
      <c r="AS378" s="258">
        <f t="shared" si="67"/>
        <v>947110</v>
      </c>
      <c r="AT378" s="259">
        <v>28</v>
      </c>
      <c r="AU378" s="253">
        <v>330568</v>
      </c>
      <c r="AV378" s="267">
        <v>29</v>
      </c>
      <c r="AW378" s="268">
        <f>+AV378*11605</f>
        <v>336545</v>
      </c>
      <c r="AX378" s="252">
        <v>28</v>
      </c>
      <c r="AY378" s="253"/>
      <c r="AZ378" s="267">
        <v>29</v>
      </c>
      <c r="BA378" s="268">
        <f>+AZ378*4363</f>
        <v>126527</v>
      </c>
      <c r="BB378" s="252"/>
      <c r="BC378" s="253"/>
      <c r="BD378" s="267"/>
      <c r="BE378" s="268"/>
      <c r="BF378" s="252">
        <v>28</v>
      </c>
      <c r="BG378" s="253"/>
      <c r="BH378" s="267">
        <v>29</v>
      </c>
      <c r="BI378" s="268">
        <f>4747*BH378</f>
        <v>137663</v>
      </c>
      <c r="BJ378" s="252">
        <v>28</v>
      </c>
      <c r="BK378" s="253"/>
      <c r="BL378" s="267">
        <v>29</v>
      </c>
      <c r="BM378" s="268">
        <f>45*BL378</f>
        <v>1305</v>
      </c>
      <c r="BN378" s="252">
        <v>28</v>
      </c>
      <c r="BO378" s="253"/>
      <c r="BP378" s="267">
        <v>29</v>
      </c>
      <c r="BQ378" s="268">
        <f>419*BP378</f>
        <v>12151</v>
      </c>
      <c r="BR378" s="252">
        <v>28</v>
      </c>
      <c r="BS378" s="253"/>
      <c r="BT378" s="267">
        <v>29</v>
      </c>
      <c r="BU378" s="268">
        <f>387*BT378</f>
        <v>11223</v>
      </c>
      <c r="BV378" s="252"/>
      <c r="BW378" s="253"/>
      <c r="BX378" s="267"/>
      <c r="BY378" s="268"/>
      <c r="BZ378" s="252">
        <v>28</v>
      </c>
      <c r="CA378" s="253"/>
      <c r="CB378" s="267">
        <v>29</v>
      </c>
      <c r="CC378" s="268">
        <v>0</v>
      </c>
      <c r="CD378" s="255">
        <f t="shared" si="68"/>
        <v>28</v>
      </c>
      <c r="CE378" s="256">
        <f t="shared" si="69"/>
        <v>330568</v>
      </c>
      <c r="CF378" s="257">
        <f t="shared" si="70"/>
        <v>29</v>
      </c>
      <c r="CG378" s="261">
        <f t="shared" si="71"/>
        <v>625414</v>
      </c>
    </row>
    <row r="379" spans="1:85" s="263" customFormat="1" ht="12.75" customHeight="1">
      <c r="A379" s="248" t="s">
        <v>42</v>
      </c>
      <c r="B379" s="333" t="s">
        <v>255</v>
      </c>
      <c r="C379" s="518" t="s">
        <v>1254</v>
      </c>
      <c r="D379" s="432">
        <v>207670</v>
      </c>
      <c r="E379" s="433">
        <v>9</v>
      </c>
      <c r="F379" s="252">
        <v>104</v>
      </c>
      <c r="G379" s="253">
        <v>1127568</v>
      </c>
      <c r="H379" s="267">
        <v>100</v>
      </c>
      <c r="I379" s="268">
        <v>1076900</v>
      </c>
      <c r="J379" s="252">
        <v>104</v>
      </c>
      <c r="K379" s="253">
        <v>592072</v>
      </c>
      <c r="L379" s="267">
        <v>100</v>
      </c>
      <c r="M379" s="268">
        <v>609200</v>
      </c>
      <c r="N379" s="252"/>
      <c r="O379" s="253"/>
      <c r="P379" s="267"/>
      <c r="Q379" s="268"/>
      <c r="R379" s="252">
        <v>104</v>
      </c>
      <c r="S379" s="253">
        <v>373152</v>
      </c>
      <c r="T379" s="267">
        <v>100</v>
      </c>
      <c r="U379" s="268">
        <v>353800</v>
      </c>
      <c r="V379" s="252">
        <v>104</v>
      </c>
      <c r="W379" s="253">
        <v>15496</v>
      </c>
      <c r="X379" s="267">
        <v>100</v>
      </c>
      <c r="Y379" s="268">
        <v>14900</v>
      </c>
      <c r="Z379" s="252">
        <v>104</v>
      </c>
      <c r="AA379" s="253">
        <v>18720</v>
      </c>
      <c r="AB379" s="267">
        <v>100</v>
      </c>
      <c r="AC379" s="268">
        <v>17800</v>
      </c>
      <c r="AD379" s="252">
        <v>104</v>
      </c>
      <c r="AE379" s="253">
        <v>31720</v>
      </c>
      <c r="AF379" s="267">
        <v>100</v>
      </c>
      <c r="AG379" s="268">
        <v>30100</v>
      </c>
      <c r="AH379" s="252"/>
      <c r="AI379" s="253"/>
      <c r="AJ379" s="267"/>
      <c r="AK379" s="268"/>
      <c r="AL379" s="252">
        <v>104</v>
      </c>
      <c r="AM379" s="253">
        <v>45760</v>
      </c>
      <c r="AN379" s="267">
        <v>100</v>
      </c>
      <c r="AO379" s="268">
        <v>41300</v>
      </c>
      <c r="AP379" s="255">
        <f t="shared" si="64"/>
        <v>104</v>
      </c>
      <c r="AQ379" s="256">
        <f t="shared" si="65"/>
        <v>2204488</v>
      </c>
      <c r="AR379" s="257">
        <f t="shared" si="66"/>
        <v>100</v>
      </c>
      <c r="AS379" s="258">
        <f t="shared" si="67"/>
        <v>2144000</v>
      </c>
      <c r="AT379" s="259">
        <v>17</v>
      </c>
      <c r="AU379" s="253">
        <v>232713</v>
      </c>
      <c r="AV379" s="267">
        <v>17</v>
      </c>
      <c r="AW379" s="268">
        <f>13776*AV379</f>
        <v>234192</v>
      </c>
      <c r="AX379" s="252">
        <v>17</v>
      </c>
      <c r="AY379" s="253">
        <v>96798</v>
      </c>
      <c r="AZ379" s="267">
        <v>17</v>
      </c>
      <c r="BA379" s="268">
        <f>6092*AZ379</f>
        <v>103564</v>
      </c>
      <c r="BB379" s="252"/>
      <c r="BC379" s="253"/>
      <c r="BD379" s="267"/>
      <c r="BE379" s="268"/>
      <c r="BF379" s="252">
        <v>17</v>
      </c>
      <c r="BG379" s="253">
        <v>78727</v>
      </c>
      <c r="BH379" s="267">
        <v>17</v>
      </c>
      <c r="BI379" s="268">
        <f>4640*BH379</f>
        <v>78880</v>
      </c>
      <c r="BJ379" s="252">
        <v>17</v>
      </c>
      <c r="BK379" s="253">
        <v>2533</v>
      </c>
      <c r="BL379" s="267">
        <v>17</v>
      </c>
      <c r="BM379" s="268">
        <f>149*BL379</f>
        <v>2533</v>
      </c>
      <c r="BN379" s="252">
        <v>17</v>
      </c>
      <c r="BO379" s="253">
        <v>3944</v>
      </c>
      <c r="BP379" s="267">
        <v>17</v>
      </c>
      <c r="BQ379" s="268">
        <f>233*BP379</f>
        <v>3961</v>
      </c>
      <c r="BR379" s="252">
        <v>17</v>
      </c>
      <c r="BS379" s="253">
        <v>6698</v>
      </c>
      <c r="BT379" s="267">
        <v>17</v>
      </c>
      <c r="BU379" s="268">
        <f>394*BT379</f>
        <v>6698</v>
      </c>
      <c r="BV379" s="252"/>
      <c r="BW379" s="253"/>
      <c r="BX379" s="267"/>
      <c r="BY379" s="268"/>
      <c r="BZ379" s="252">
        <v>17</v>
      </c>
      <c r="CA379" s="253">
        <v>9112</v>
      </c>
      <c r="CB379" s="267">
        <v>17</v>
      </c>
      <c r="CC379" s="268">
        <f>515*CB379</f>
        <v>8755</v>
      </c>
      <c r="CD379" s="255">
        <f t="shared" si="68"/>
        <v>17</v>
      </c>
      <c r="CE379" s="256">
        <f t="shared" si="69"/>
        <v>430525</v>
      </c>
      <c r="CF379" s="257">
        <f t="shared" si="70"/>
        <v>17</v>
      </c>
      <c r="CG379" s="261">
        <f t="shared" si="71"/>
        <v>438583</v>
      </c>
    </row>
    <row r="380" spans="1:85" s="263" customFormat="1" ht="12.75" customHeight="1">
      <c r="A380" s="248" t="s">
        <v>42</v>
      </c>
      <c r="B380" s="333" t="s">
        <v>256</v>
      </c>
      <c r="C380" s="518" t="s">
        <v>1255</v>
      </c>
      <c r="D380" s="250">
        <v>206923</v>
      </c>
      <c r="E380" s="251">
        <v>10</v>
      </c>
      <c r="F380" s="252">
        <v>39</v>
      </c>
      <c r="G380" s="253">
        <v>320112</v>
      </c>
      <c r="H380" s="267">
        <v>47</v>
      </c>
      <c r="I380" s="268">
        <v>448662</v>
      </c>
      <c r="J380" s="252">
        <v>39</v>
      </c>
      <c r="K380" s="253">
        <v>205452</v>
      </c>
      <c r="L380" s="267">
        <v>47</v>
      </c>
      <c r="M380" s="268">
        <v>271096</v>
      </c>
      <c r="N380" s="252"/>
      <c r="O380" s="253"/>
      <c r="P380" s="267"/>
      <c r="Q380" s="268"/>
      <c r="R380" s="252">
        <v>39</v>
      </c>
      <c r="S380" s="253">
        <v>126594</v>
      </c>
      <c r="T380" s="267">
        <v>47</v>
      </c>
      <c r="U380" s="268">
        <v>170328</v>
      </c>
      <c r="V380" s="252">
        <v>39</v>
      </c>
      <c r="W380" s="253">
        <v>5811</v>
      </c>
      <c r="X380" s="267">
        <v>47</v>
      </c>
      <c r="Y380" s="268">
        <v>8742</v>
      </c>
      <c r="Z380" s="252">
        <v>39</v>
      </c>
      <c r="AA380" s="253">
        <v>9360</v>
      </c>
      <c r="AB380" s="267">
        <v>47</v>
      </c>
      <c r="AC380" s="268">
        <v>13536</v>
      </c>
      <c r="AD380" s="252">
        <v>39</v>
      </c>
      <c r="AE380" s="253">
        <v>10764</v>
      </c>
      <c r="AF380" s="267">
        <v>47</v>
      </c>
      <c r="AG380" s="268">
        <v>9588</v>
      </c>
      <c r="AH380" s="252"/>
      <c r="AI380" s="253"/>
      <c r="AJ380" s="267"/>
      <c r="AK380" s="268"/>
      <c r="AL380" s="252">
        <v>39</v>
      </c>
      <c r="AM380" s="253">
        <v>936</v>
      </c>
      <c r="AN380" s="267">
        <v>47</v>
      </c>
      <c r="AO380" s="268">
        <v>1128</v>
      </c>
      <c r="AP380" s="255">
        <f t="shared" si="64"/>
        <v>39</v>
      </c>
      <c r="AQ380" s="256">
        <f t="shared" si="65"/>
        <v>679029</v>
      </c>
      <c r="AR380" s="257">
        <f t="shared" si="66"/>
        <v>47</v>
      </c>
      <c r="AS380" s="258">
        <f t="shared" si="67"/>
        <v>923080</v>
      </c>
      <c r="AT380" s="259">
        <v>6</v>
      </c>
      <c r="AU380" s="253">
        <v>58284</v>
      </c>
      <c r="AV380" s="267">
        <v>6</v>
      </c>
      <c r="AW380" s="268">
        <f>9882*AV380</f>
        <v>59292</v>
      </c>
      <c r="AX380" s="252">
        <v>6</v>
      </c>
      <c r="AY380" s="253">
        <v>31608</v>
      </c>
      <c r="AZ380" s="267">
        <v>6</v>
      </c>
      <c r="BA380" s="268">
        <f>5768*AZ380</f>
        <v>34608</v>
      </c>
      <c r="BB380" s="252"/>
      <c r="BC380" s="253"/>
      <c r="BD380" s="267"/>
      <c r="BE380" s="268"/>
      <c r="BF380" s="252">
        <v>6</v>
      </c>
      <c r="BG380" s="253">
        <v>18582</v>
      </c>
      <c r="BH380" s="267">
        <v>6</v>
      </c>
      <c r="BI380" s="268">
        <f>3750*BH380</f>
        <v>22500</v>
      </c>
      <c r="BJ380" s="252">
        <v>6</v>
      </c>
      <c r="BK380" s="253">
        <v>894</v>
      </c>
      <c r="BL380" s="267">
        <v>6</v>
      </c>
      <c r="BM380" s="268">
        <f>186*BL380</f>
        <v>1116</v>
      </c>
      <c r="BN380" s="252">
        <v>6</v>
      </c>
      <c r="BO380" s="253">
        <v>1098</v>
      </c>
      <c r="BP380" s="267">
        <v>6</v>
      </c>
      <c r="BQ380" s="268">
        <f>240*BP380</f>
        <v>1440</v>
      </c>
      <c r="BR380" s="252">
        <v>6</v>
      </c>
      <c r="BS380" s="253">
        <v>1578</v>
      </c>
      <c r="BT380" s="267">
        <v>6</v>
      </c>
      <c r="BU380" s="268">
        <f>198*BT380</f>
        <v>1188</v>
      </c>
      <c r="BV380" s="252"/>
      <c r="BW380" s="253"/>
      <c r="BX380" s="267"/>
      <c r="BY380" s="268"/>
      <c r="BZ380" s="252">
        <v>6</v>
      </c>
      <c r="CA380" s="253">
        <v>144</v>
      </c>
      <c r="CB380" s="267">
        <v>6</v>
      </c>
      <c r="CC380" s="268">
        <f>24*CB380</f>
        <v>144</v>
      </c>
      <c r="CD380" s="255">
        <f t="shared" si="68"/>
        <v>6</v>
      </c>
      <c r="CE380" s="256">
        <f t="shared" si="69"/>
        <v>112188</v>
      </c>
      <c r="CF380" s="257">
        <f t="shared" si="70"/>
        <v>6</v>
      </c>
      <c r="CG380" s="261">
        <f t="shared" si="71"/>
        <v>120288</v>
      </c>
    </row>
    <row r="381" spans="1:85" s="263" customFormat="1" ht="12.75" customHeight="1">
      <c r="A381" s="248" t="s">
        <v>42</v>
      </c>
      <c r="B381" s="249" t="s">
        <v>257</v>
      </c>
      <c r="C381" s="249"/>
      <c r="D381" s="250">
        <v>206996</v>
      </c>
      <c r="E381" s="251">
        <v>10</v>
      </c>
      <c r="F381" s="252">
        <v>46</v>
      </c>
      <c r="G381" s="253">
        <v>379500</v>
      </c>
      <c r="H381" s="267">
        <v>46</v>
      </c>
      <c r="I381" s="268">
        <v>403742</v>
      </c>
      <c r="J381" s="252">
        <v>46</v>
      </c>
      <c r="K381" s="253">
        <v>200698</v>
      </c>
      <c r="L381" s="267">
        <v>46</v>
      </c>
      <c r="M381" s="268">
        <v>241086</v>
      </c>
      <c r="N381" s="252"/>
      <c r="O381" s="253"/>
      <c r="P381" s="267"/>
      <c r="Q381" s="268"/>
      <c r="R381" s="252">
        <v>46</v>
      </c>
      <c r="S381" s="253">
        <v>151800</v>
      </c>
      <c r="T381" s="267">
        <v>46</v>
      </c>
      <c r="U381" s="268">
        <v>134136</v>
      </c>
      <c r="V381" s="252">
        <v>46</v>
      </c>
      <c r="W381" s="253">
        <v>2070</v>
      </c>
      <c r="X381" s="267">
        <v>46</v>
      </c>
      <c r="Y381" s="268">
        <v>2070</v>
      </c>
      <c r="Z381" s="252">
        <v>46</v>
      </c>
      <c r="AA381" s="253">
        <v>12880</v>
      </c>
      <c r="AB381" s="267">
        <v>46</v>
      </c>
      <c r="AC381" s="268">
        <v>12512</v>
      </c>
      <c r="AD381" s="252">
        <v>46</v>
      </c>
      <c r="AE381" s="253">
        <v>18676</v>
      </c>
      <c r="AF381" s="267">
        <v>46</v>
      </c>
      <c r="AG381" s="268">
        <v>9890</v>
      </c>
      <c r="AH381" s="252"/>
      <c r="AI381" s="253"/>
      <c r="AJ381" s="267"/>
      <c r="AK381" s="268"/>
      <c r="AL381" s="252">
        <v>46</v>
      </c>
      <c r="AM381" s="253">
        <v>9706</v>
      </c>
      <c r="AN381" s="267">
        <v>46</v>
      </c>
      <c r="AO381" s="268">
        <v>13570</v>
      </c>
      <c r="AP381" s="255">
        <f t="shared" si="64"/>
        <v>46</v>
      </c>
      <c r="AQ381" s="256">
        <f t="shared" si="65"/>
        <v>775330</v>
      </c>
      <c r="AR381" s="257">
        <f t="shared" si="66"/>
        <v>46</v>
      </c>
      <c r="AS381" s="258">
        <f t="shared" si="67"/>
        <v>817006</v>
      </c>
      <c r="AT381" s="259">
        <v>3</v>
      </c>
      <c r="AU381" s="253">
        <v>29715</v>
      </c>
      <c r="AV381" s="267">
        <v>3</v>
      </c>
      <c r="AW381" s="268">
        <f>10300*AV381</f>
        <v>30900</v>
      </c>
      <c r="AX381" s="252">
        <v>3</v>
      </c>
      <c r="AY381" s="253">
        <v>13089</v>
      </c>
      <c r="AZ381" s="267">
        <v>3</v>
      </c>
      <c r="BA381" s="268">
        <f>5240*AZ381</f>
        <v>15720</v>
      </c>
      <c r="BB381" s="252"/>
      <c r="BC381" s="253"/>
      <c r="BD381" s="267"/>
      <c r="BE381" s="268"/>
      <c r="BF381" s="252">
        <v>3</v>
      </c>
      <c r="BG381" s="253">
        <v>10359</v>
      </c>
      <c r="BH381" s="267">
        <v>3</v>
      </c>
      <c r="BI381" s="268">
        <f>3422*BH381</f>
        <v>10266</v>
      </c>
      <c r="BJ381" s="252">
        <v>3</v>
      </c>
      <c r="BK381" s="253">
        <v>405</v>
      </c>
      <c r="BL381" s="267">
        <v>3</v>
      </c>
      <c r="BM381" s="268">
        <f>45*BL381</f>
        <v>135</v>
      </c>
      <c r="BN381" s="252">
        <v>3</v>
      </c>
      <c r="BO381" s="253">
        <v>1017</v>
      </c>
      <c r="BP381" s="267">
        <v>3</v>
      </c>
      <c r="BQ381" s="268">
        <f>346*BP381</f>
        <v>1038</v>
      </c>
      <c r="BR381" s="252">
        <v>3</v>
      </c>
      <c r="BS381" s="253">
        <v>1446</v>
      </c>
      <c r="BT381" s="267">
        <v>3</v>
      </c>
      <c r="BU381" s="268">
        <f>320*BT381</f>
        <v>960</v>
      </c>
      <c r="BV381" s="252"/>
      <c r="BW381" s="253"/>
      <c r="BX381" s="267"/>
      <c r="BY381" s="268"/>
      <c r="BZ381" s="252">
        <v>3</v>
      </c>
      <c r="CA381" s="253">
        <v>747</v>
      </c>
      <c r="CB381" s="267">
        <v>3</v>
      </c>
      <c r="CC381" s="268">
        <f>252*CB381</f>
        <v>756</v>
      </c>
      <c r="CD381" s="255">
        <f t="shared" si="68"/>
        <v>3</v>
      </c>
      <c r="CE381" s="256">
        <f t="shared" si="69"/>
        <v>56778</v>
      </c>
      <c r="CF381" s="257">
        <f t="shared" si="70"/>
        <v>3</v>
      </c>
      <c r="CG381" s="261">
        <f t="shared" si="71"/>
        <v>59775</v>
      </c>
    </row>
    <row r="382" spans="1:85" s="263" customFormat="1" ht="12.75" customHeight="1">
      <c r="A382" s="248" t="s">
        <v>42</v>
      </c>
      <c r="B382" s="249" t="s">
        <v>258</v>
      </c>
      <c r="C382" s="249"/>
      <c r="D382" s="250">
        <v>207050</v>
      </c>
      <c r="E382" s="251">
        <v>10</v>
      </c>
      <c r="F382" s="252">
        <v>47</v>
      </c>
      <c r="G382" s="253">
        <v>394048</v>
      </c>
      <c r="H382" s="267">
        <v>46</v>
      </c>
      <c r="I382" s="268">
        <v>419336</v>
      </c>
      <c r="J382" s="252">
        <v>47</v>
      </c>
      <c r="K382" s="253">
        <v>256620</v>
      </c>
      <c r="L382" s="267">
        <v>46</v>
      </c>
      <c r="M382" s="268">
        <v>264592</v>
      </c>
      <c r="N382" s="252"/>
      <c r="O382" s="253"/>
      <c r="P382" s="267"/>
      <c r="Q382" s="268"/>
      <c r="R382" s="252">
        <v>47</v>
      </c>
      <c r="S382" s="253">
        <v>153220</v>
      </c>
      <c r="T382" s="267">
        <v>46</v>
      </c>
      <c r="U382" s="268">
        <v>159620</v>
      </c>
      <c r="V382" s="252">
        <v>47</v>
      </c>
      <c r="W382" s="253">
        <v>6627</v>
      </c>
      <c r="X382" s="267">
        <v>46</v>
      </c>
      <c r="Y382" s="268">
        <v>6808</v>
      </c>
      <c r="Z382" s="252">
        <v>47</v>
      </c>
      <c r="AA382" s="253">
        <v>11938</v>
      </c>
      <c r="AB382" s="267">
        <v>46</v>
      </c>
      <c r="AC382" s="268">
        <v>12558</v>
      </c>
      <c r="AD382" s="252">
        <v>47</v>
      </c>
      <c r="AE382" s="253">
        <v>54332</v>
      </c>
      <c r="AF382" s="267">
        <v>46</v>
      </c>
      <c r="AG382" s="268">
        <v>56580</v>
      </c>
      <c r="AH382" s="252"/>
      <c r="AI382" s="253"/>
      <c r="AJ382" s="267"/>
      <c r="AK382" s="268"/>
      <c r="AL382" s="252">
        <v>47</v>
      </c>
      <c r="AM382" s="253">
        <v>19223</v>
      </c>
      <c r="AN382" s="267">
        <v>46</v>
      </c>
      <c r="AO382" s="268">
        <v>0</v>
      </c>
      <c r="AP382" s="255">
        <f t="shared" si="64"/>
        <v>47</v>
      </c>
      <c r="AQ382" s="256">
        <f t="shared" si="65"/>
        <v>896008</v>
      </c>
      <c r="AR382" s="257">
        <f t="shared" si="66"/>
        <v>46</v>
      </c>
      <c r="AS382" s="258">
        <f t="shared" si="67"/>
        <v>919494</v>
      </c>
      <c r="AT382" s="259">
        <v>0</v>
      </c>
      <c r="AU382" s="253"/>
      <c r="AV382" s="267">
        <v>0</v>
      </c>
      <c r="AW382" s="268"/>
      <c r="AX382" s="252">
        <v>0</v>
      </c>
      <c r="AY382" s="253"/>
      <c r="AZ382" s="267">
        <v>0</v>
      </c>
      <c r="BA382" s="268"/>
      <c r="BB382" s="252"/>
      <c r="BC382" s="253"/>
      <c r="BD382" s="267"/>
      <c r="BE382" s="268"/>
      <c r="BF382" s="252">
        <v>0</v>
      </c>
      <c r="BG382" s="253"/>
      <c r="BH382" s="267">
        <v>0</v>
      </c>
      <c r="BI382" s="268"/>
      <c r="BJ382" s="252">
        <v>0</v>
      </c>
      <c r="BK382" s="253"/>
      <c r="BL382" s="267">
        <v>0</v>
      </c>
      <c r="BM382" s="268"/>
      <c r="BN382" s="252">
        <v>0</v>
      </c>
      <c r="BO382" s="253"/>
      <c r="BP382" s="267">
        <v>0</v>
      </c>
      <c r="BQ382" s="268"/>
      <c r="BR382" s="252">
        <v>0</v>
      </c>
      <c r="BS382" s="253"/>
      <c r="BT382" s="267">
        <v>0</v>
      </c>
      <c r="BU382" s="268"/>
      <c r="BV382" s="252"/>
      <c r="BW382" s="253"/>
      <c r="BX382" s="267"/>
      <c r="BY382" s="268"/>
      <c r="BZ382" s="252">
        <v>0</v>
      </c>
      <c r="CA382" s="253"/>
      <c r="CB382" s="267">
        <v>0</v>
      </c>
      <c r="CC382" s="268">
        <v>0</v>
      </c>
      <c r="CD382" s="255">
        <f t="shared" si="68"/>
        <v>0</v>
      </c>
      <c r="CE382" s="256">
        <f t="shared" si="69"/>
        <v>0</v>
      </c>
      <c r="CF382" s="257">
        <f t="shared" si="70"/>
        <v>0</v>
      </c>
      <c r="CG382" s="261">
        <f t="shared" si="71"/>
        <v>0</v>
      </c>
    </row>
    <row r="383" spans="1:85" s="263" customFormat="1" ht="12.75" customHeight="1">
      <c r="A383" s="248" t="s">
        <v>42</v>
      </c>
      <c r="B383" s="333" t="s">
        <v>259</v>
      </c>
      <c r="C383" s="518" t="s">
        <v>1255</v>
      </c>
      <c r="D383" s="250">
        <v>207236</v>
      </c>
      <c r="E383" s="430">
        <v>10</v>
      </c>
      <c r="F383" s="252">
        <v>40</v>
      </c>
      <c r="G383" s="253">
        <v>227240</v>
      </c>
      <c r="H383" s="267">
        <v>36</v>
      </c>
      <c r="I383" s="268">
        <v>245484</v>
      </c>
      <c r="J383" s="252">
        <v>40</v>
      </c>
      <c r="K383" s="253">
        <v>161920</v>
      </c>
      <c r="L383" s="267">
        <v>36</v>
      </c>
      <c r="M383" s="268">
        <v>195228</v>
      </c>
      <c r="N383" s="252"/>
      <c r="O383" s="253"/>
      <c r="P383" s="267"/>
      <c r="Q383" s="268"/>
      <c r="R383" s="252">
        <v>40</v>
      </c>
      <c r="S383" s="253">
        <v>124520</v>
      </c>
      <c r="T383" s="267">
        <v>36</v>
      </c>
      <c r="U383" s="268">
        <v>111816</v>
      </c>
      <c r="V383" s="252">
        <v>40</v>
      </c>
      <c r="W383" s="253">
        <v>9000</v>
      </c>
      <c r="X383" s="267">
        <v>36</v>
      </c>
      <c r="Y383" s="268">
        <v>8100</v>
      </c>
      <c r="Z383" s="252">
        <v>40</v>
      </c>
      <c r="AA383" s="253">
        <v>11520</v>
      </c>
      <c r="AB383" s="267">
        <v>36</v>
      </c>
      <c r="AC383" s="268">
        <v>10512</v>
      </c>
      <c r="AD383" s="252">
        <v>40</v>
      </c>
      <c r="AE383" s="253">
        <v>12200</v>
      </c>
      <c r="AF383" s="267">
        <v>36</v>
      </c>
      <c r="AG383" s="268">
        <v>10980</v>
      </c>
      <c r="AH383" s="252"/>
      <c r="AI383" s="253"/>
      <c r="AJ383" s="267"/>
      <c r="AK383" s="268"/>
      <c r="AL383" s="252">
        <v>40</v>
      </c>
      <c r="AM383" s="253">
        <v>0</v>
      </c>
      <c r="AN383" s="267">
        <v>36</v>
      </c>
      <c r="AO383" s="268">
        <v>0</v>
      </c>
      <c r="AP383" s="255">
        <f t="shared" si="64"/>
        <v>40</v>
      </c>
      <c r="AQ383" s="256">
        <f t="shared" si="65"/>
        <v>546400</v>
      </c>
      <c r="AR383" s="257">
        <f t="shared" si="66"/>
        <v>36</v>
      </c>
      <c r="AS383" s="258">
        <f t="shared" si="67"/>
        <v>582120</v>
      </c>
      <c r="AT383" s="259">
        <v>9</v>
      </c>
      <c r="AU383" s="253">
        <v>69156</v>
      </c>
      <c r="AV383" s="267">
        <v>9</v>
      </c>
      <c r="AW383" s="268">
        <f>9745*AV383</f>
        <v>87705</v>
      </c>
      <c r="AX383" s="252">
        <v>9</v>
      </c>
      <c r="AY383" s="253">
        <v>36432</v>
      </c>
      <c r="AZ383" s="267">
        <v>9</v>
      </c>
      <c r="BA383" s="268">
        <f>5423*AZ383</f>
        <v>48807</v>
      </c>
      <c r="BB383" s="252"/>
      <c r="BC383" s="253"/>
      <c r="BD383" s="267"/>
      <c r="BE383" s="268"/>
      <c r="BF383" s="252">
        <v>9</v>
      </c>
      <c r="BG383" s="253">
        <v>38475</v>
      </c>
      <c r="BH383" s="267">
        <v>9</v>
      </c>
      <c r="BI383" s="268">
        <f>4285*BH383</f>
        <v>38565</v>
      </c>
      <c r="BJ383" s="252">
        <v>9</v>
      </c>
      <c r="BK383" s="253">
        <v>2025</v>
      </c>
      <c r="BL383" s="267">
        <v>9</v>
      </c>
      <c r="BM383" s="268">
        <f>225*BL383</f>
        <v>2025</v>
      </c>
      <c r="BN383" s="252">
        <v>9</v>
      </c>
      <c r="BO383" s="253">
        <v>3618</v>
      </c>
      <c r="BP383" s="267">
        <v>9</v>
      </c>
      <c r="BQ383" s="268">
        <f>403*BP383</f>
        <v>3627</v>
      </c>
      <c r="BR383" s="252">
        <v>9</v>
      </c>
      <c r="BS383" s="253">
        <v>3771</v>
      </c>
      <c r="BT383" s="267">
        <v>9</v>
      </c>
      <c r="BU383" s="268">
        <f>403*BT383</f>
        <v>3627</v>
      </c>
      <c r="BV383" s="252"/>
      <c r="BW383" s="253"/>
      <c r="BX383" s="267"/>
      <c r="BY383" s="268"/>
      <c r="BZ383" s="252">
        <v>9</v>
      </c>
      <c r="CA383" s="253">
        <v>0</v>
      </c>
      <c r="CB383" s="267">
        <v>9</v>
      </c>
      <c r="CC383" s="268">
        <v>0</v>
      </c>
      <c r="CD383" s="255">
        <f t="shared" si="68"/>
        <v>9</v>
      </c>
      <c r="CE383" s="256">
        <f t="shared" si="69"/>
        <v>153477</v>
      </c>
      <c r="CF383" s="257">
        <f t="shared" si="70"/>
        <v>9</v>
      </c>
      <c r="CG383" s="261">
        <f t="shared" si="71"/>
        <v>184356</v>
      </c>
    </row>
    <row r="384" spans="1:85" s="263" customFormat="1" ht="12.75" customHeight="1">
      <c r="A384" s="248" t="s">
        <v>42</v>
      </c>
      <c r="B384" s="249" t="s">
        <v>260</v>
      </c>
      <c r="C384" s="249"/>
      <c r="D384" s="250">
        <v>207290</v>
      </c>
      <c r="E384" s="251">
        <v>10</v>
      </c>
      <c r="F384" s="252">
        <v>65</v>
      </c>
      <c r="G384" s="253">
        <v>211380</v>
      </c>
      <c r="H384" s="267">
        <v>56</v>
      </c>
      <c r="I384" s="268">
        <v>197008</v>
      </c>
      <c r="J384" s="252">
        <v>65</v>
      </c>
      <c r="K384" s="253">
        <v>306865</v>
      </c>
      <c r="L384" s="267">
        <v>56</v>
      </c>
      <c r="M384" s="268">
        <v>294504</v>
      </c>
      <c r="N384" s="252"/>
      <c r="O384" s="253"/>
      <c r="P384" s="267"/>
      <c r="Q384" s="268"/>
      <c r="R384" s="252">
        <v>65</v>
      </c>
      <c r="S384" s="253">
        <v>205530</v>
      </c>
      <c r="T384" s="267">
        <v>56</v>
      </c>
      <c r="U384" s="268">
        <v>175504</v>
      </c>
      <c r="V384" s="252">
        <v>65</v>
      </c>
      <c r="W384" s="253">
        <v>22750</v>
      </c>
      <c r="X384" s="267">
        <v>56</v>
      </c>
      <c r="Y384" s="268">
        <v>19600</v>
      </c>
      <c r="Z384" s="252">
        <v>65</v>
      </c>
      <c r="AA384" s="253">
        <v>20020</v>
      </c>
      <c r="AB384" s="267">
        <v>56</v>
      </c>
      <c r="AC384" s="268">
        <v>17080</v>
      </c>
      <c r="AD384" s="252">
        <v>65</v>
      </c>
      <c r="AE384" s="253">
        <v>39520</v>
      </c>
      <c r="AF384" s="267">
        <v>56</v>
      </c>
      <c r="AG384" s="268">
        <v>33768</v>
      </c>
      <c r="AH384" s="252"/>
      <c r="AI384" s="253"/>
      <c r="AJ384" s="267"/>
      <c r="AK384" s="268"/>
      <c r="AL384" s="252">
        <v>65</v>
      </c>
      <c r="AM384" s="253">
        <v>13195</v>
      </c>
      <c r="AN384" s="267">
        <v>56</v>
      </c>
      <c r="AO384" s="268">
        <v>11256</v>
      </c>
      <c r="AP384" s="255">
        <f t="shared" si="64"/>
        <v>65</v>
      </c>
      <c r="AQ384" s="256">
        <f t="shared" si="65"/>
        <v>819260</v>
      </c>
      <c r="AR384" s="257">
        <f t="shared" si="66"/>
        <v>56</v>
      </c>
      <c r="AS384" s="258">
        <f t="shared" si="67"/>
        <v>748720</v>
      </c>
      <c r="AT384" s="259">
        <v>5</v>
      </c>
      <c r="AU384" s="253">
        <v>22205</v>
      </c>
      <c r="AV384" s="267">
        <v>10</v>
      </c>
      <c r="AW384" s="268">
        <f>4645*AV384</f>
        <v>46450</v>
      </c>
      <c r="AX384" s="252">
        <v>5</v>
      </c>
      <c r="AY384" s="253">
        <v>23605</v>
      </c>
      <c r="AZ384" s="267">
        <v>10</v>
      </c>
      <c r="BA384" s="268">
        <f>5259*AZ384</f>
        <v>52590</v>
      </c>
      <c r="BB384" s="252"/>
      <c r="BC384" s="253"/>
      <c r="BD384" s="267"/>
      <c r="BE384" s="268"/>
      <c r="BF384" s="252">
        <v>5</v>
      </c>
      <c r="BG384" s="253">
        <v>20510</v>
      </c>
      <c r="BH384" s="267">
        <v>10</v>
      </c>
      <c r="BI384" s="268">
        <f>4122*BH384</f>
        <v>41220</v>
      </c>
      <c r="BJ384" s="252">
        <v>5</v>
      </c>
      <c r="BK384" s="253">
        <v>1750</v>
      </c>
      <c r="BL384" s="267">
        <v>10</v>
      </c>
      <c r="BM384" s="268">
        <f>350*BL384</f>
        <v>3500</v>
      </c>
      <c r="BN384" s="252">
        <v>5</v>
      </c>
      <c r="BO384" s="253">
        <v>1990</v>
      </c>
      <c r="BP384" s="267">
        <v>10</v>
      </c>
      <c r="BQ384" s="268">
        <f>418*BP384</f>
        <v>4180</v>
      </c>
      <c r="BR384" s="252">
        <v>5</v>
      </c>
      <c r="BS384" s="253">
        <v>3945</v>
      </c>
      <c r="BT384" s="267">
        <v>10</v>
      </c>
      <c r="BU384" s="268">
        <f>821*BT384</f>
        <v>8210</v>
      </c>
      <c r="BV384" s="252"/>
      <c r="BW384" s="253"/>
      <c r="BX384" s="267"/>
      <c r="BY384" s="268"/>
      <c r="BZ384" s="252">
        <v>5</v>
      </c>
      <c r="CA384" s="253">
        <v>1315</v>
      </c>
      <c r="CB384" s="267">
        <v>10</v>
      </c>
      <c r="CC384" s="268">
        <f>283*CB384</f>
        <v>2830</v>
      </c>
      <c r="CD384" s="255">
        <f t="shared" si="68"/>
        <v>5</v>
      </c>
      <c r="CE384" s="256">
        <f t="shared" si="69"/>
        <v>75320</v>
      </c>
      <c r="CF384" s="257">
        <f t="shared" si="70"/>
        <v>10</v>
      </c>
      <c r="CG384" s="261">
        <f t="shared" si="71"/>
        <v>158980</v>
      </c>
    </row>
    <row r="385" spans="1:85" s="263" customFormat="1" ht="12.75" customHeight="1">
      <c r="A385" s="248" t="s">
        <v>42</v>
      </c>
      <c r="B385" s="249" t="s">
        <v>261</v>
      </c>
      <c r="C385" s="249"/>
      <c r="D385" s="250">
        <v>207069</v>
      </c>
      <c r="E385" s="251">
        <v>10</v>
      </c>
      <c r="F385" s="252">
        <v>24</v>
      </c>
      <c r="G385" s="253">
        <v>181416</v>
      </c>
      <c r="H385" s="267">
        <v>23</v>
      </c>
      <c r="I385" s="268">
        <v>172776</v>
      </c>
      <c r="J385" s="252">
        <v>24</v>
      </c>
      <c r="K385" s="253">
        <v>153168</v>
      </c>
      <c r="L385" s="267">
        <v>23</v>
      </c>
      <c r="M385" s="268">
        <v>146096</v>
      </c>
      <c r="N385" s="252"/>
      <c r="O385" s="253"/>
      <c r="P385" s="267"/>
      <c r="Q385" s="268"/>
      <c r="R385" s="252">
        <v>24</v>
      </c>
      <c r="S385" s="253">
        <v>74064</v>
      </c>
      <c r="T385" s="267">
        <v>23</v>
      </c>
      <c r="U385" s="268">
        <v>69460</v>
      </c>
      <c r="V385" s="252">
        <v>24</v>
      </c>
      <c r="W385" s="253">
        <v>3504</v>
      </c>
      <c r="X385" s="267">
        <v>23</v>
      </c>
      <c r="Y385" s="268">
        <v>3864</v>
      </c>
      <c r="Z385" s="252">
        <v>24</v>
      </c>
      <c r="AA385" s="253">
        <v>2712</v>
      </c>
      <c r="AB385" s="267">
        <v>23</v>
      </c>
      <c r="AC385" s="268">
        <v>2530</v>
      </c>
      <c r="AD385" s="252">
        <v>24</v>
      </c>
      <c r="AE385" s="253">
        <v>9192</v>
      </c>
      <c r="AF385" s="267">
        <v>23</v>
      </c>
      <c r="AG385" s="268">
        <v>8832</v>
      </c>
      <c r="AH385" s="252"/>
      <c r="AI385" s="253"/>
      <c r="AJ385" s="267"/>
      <c r="AK385" s="268"/>
      <c r="AL385" s="252">
        <v>24</v>
      </c>
      <c r="AM385" s="253">
        <v>7440</v>
      </c>
      <c r="AN385" s="267">
        <v>23</v>
      </c>
      <c r="AO385" s="268">
        <v>7015</v>
      </c>
      <c r="AP385" s="255">
        <f t="shared" si="64"/>
        <v>24</v>
      </c>
      <c r="AQ385" s="256">
        <f t="shared" si="65"/>
        <v>431496</v>
      </c>
      <c r="AR385" s="257">
        <f t="shared" si="66"/>
        <v>23</v>
      </c>
      <c r="AS385" s="258">
        <f t="shared" si="67"/>
        <v>410573</v>
      </c>
      <c r="AT385" s="259">
        <v>6</v>
      </c>
      <c r="AU385" s="253">
        <v>53334</v>
      </c>
      <c r="AV385" s="267">
        <v>6</v>
      </c>
      <c r="AW385" s="268">
        <f>8803*AV385</f>
        <v>52818</v>
      </c>
      <c r="AX385" s="252">
        <v>6</v>
      </c>
      <c r="AY385" s="253">
        <v>38292</v>
      </c>
      <c r="AZ385" s="267">
        <v>6</v>
      </c>
      <c r="BA385" s="268">
        <f>6352*AZ385</f>
        <v>38112</v>
      </c>
      <c r="BB385" s="252"/>
      <c r="BC385" s="253"/>
      <c r="BD385" s="267"/>
      <c r="BE385" s="268"/>
      <c r="BF385" s="252">
        <v>6</v>
      </c>
      <c r="BG385" s="253">
        <v>21924</v>
      </c>
      <c r="BH385" s="267">
        <v>6</v>
      </c>
      <c r="BI385" s="268">
        <f>3618*BH385</f>
        <v>21708</v>
      </c>
      <c r="BJ385" s="252">
        <v>6</v>
      </c>
      <c r="BK385" s="253">
        <v>876</v>
      </c>
      <c r="BL385" s="267">
        <v>6</v>
      </c>
      <c r="BM385" s="268">
        <f>168*BL385</f>
        <v>1008</v>
      </c>
      <c r="BN385" s="252">
        <v>6</v>
      </c>
      <c r="BO385" s="253">
        <v>798</v>
      </c>
      <c r="BP385" s="267">
        <v>6</v>
      </c>
      <c r="BQ385" s="268">
        <f>132*BP385</f>
        <v>792</v>
      </c>
      <c r="BR385" s="252">
        <v>6</v>
      </c>
      <c r="BS385" s="253">
        <v>2724</v>
      </c>
      <c r="BT385" s="267">
        <v>6</v>
      </c>
      <c r="BU385" s="268">
        <f>460*BT385</f>
        <v>2760</v>
      </c>
      <c r="BV385" s="252"/>
      <c r="BW385" s="253"/>
      <c r="BX385" s="267"/>
      <c r="BY385" s="268"/>
      <c r="BZ385" s="252">
        <v>6</v>
      </c>
      <c r="CA385" s="253">
        <v>2118</v>
      </c>
      <c r="CB385" s="267">
        <v>6</v>
      </c>
      <c r="CC385" s="268">
        <f>350*CB385</f>
        <v>2100</v>
      </c>
      <c r="CD385" s="255">
        <f t="shared" si="68"/>
        <v>6</v>
      </c>
      <c r="CE385" s="256">
        <f t="shared" si="69"/>
        <v>120066</v>
      </c>
      <c r="CF385" s="257">
        <f t="shared" si="70"/>
        <v>6</v>
      </c>
      <c r="CG385" s="261">
        <f t="shared" si="71"/>
        <v>119298</v>
      </c>
    </row>
    <row r="386" spans="1:85" s="263" customFormat="1" ht="12.75" customHeight="1">
      <c r="A386" s="248" t="s">
        <v>42</v>
      </c>
      <c r="B386" s="249" t="s">
        <v>262</v>
      </c>
      <c r="C386" s="249"/>
      <c r="D386" s="250">
        <v>207740</v>
      </c>
      <c r="E386" s="434">
        <v>10</v>
      </c>
      <c r="F386" s="252">
        <v>38</v>
      </c>
      <c r="G386" s="253">
        <v>382926</v>
      </c>
      <c r="H386" s="267">
        <v>40</v>
      </c>
      <c r="I386" s="268">
        <v>416920</v>
      </c>
      <c r="J386" s="252">
        <v>38</v>
      </c>
      <c r="K386" s="253">
        <v>210710</v>
      </c>
      <c r="L386" s="267">
        <v>40</v>
      </c>
      <c r="M386" s="268">
        <v>243680</v>
      </c>
      <c r="N386" s="252"/>
      <c r="O386" s="253"/>
      <c r="P386" s="267"/>
      <c r="Q386" s="268"/>
      <c r="R386" s="252">
        <v>38</v>
      </c>
      <c r="S386" s="253">
        <v>126160</v>
      </c>
      <c r="T386" s="267">
        <v>40</v>
      </c>
      <c r="U386" s="268">
        <v>130080</v>
      </c>
      <c r="V386" s="252">
        <v>38</v>
      </c>
      <c r="W386" s="253">
        <v>6270</v>
      </c>
      <c r="X386" s="267">
        <v>40</v>
      </c>
      <c r="Y386" s="268">
        <v>6600</v>
      </c>
      <c r="Z386" s="252">
        <v>38</v>
      </c>
      <c r="AA386" s="253">
        <v>2964</v>
      </c>
      <c r="AB386" s="267">
        <v>40</v>
      </c>
      <c r="AC386" s="268">
        <v>3080</v>
      </c>
      <c r="AD386" s="252">
        <v>38</v>
      </c>
      <c r="AE386" s="253">
        <v>7030</v>
      </c>
      <c r="AF386" s="267">
        <v>40</v>
      </c>
      <c r="AG386" s="268">
        <v>12240</v>
      </c>
      <c r="AH386" s="252"/>
      <c r="AI386" s="253"/>
      <c r="AJ386" s="267"/>
      <c r="AK386" s="268"/>
      <c r="AL386" s="252">
        <v>38</v>
      </c>
      <c r="AM386" s="253">
        <v>13186</v>
      </c>
      <c r="AN386" s="267">
        <v>40</v>
      </c>
      <c r="AO386" s="268">
        <v>12240</v>
      </c>
      <c r="AP386" s="255">
        <f t="shared" si="64"/>
        <v>38</v>
      </c>
      <c r="AQ386" s="256">
        <f t="shared" si="65"/>
        <v>749246</v>
      </c>
      <c r="AR386" s="257">
        <f t="shared" si="66"/>
        <v>40</v>
      </c>
      <c r="AS386" s="258">
        <f t="shared" si="67"/>
        <v>824840</v>
      </c>
      <c r="AT386" s="259">
        <v>9</v>
      </c>
      <c r="AU386" s="253">
        <v>86463</v>
      </c>
      <c r="AV386" s="267">
        <v>7</v>
      </c>
      <c r="AW386" s="268">
        <f>11171*AV386</f>
        <v>78197</v>
      </c>
      <c r="AX386" s="252">
        <v>9</v>
      </c>
      <c r="AY386" s="253">
        <v>49905</v>
      </c>
      <c r="AZ386" s="267">
        <v>7</v>
      </c>
      <c r="BA386" s="268">
        <f>6092*AZ386</f>
        <v>42644</v>
      </c>
      <c r="BB386" s="252"/>
      <c r="BC386" s="253"/>
      <c r="BD386" s="267"/>
      <c r="BE386" s="268"/>
      <c r="BF386" s="252">
        <v>9</v>
      </c>
      <c r="BG386" s="253">
        <v>27819</v>
      </c>
      <c r="BH386" s="267">
        <v>7</v>
      </c>
      <c r="BI386" s="268">
        <f>3513*BH386</f>
        <v>24591</v>
      </c>
      <c r="BJ386" s="252">
        <v>9</v>
      </c>
      <c r="BK386" s="253">
        <v>1485</v>
      </c>
      <c r="BL386" s="267">
        <v>7</v>
      </c>
      <c r="BM386" s="268">
        <f>165*BL386</f>
        <v>1155</v>
      </c>
      <c r="BN386" s="252">
        <v>9</v>
      </c>
      <c r="BO386" s="253">
        <v>1746</v>
      </c>
      <c r="BP386" s="267">
        <v>7</v>
      </c>
      <c r="BQ386" s="268">
        <f>83*BP386</f>
        <v>581</v>
      </c>
      <c r="BR386" s="252">
        <v>9</v>
      </c>
      <c r="BS386" s="253">
        <v>1548</v>
      </c>
      <c r="BT386" s="267">
        <v>7</v>
      </c>
      <c r="BU386" s="268">
        <f>284*BT386</f>
        <v>1988</v>
      </c>
      <c r="BV386" s="252"/>
      <c r="BW386" s="253"/>
      <c r="BX386" s="267"/>
      <c r="BY386" s="268"/>
      <c r="BZ386" s="252">
        <v>9</v>
      </c>
      <c r="CA386" s="253">
        <v>2907</v>
      </c>
      <c r="CB386" s="267">
        <v>7</v>
      </c>
      <c r="CC386" s="268">
        <f>306*CB386</f>
        <v>2142</v>
      </c>
      <c r="CD386" s="255">
        <f t="shared" si="68"/>
        <v>9</v>
      </c>
      <c r="CE386" s="256">
        <f t="shared" si="69"/>
        <v>171873</v>
      </c>
      <c r="CF386" s="257">
        <f t="shared" si="70"/>
        <v>7</v>
      </c>
      <c r="CG386" s="261">
        <f t="shared" si="71"/>
        <v>151298</v>
      </c>
    </row>
    <row r="387" spans="1:85" s="263" customFormat="1" ht="12.75" customHeight="1">
      <c r="A387" s="248" t="s">
        <v>42</v>
      </c>
      <c r="B387" s="249" t="s">
        <v>263</v>
      </c>
      <c r="C387" s="249"/>
      <c r="D387" s="250">
        <v>208035</v>
      </c>
      <c r="E387" s="434">
        <v>10</v>
      </c>
      <c r="F387" s="252">
        <v>37</v>
      </c>
      <c r="G387" s="253">
        <v>331483</v>
      </c>
      <c r="H387" s="267">
        <v>37</v>
      </c>
      <c r="I387" s="268">
        <v>336071</v>
      </c>
      <c r="J387" s="252">
        <v>37</v>
      </c>
      <c r="K387" s="253">
        <v>205165</v>
      </c>
      <c r="L387" s="267">
        <v>37</v>
      </c>
      <c r="M387" s="268">
        <v>225441</v>
      </c>
      <c r="N387" s="252"/>
      <c r="O387" s="253"/>
      <c r="P387" s="267"/>
      <c r="Q387" s="268"/>
      <c r="R387" s="252">
        <v>37</v>
      </c>
      <c r="S387" s="253">
        <v>101898</v>
      </c>
      <c r="T387" s="267">
        <v>37</v>
      </c>
      <c r="U387" s="268">
        <v>102231</v>
      </c>
      <c r="V387" s="252">
        <v>37</v>
      </c>
      <c r="W387" s="253">
        <v>3737</v>
      </c>
      <c r="X387" s="267">
        <v>37</v>
      </c>
      <c r="Y387" s="268">
        <v>3737</v>
      </c>
      <c r="Z387" s="252">
        <v>37</v>
      </c>
      <c r="AA387" s="253">
        <v>7918</v>
      </c>
      <c r="AB387" s="267">
        <v>37</v>
      </c>
      <c r="AC387" s="268">
        <v>7992</v>
      </c>
      <c r="AD387" s="252">
        <v>37</v>
      </c>
      <c r="AE387" s="253">
        <v>18500</v>
      </c>
      <c r="AF387" s="267">
        <v>37</v>
      </c>
      <c r="AG387" s="268">
        <v>29600</v>
      </c>
      <c r="AH387" s="252"/>
      <c r="AI387" s="253"/>
      <c r="AJ387" s="267"/>
      <c r="AK387" s="268"/>
      <c r="AL387" s="252">
        <v>37</v>
      </c>
      <c r="AM387" s="253">
        <v>11840</v>
      </c>
      <c r="AN387" s="267">
        <v>37</v>
      </c>
      <c r="AO387" s="268">
        <v>11877</v>
      </c>
      <c r="AP387" s="255">
        <f t="shared" si="64"/>
        <v>37</v>
      </c>
      <c r="AQ387" s="256">
        <f t="shared" si="65"/>
        <v>680541</v>
      </c>
      <c r="AR387" s="257">
        <f t="shared" si="66"/>
        <v>37</v>
      </c>
      <c r="AS387" s="258">
        <f t="shared" si="67"/>
        <v>716949</v>
      </c>
      <c r="AT387" s="259">
        <v>4</v>
      </c>
      <c r="AU387" s="253">
        <v>41060</v>
      </c>
      <c r="AV387" s="267">
        <v>4</v>
      </c>
      <c r="AW387" s="268">
        <f>10744*AV387</f>
        <v>42976</v>
      </c>
      <c r="AX387" s="252">
        <v>4</v>
      </c>
      <c r="AY387" s="253">
        <v>22180</v>
      </c>
      <c r="AZ387" s="267">
        <v>4</v>
      </c>
      <c r="BA387" s="268">
        <f>6093*AZ387</f>
        <v>24372</v>
      </c>
      <c r="BB387" s="252"/>
      <c r="BC387" s="253"/>
      <c r="BD387" s="267"/>
      <c r="BE387" s="268"/>
      <c r="BF387" s="252">
        <v>4</v>
      </c>
      <c r="BG387" s="253">
        <v>12820</v>
      </c>
      <c r="BH387" s="267">
        <v>4</v>
      </c>
      <c r="BI387" s="268">
        <f>3336*BH387</f>
        <v>13344</v>
      </c>
      <c r="BJ387" s="252">
        <v>4</v>
      </c>
      <c r="BK387" s="253">
        <v>404</v>
      </c>
      <c r="BL387" s="267">
        <v>4</v>
      </c>
      <c r="BM387" s="268">
        <f>101*BL387</f>
        <v>404</v>
      </c>
      <c r="BN387" s="252">
        <v>4</v>
      </c>
      <c r="BO387" s="253">
        <v>988</v>
      </c>
      <c r="BP387" s="267">
        <v>4</v>
      </c>
      <c r="BQ387" s="268">
        <f>259*BP387</f>
        <v>1036</v>
      </c>
      <c r="BR387" s="252">
        <v>4</v>
      </c>
      <c r="BS387" s="253">
        <v>2000</v>
      </c>
      <c r="BT387" s="267">
        <v>4</v>
      </c>
      <c r="BU387" s="268">
        <f>259*BT387</f>
        <v>1036</v>
      </c>
      <c r="BV387" s="252"/>
      <c r="BW387" s="253"/>
      <c r="BX387" s="267"/>
      <c r="BY387" s="268"/>
      <c r="BZ387" s="252">
        <v>4</v>
      </c>
      <c r="CA387" s="253">
        <v>1488</v>
      </c>
      <c r="CB387" s="267">
        <v>4</v>
      </c>
      <c r="CC387" s="268">
        <f>388*CB387</f>
        <v>1552</v>
      </c>
      <c r="CD387" s="255">
        <f t="shared" si="68"/>
        <v>4</v>
      </c>
      <c r="CE387" s="256">
        <f t="shared" si="69"/>
        <v>80940</v>
      </c>
      <c r="CF387" s="257">
        <f t="shared" si="70"/>
        <v>4</v>
      </c>
      <c r="CG387" s="261">
        <f t="shared" si="71"/>
        <v>84720</v>
      </c>
    </row>
    <row r="388" spans="1:85" s="263" customFormat="1" ht="12.75" customHeight="1">
      <c r="A388" s="435" t="s">
        <v>42</v>
      </c>
      <c r="B388" s="436" t="s">
        <v>1256</v>
      </c>
      <c r="C388" s="519"/>
      <c r="D388" s="522">
        <v>365374</v>
      </c>
      <c r="E388" s="358">
        <v>12</v>
      </c>
      <c r="F388" s="252">
        <v>39</v>
      </c>
      <c r="G388" s="253">
        <v>152548</v>
      </c>
      <c r="H388" s="267">
        <v>39</v>
      </c>
      <c r="I388" s="268">
        <v>156435</v>
      </c>
      <c r="J388" s="252">
        <v>38</v>
      </c>
      <c r="K388" s="253">
        <v>194458</v>
      </c>
      <c r="L388" s="267"/>
      <c r="M388" s="268"/>
      <c r="N388" s="252"/>
      <c r="O388" s="253"/>
      <c r="P388" s="267"/>
      <c r="Q388" s="268"/>
      <c r="R388" s="252"/>
      <c r="S388" s="253"/>
      <c r="T388" s="267"/>
      <c r="U388" s="268"/>
      <c r="V388" s="252"/>
      <c r="W388" s="253"/>
      <c r="X388" s="267"/>
      <c r="Y388" s="268"/>
      <c r="Z388" s="252"/>
      <c r="AA388" s="253"/>
      <c r="AB388" s="267"/>
      <c r="AC388" s="268"/>
      <c r="AD388" s="252"/>
      <c r="AE388" s="253"/>
      <c r="AF388" s="267"/>
      <c r="AG388" s="268"/>
      <c r="AH388" s="252"/>
      <c r="AI388" s="253"/>
      <c r="AJ388" s="267"/>
      <c r="AK388" s="268"/>
      <c r="AL388" s="252">
        <v>39</v>
      </c>
      <c r="AM388" s="253">
        <v>24112</v>
      </c>
      <c r="AN388" s="267">
        <v>39</v>
      </c>
      <c r="AO388" s="268">
        <v>75086</v>
      </c>
      <c r="AP388" s="255">
        <f t="shared" si="64"/>
        <v>39</v>
      </c>
      <c r="AQ388" s="256">
        <f t="shared" si="65"/>
        <v>371118</v>
      </c>
      <c r="AR388" s="257">
        <f t="shared" si="66"/>
        <v>39</v>
      </c>
      <c r="AS388" s="258">
        <f t="shared" si="67"/>
        <v>231521</v>
      </c>
      <c r="AT388" s="259">
        <v>14</v>
      </c>
      <c r="AU388" s="253">
        <v>65273</v>
      </c>
      <c r="AV388" s="267">
        <v>15</v>
      </c>
      <c r="AW388" s="268">
        <v>73395</v>
      </c>
      <c r="AX388" s="252">
        <v>14</v>
      </c>
      <c r="AY388" s="253">
        <v>71568</v>
      </c>
      <c r="AZ388" s="267">
        <v>15</v>
      </c>
      <c r="BA388" s="268">
        <v>65565</v>
      </c>
      <c r="BB388" s="252"/>
      <c r="BC388" s="253"/>
      <c r="BD388" s="267"/>
      <c r="BE388" s="268"/>
      <c r="BF388" s="252"/>
      <c r="BG388" s="253"/>
      <c r="BH388" s="267"/>
      <c r="BI388" s="268"/>
      <c r="BJ388" s="252"/>
      <c r="BK388" s="253"/>
      <c r="BL388" s="267"/>
      <c r="BM388" s="268"/>
      <c r="BN388" s="252"/>
      <c r="BO388" s="253"/>
      <c r="BP388" s="267"/>
      <c r="BQ388" s="268"/>
      <c r="BR388" s="252"/>
      <c r="BS388" s="253"/>
      <c r="BT388" s="267"/>
      <c r="BU388" s="268"/>
      <c r="BV388" s="252"/>
      <c r="BW388" s="253"/>
      <c r="BX388" s="267"/>
      <c r="BY388" s="268"/>
      <c r="BZ388" s="252">
        <v>14</v>
      </c>
      <c r="CA388" s="253">
        <v>8716</v>
      </c>
      <c r="CB388" s="267">
        <v>15</v>
      </c>
      <c r="CC388" s="268">
        <v>29674</v>
      </c>
      <c r="CD388" s="255">
        <f t="shared" si="68"/>
        <v>14</v>
      </c>
      <c r="CE388" s="256">
        <f t="shared" si="69"/>
        <v>145557</v>
      </c>
      <c r="CF388" s="257">
        <f t="shared" si="70"/>
        <v>15</v>
      </c>
      <c r="CG388" s="261">
        <f t="shared" si="71"/>
        <v>168634</v>
      </c>
    </row>
    <row r="389" spans="1:85" s="263" customFormat="1" ht="12.75" customHeight="1">
      <c r="A389" s="435" t="s">
        <v>42</v>
      </c>
      <c r="B389" s="356" t="s">
        <v>1257</v>
      </c>
      <c r="C389" s="497"/>
      <c r="D389" s="522">
        <v>245999</v>
      </c>
      <c r="E389" s="358">
        <v>12</v>
      </c>
      <c r="F389" s="252">
        <v>75</v>
      </c>
      <c r="G389" s="253">
        <v>375258</v>
      </c>
      <c r="H389" s="267">
        <v>76</v>
      </c>
      <c r="I389" s="268">
        <v>381855</v>
      </c>
      <c r="J389" s="252">
        <v>71</v>
      </c>
      <c r="K389" s="253">
        <v>371980</v>
      </c>
      <c r="L389" s="267"/>
      <c r="M389" s="268"/>
      <c r="N389" s="252"/>
      <c r="O389" s="253"/>
      <c r="P389" s="267"/>
      <c r="Q389" s="268"/>
      <c r="R389" s="252"/>
      <c r="S389" s="253"/>
      <c r="T389" s="267"/>
      <c r="U389" s="268"/>
      <c r="V389" s="252"/>
      <c r="W389" s="253"/>
      <c r="X389" s="267"/>
      <c r="Y389" s="268"/>
      <c r="Z389" s="252"/>
      <c r="AA389" s="253"/>
      <c r="AB389" s="267"/>
      <c r="AC389" s="268"/>
      <c r="AD389" s="252"/>
      <c r="AE389" s="253"/>
      <c r="AF389" s="267"/>
      <c r="AG389" s="268"/>
      <c r="AH389" s="252"/>
      <c r="AI389" s="253"/>
      <c r="AJ389" s="267"/>
      <c r="AK389" s="268"/>
      <c r="AL389" s="252">
        <v>75</v>
      </c>
      <c r="AM389" s="253">
        <v>249278</v>
      </c>
      <c r="AN389" s="267">
        <v>76</v>
      </c>
      <c r="AO389" s="268">
        <v>254212</v>
      </c>
      <c r="AP389" s="255">
        <f t="shared" si="64"/>
        <v>75</v>
      </c>
      <c r="AQ389" s="256">
        <f t="shared" si="65"/>
        <v>996516</v>
      </c>
      <c r="AR389" s="257">
        <f t="shared" si="66"/>
        <v>76</v>
      </c>
      <c r="AS389" s="258">
        <f t="shared" si="67"/>
        <v>636067</v>
      </c>
      <c r="AT389" s="259">
        <v>21</v>
      </c>
      <c r="AU389" s="253">
        <v>117608</v>
      </c>
      <c r="AV389" s="267">
        <v>22</v>
      </c>
      <c r="AW389" s="268">
        <v>122608</v>
      </c>
      <c r="AX389" s="252">
        <v>20</v>
      </c>
      <c r="AY389" s="253">
        <v>106800</v>
      </c>
      <c r="AZ389" s="267">
        <v>21</v>
      </c>
      <c r="BA389" s="268">
        <v>109200</v>
      </c>
      <c r="BB389" s="252"/>
      <c r="BC389" s="253"/>
      <c r="BD389" s="267"/>
      <c r="BE389" s="268"/>
      <c r="BF389" s="252"/>
      <c r="BG389" s="253"/>
      <c r="BH389" s="267"/>
      <c r="BI389" s="268"/>
      <c r="BJ389" s="252"/>
      <c r="BK389" s="253"/>
      <c r="BL389" s="267"/>
      <c r="BM389" s="268"/>
      <c r="BN389" s="252"/>
      <c r="BO389" s="253"/>
      <c r="BP389" s="267"/>
      <c r="BQ389" s="268"/>
      <c r="BR389" s="252"/>
      <c r="BS389" s="253"/>
      <c r="BT389" s="267"/>
      <c r="BU389" s="268"/>
      <c r="BV389" s="252"/>
      <c r="BW389" s="253"/>
      <c r="BX389" s="267"/>
      <c r="BY389" s="268"/>
      <c r="BZ389" s="252">
        <v>21</v>
      </c>
      <c r="CA389" s="253">
        <v>71860</v>
      </c>
      <c r="CB389" s="267">
        <v>22</v>
      </c>
      <c r="CC389" s="268">
        <v>74860</v>
      </c>
      <c r="CD389" s="255">
        <f t="shared" si="68"/>
        <v>21</v>
      </c>
      <c r="CE389" s="256">
        <f t="shared" si="69"/>
        <v>296268</v>
      </c>
      <c r="CF389" s="257">
        <f t="shared" si="70"/>
        <v>22</v>
      </c>
      <c r="CG389" s="261">
        <f t="shared" si="71"/>
        <v>306668</v>
      </c>
    </row>
    <row r="390" spans="1:85" s="263" customFormat="1" ht="12.75" customHeight="1">
      <c r="A390" s="435" t="s">
        <v>42</v>
      </c>
      <c r="B390" s="356" t="s">
        <v>1258</v>
      </c>
      <c r="C390" s="497" t="s">
        <v>1259</v>
      </c>
      <c r="D390" s="522">
        <v>364548</v>
      </c>
      <c r="E390" s="358">
        <v>12</v>
      </c>
      <c r="F390" s="252">
        <v>32</v>
      </c>
      <c r="G390" s="253">
        <v>112589</v>
      </c>
      <c r="H390" s="267">
        <v>30</v>
      </c>
      <c r="I390" s="268">
        <v>109196</v>
      </c>
      <c r="J390" s="252">
        <v>32</v>
      </c>
      <c r="K390" s="253">
        <v>165067</v>
      </c>
      <c r="L390" s="267"/>
      <c r="M390" s="268"/>
      <c r="N390" s="252"/>
      <c r="O390" s="253"/>
      <c r="P390" s="267"/>
      <c r="Q390" s="268"/>
      <c r="R390" s="252"/>
      <c r="S390" s="253"/>
      <c r="T390" s="267"/>
      <c r="U390" s="268"/>
      <c r="V390" s="252"/>
      <c r="W390" s="253"/>
      <c r="X390" s="267"/>
      <c r="Y390" s="268"/>
      <c r="Z390" s="252"/>
      <c r="AA390" s="253"/>
      <c r="AB390" s="267"/>
      <c r="AC390" s="268"/>
      <c r="AD390" s="252"/>
      <c r="AE390" s="253"/>
      <c r="AF390" s="267"/>
      <c r="AG390" s="268"/>
      <c r="AH390" s="252"/>
      <c r="AI390" s="253"/>
      <c r="AJ390" s="267"/>
      <c r="AK390" s="268"/>
      <c r="AL390" s="252">
        <v>32</v>
      </c>
      <c r="AM390" s="253">
        <v>34585</v>
      </c>
      <c r="AN390" s="267">
        <v>31</v>
      </c>
      <c r="AO390" s="268">
        <v>30046</v>
      </c>
      <c r="AP390" s="255">
        <f t="shared" si="64"/>
        <v>32</v>
      </c>
      <c r="AQ390" s="256">
        <f t="shared" si="65"/>
        <v>312241</v>
      </c>
      <c r="AR390" s="257">
        <f t="shared" si="66"/>
        <v>31</v>
      </c>
      <c r="AS390" s="258">
        <f t="shared" si="67"/>
        <v>139242</v>
      </c>
      <c r="AT390" s="259">
        <v>21</v>
      </c>
      <c r="AU390" s="253">
        <v>79018</v>
      </c>
      <c r="AV390" s="267">
        <v>22</v>
      </c>
      <c r="AW390" s="268">
        <v>84750</v>
      </c>
      <c r="AX390" s="252">
        <v>19</v>
      </c>
      <c r="AY390" s="253">
        <v>97792</v>
      </c>
      <c r="AZ390" s="267">
        <v>19</v>
      </c>
      <c r="BA390" s="268">
        <v>100053</v>
      </c>
      <c r="BB390" s="252"/>
      <c r="BC390" s="253"/>
      <c r="BD390" s="267"/>
      <c r="BE390" s="268"/>
      <c r="BF390" s="252"/>
      <c r="BG390" s="253"/>
      <c r="BH390" s="267"/>
      <c r="BI390" s="268"/>
      <c r="BJ390" s="252"/>
      <c r="BK390" s="253"/>
      <c r="BL390" s="267"/>
      <c r="BM390" s="268"/>
      <c r="BN390" s="252"/>
      <c r="BO390" s="253"/>
      <c r="BP390" s="267"/>
      <c r="BQ390" s="268"/>
      <c r="BR390" s="252"/>
      <c r="BS390" s="253"/>
      <c r="BT390" s="267"/>
      <c r="BU390" s="268"/>
      <c r="BV390" s="252"/>
      <c r="BW390" s="253"/>
      <c r="BX390" s="267"/>
      <c r="BY390" s="268"/>
      <c r="BZ390" s="252">
        <v>21</v>
      </c>
      <c r="CA390" s="253">
        <v>17888</v>
      </c>
      <c r="CB390" s="267">
        <v>22</v>
      </c>
      <c r="CC390" s="268">
        <v>19362</v>
      </c>
      <c r="CD390" s="255">
        <f t="shared" si="68"/>
        <v>21</v>
      </c>
      <c r="CE390" s="256">
        <f t="shared" si="69"/>
        <v>194698</v>
      </c>
      <c r="CF390" s="257">
        <f t="shared" si="70"/>
        <v>22</v>
      </c>
      <c r="CG390" s="261">
        <f t="shared" si="71"/>
        <v>204165</v>
      </c>
    </row>
    <row r="391" spans="1:85" s="263" customFormat="1" ht="12.75" customHeight="1">
      <c r="A391" s="435" t="s">
        <v>42</v>
      </c>
      <c r="B391" s="356" t="s">
        <v>1260</v>
      </c>
      <c r="C391" s="497"/>
      <c r="D391" s="522">
        <v>363165</v>
      </c>
      <c r="E391" s="358">
        <v>12</v>
      </c>
      <c r="F391" s="252">
        <v>34</v>
      </c>
      <c r="G391" s="253">
        <v>135564</v>
      </c>
      <c r="H391" s="267">
        <v>32</v>
      </c>
      <c r="I391" s="268">
        <v>123345</v>
      </c>
      <c r="J391" s="252">
        <v>34</v>
      </c>
      <c r="K391" s="253">
        <v>222210</v>
      </c>
      <c r="L391" s="267"/>
      <c r="M391" s="268"/>
      <c r="N391" s="252"/>
      <c r="O391" s="253"/>
      <c r="P391" s="267"/>
      <c r="Q391" s="268"/>
      <c r="R391" s="252"/>
      <c r="S391" s="253"/>
      <c r="T391" s="267"/>
      <c r="U391" s="268"/>
      <c r="V391" s="252"/>
      <c r="W391" s="253"/>
      <c r="X391" s="267"/>
      <c r="Y391" s="268"/>
      <c r="Z391" s="252"/>
      <c r="AA391" s="253"/>
      <c r="AB391" s="267"/>
      <c r="AC391" s="268"/>
      <c r="AD391" s="252"/>
      <c r="AE391" s="253"/>
      <c r="AF391" s="267"/>
      <c r="AG391" s="268"/>
      <c r="AH391" s="252"/>
      <c r="AI391" s="253"/>
      <c r="AJ391" s="267"/>
      <c r="AK391" s="268"/>
      <c r="AL391" s="252">
        <v>34</v>
      </c>
      <c r="AM391" s="253">
        <v>10281</v>
      </c>
      <c r="AN391" s="267">
        <v>32</v>
      </c>
      <c r="AO391" s="268">
        <v>7973</v>
      </c>
      <c r="AP391" s="255">
        <f t="shared" si="64"/>
        <v>34</v>
      </c>
      <c r="AQ391" s="256">
        <f t="shared" si="65"/>
        <v>368055</v>
      </c>
      <c r="AR391" s="257">
        <f t="shared" si="66"/>
        <v>32</v>
      </c>
      <c r="AS391" s="258">
        <f t="shared" si="67"/>
        <v>131318</v>
      </c>
      <c r="AT391" s="259">
        <v>30</v>
      </c>
      <c r="AU391" s="253">
        <v>130941</v>
      </c>
      <c r="AV391" s="267">
        <v>34</v>
      </c>
      <c r="AW391" s="268">
        <v>144894</v>
      </c>
      <c r="AX391" s="252">
        <v>30</v>
      </c>
      <c r="AY391" s="253">
        <v>196954</v>
      </c>
      <c r="AZ391" s="267">
        <v>34</v>
      </c>
      <c r="BA391" s="268">
        <v>248880</v>
      </c>
      <c r="BB391" s="252"/>
      <c r="BC391" s="253"/>
      <c r="BD391" s="267"/>
      <c r="BE391" s="268"/>
      <c r="BF391" s="252"/>
      <c r="BG391" s="253"/>
      <c r="BH391" s="267"/>
      <c r="BI391" s="268"/>
      <c r="BJ391" s="252"/>
      <c r="BK391" s="253"/>
      <c r="BL391" s="267"/>
      <c r="BM391" s="268"/>
      <c r="BN391" s="252"/>
      <c r="BO391" s="253"/>
      <c r="BP391" s="267"/>
      <c r="BQ391" s="268"/>
      <c r="BR391" s="252"/>
      <c r="BS391" s="253"/>
      <c r="BT391" s="267"/>
      <c r="BU391" s="268"/>
      <c r="BV391" s="252"/>
      <c r="BW391" s="253"/>
      <c r="BX391" s="267"/>
      <c r="BY391" s="268"/>
      <c r="BZ391" s="252">
        <v>30</v>
      </c>
      <c r="CA391" s="253">
        <v>8697</v>
      </c>
      <c r="CB391" s="267">
        <v>34</v>
      </c>
      <c r="CC391" s="268">
        <v>10016</v>
      </c>
      <c r="CD391" s="255">
        <f t="shared" si="68"/>
        <v>30</v>
      </c>
      <c r="CE391" s="256">
        <f t="shared" si="69"/>
        <v>336592</v>
      </c>
      <c r="CF391" s="257">
        <f t="shared" si="70"/>
        <v>34</v>
      </c>
      <c r="CG391" s="261">
        <f t="shared" si="71"/>
        <v>403790</v>
      </c>
    </row>
    <row r="392" spans="1:85" s="263" customFormat="1" ht="12.75" customHeight="1">
      <c r="A392" s="435" t="s">
        <v>42</v>
      </c>
      <c r="B392" s="437" t="s">
        <v>1261</v>
      </c>
      <c r="C392" s="520" t="s">
        <v>1259</v>
      </c>
      <c r="D392" s="523">
        <v>261393</v>
      </c>
      <c r="E392" s="358">
        <v>12</v>
      </c>
      <c r="F392" s="252"/>
      <c r="G392" s="253"/>
      <c r="H392" s="267"/>
      <c r="I392" s="268"/>
      <c r="J392" s="252"/>
      <c r="K392" s="253"/>
      <c r="L392" s="267"/>
      <c r="M392" s="268"/>
      <c r="N392" s="252"/>
      <c r="O392" s="253"/>
      <c r="P392" s="267"/>
      <c r="Q392" s="268"/>
      <c r="R392" s="252"/>
      <c r="S392" s="253"/>
      <c r="T392" s="267"/>
      <c r="U392" s="268"/>
      <c r="V392" s="252"/>
      <c r="W392" s="253"/>
      <c r="X392" s="267"/>
      <c r="Y392" s="268"/>
      <c r="Z392" s="252"/>
      <c r="AA392" s="253"/>
      <c r="AB392" s="267"/>
      <c r="AC392" s="268"/>
      <c r="AD392" s="252"/>
      <c r="AE392" s="253"/>
      <c r="AF392" s="267"/>
      <c r="AG392" s="268"/>
      <c r="AH392" s="252"/>
      <c r="AI392" s="253"/>
      <c r="AJ392" s="267"/>
      <c r="AK392" s="268"/>
      <c r="AL392" s="252"/>
      <c r="AM392" s="253"/>
      <c r="AN392" s="267"/>
      <c r="AO392" s="268"/>
      <c r="AP392" s="255">
        <f t="shared" si="64"/>
        <v>0</v>
      </c>
      <c r="AQ392" s="256">
        <f t="shared" si="65"/>
        <v>0</v>
      </c>
      <c r="AR392" s="257">
        <f t="shared" si="66"/>
        <v>0</v>
      </c>
      <c r="AS392" s="258">
        <f t="shared" si="67"/>
        <v>0</v>
      </c>
      <c r="AT392" s="259">
        <v>36</v>
      </c>
      <c r="AU392" s="253">
        <v>187509</v>
      </c>
      <c r="AV392" s="267">
        <v>36</v>
      </c>
      <c r="AW392" s="268">
        <v>187509</v>
      </c>
      <c r="AX392" s="252"/>
      <c r="AY392" s="253"/>
      <c r="AZ392" s="267">
        <v>36</v>
      </c>
      <c r="BA392" s="268">
        <v>283597</v>
      </c>
      <c r="BB392" s="252"/>
      <c r="BC392" s="253"/>
      <c r="BD392" s="267"/>
      <c r="BE392" s="268"/>
      <c r="BF392" s="252"/>
      <c r="BG392" s="253"/>
      <c r="BH392" s="267"/>
      <c r="BI392" s="268"/>
      <c r="BJ392" s="252"/>
      <c r="BK392" s="253"/>
      <c r="BL392" s="267"/>
      <c r="BM392" s="268"/>
      <c r="BN392" s="252"/>
      <c r="BO392" s="253"/>
      <c r="BP392" s="267"/>
      <c r="BQ392" s="268"/>
      <c r="BR392" s="252"/>
      <c r="BS392" s="253"/>
      <c r="BT392" s="267"/>
      <c r="BU392" s="268"/>
      <c r="BV392" s="252"/>
      <c r="BW392" s="253"/>
      <c r="BX392" s="267"/>
      <c r="BY392" s="268"/>
      <c r="BZ392" s="252">
        <v>36</v>
      </c>
      <c r="CA392" s="253">
        <v>224177</v>
      </c>
      <c r="CB392" s="267">
        <v>20</v>
      </c>
      <c r="CC392" s="268">
        <v>130708</v>
      </c>
      <c r="CD392" s="255">
        <f t="shared" si="68"/>
        <v>36</v>
      </c>
      <c r="CE392" s="256">
        <f t="shared" si="69"/>
        <v>411686</v>
      </c>
      <c r="CF392" s="257">
        <f t="shared" si="70"/>
        <v>36</v>
      </c>
      <c r="CG392" s="261">
        <f t="shared" si="71"/>
        <v>601814</v>
      </c>
    </row>
    <row r="393" spans="1:85" s="263" customFormat="1" ht="12.75" customHeight="1">
      <c r="A393" s="435" t="s">
        <v>42</v>
      </c>
      <c r="B393" s="356" t="s">
        <v>1262</v>
      </c>
      <c r="C393" s="497"/>
      <c r="D393" s="522">
        <v>365213</v>
      </c>
      <c r="E393" s="358">
        <v>13</v>
      </c>
      <c r="F393" s="252">
        <v>15</v>
      </c>
      <c r="G393" s="253">
        <v>47872</v>
      </c>
      <c r="H393" s="267">
        <v>18</v>
      </c>
      <c r="I393" s="268">
        <v>55129</v>
      </c>
      <c r="J393" s="252">
        <v>15</v>
      </c>
      <c r="K393" s="253">
        <v>77178</v>
      </c>
      <c r="L393" s="267">
        <v>18</v>
      </c>
      <c r="M393" s="268">
        <v>93114</v>
      </c>
      <c r="N393" s="252"/>
      <c r="O393" s="253"/>
      <c r="P393" s="267"/>
      <c r="Q393" s="268"/>
      <c r="R393" s="252"/>
      <c r="S393" s="253"/>
      <c r="T393" s="267"/>
      <c r="U393" s="268"/>
      <c r="V393" s="252"/>
      <c r="W393" s="253"/>
      <c r="X393" s="267"/>
      <c r="Y393" s="268"/>
      <c r="Z393" s="252"/>
      <c r="AA393" s="253"/>
      <c r="AB393" s="267"/>
      <c r="AC393" s="268"/>
      <c r="AD393" s="252"/>
      <c r="AE393" s="253"/>
      <c r="AF393" s="267"/>
      <c r="AG393" s="268"/>
      <c r="AH393" s="252"/>
      <c r="AI393" s="253"/>
      <c r="AJ393" s="267"/>
      <c r="AK393" s="268"/>
      <c r="AL393" s="252">
        <v>15</v>
      </c>
      <c r="AM393" s="253">
        <v>19407</v>
      </c>
      <c r="AN393" s="267">
        <v>18</v>
      </c>
      <c r="AO393" s="268">
        <v>21912</v>
      </c>
      <c r="AP393" s="255">
        <f t="shared" si="64"/>
        <v>15</v>
      </c>
      <c r="AQ393" s="256">
        <f t="shared" si="65"/>
        <v>144457</v>
      </c>
      <c r="AR393" s="257">
        <f t="shared" si="66"/>
        <v>18</v>
      </c>
      <c r="AS393" s="258">
        <f t="shared" si="67"/>
        <v>170155</v>
      </c>
      <c r="AT393" s="259">
        <v>14</v>
      </c>
      <c r="AU393" s="253">
        <v>57206</v>
      </c>
      <c r="AV393" s="267">
        <v>13</v>
      </c>
      <c r="AW393" s="268">
        <v>52948</v>
      </c>
      <c r="AX393" s="252">
        <v>14</v>
      </c>
      <c r="AY393" s="253">
        <v>72032</v>
      </c>
      <c r="AZ393" s="267">
        <v>13</v>
      </c>
      <c r="BA393" s="268">
        <v>66887</v>
      </c>
      <c r="BB393" s="252"/>
      <c r="BC393" s="253"/>
      <c r="BD393" s="267"/>
      <c r="BE393" s="268"/>
      <c r="BF393" s="252"/>
      <c r="BG393" s="253"/>
      <c r="BH393" s="267"/>
      <c r="BI393" s="268"/>
      <c r="BJ393" s="252"/>
      <c r="BK393" s="253"/>
      <c r="BL393" s="267"/>
      <c r="BM393" s="268"/>
      <c r="BN393" s="252"/>
      <c r="BO393" s="253"/>
      <c r="BP393" s="267"/>
      <c r="BQ393" s="268"/>
      <c r="BR393" s="252"/>
      <c r="BS393" s="253"/>
      <c r="BT393" s="267"/>
      <c r="BU393" s="268"/>
      <c r="BV393" s="252"/>
      <c r="BW393" s="253"/>
      <c r="BX393" s="267"/>
      <c r="BY393" s="268"/>
      <c r="BZ393" s="252">
        <v>14</v>
      </c>
      <c r="CA393" s="253">
        <v>18106</v>
      </c>
      <c r="CB393" s="267">
        <v>13</v>
      </c>
      <c r="CC393" s="268">
        <v>16770</v>
      </c>
      <c r="CD393" s="255">
        <f t="shared" si="68"/>
        <v>14</v>
      </c>
      <c r="CE393" s="256">
        <f t="shared" si="69"/>
        <v>147344</v>
      </c>
      <c r="CF393" s="257">
        <f t="shared" si="70"/>
        <v>13</v>
      </c>
      <c r="CG393" s="261">
        <f t="shared" si="71"/>
        <v>136605</v>
      </c>
    </row>
    <row r="394" spans="1:85" s="263" customFormat="1" ht="12.75" customHeight="1">
      <c r="A394" s="435" t="s">
        <v>42</v>
      </c>
      <c r="B394" s="356" t="s">
        <v>1005</v>
      </c>
      <c r="C394" s="497"/>
      <c r="D394" s="522">
        <v>364946</v>
      </c>
      <c r="E394" s="358">
        <v>13</v>
      </c>
      <c r="F394" s="252">
        <v>21</v>
      </c>
      <c r="G394" s="253">
        <v>74100</v>
      </c>
      <c r="H394" s="267">
        <v>22</v>
      </c>
      <c r="I394" s="268">
        <v>78761</v>
      </c>
      <c r="J394" s="252">
        <v>21</v>
      </c>
      <c r="K394" s="253">
        <v>103089</v>
      </c>
      <c r="L394" s="267">
        <v>22</v>
      </c>
      <c r="M394" s="268">
        <v>116503</v>
      </c>
      <c r="N394" s="252"/>
      <c r="O394" s="253"/>
      <c r="P394" s="267"/>
      <c r="Q394" s="268"/>
      <c r="R394" s="252"/>
      <c r="S394" s="253"/>
      <c r="T394" s="267"/>
      <c r="U394" s="268"/>
      <c r="V394" s="252"/>
      <c r="W394" s="253"/>
      <c r="X394" s="267"/>
      <c r="Y394" s="268"/>
      <c r="Z394" s="252"/>
      <c r="AA394" s="253"/>
      <c r="AB394" s="267"/>
      <c r="AC394" s="268"/>
      <c r="AD394" s="252"/>
      <c r="AE394" s="253"/>
      <c r="AF394" s="267"/>
      <c r="AG394" s="268"/>
      <c r="AH394" s="252"/>
      <c r="AI394" s="253"/>
      <c r="AJ394" s="267"/>
      <c r="AK394" s="268"/>
      <c r="AL394" s="252">
        <v>21</v>
      </c>
      <c r="AM394" s="253">
        <v>21603</v>
      </c>
      <c r="AN394" s="267">
        <v>22</v>
      </c>
      <c r="AO394" s="268">
        <v>22604</v>
      </c>
      <c r="AP394" s="255">
        <f t="shared" si="64"/>
        <v>21</v>
      </c>
      <c r="AQ394" s="256">
        <f t="shared" si="65"/>
        <v>198792</v>
      </c>
      <c r="AR394" s="257">
        <f t="shared" si="66"/>
        <v>22</v>
      </c>
      <c r="AS394" s="258">
        <f t="shared" si="67"/>
        <v>217868</v>
      </c>
      <c r="AT394" s="259">
        <v>13</v>
      </c>
      <c r="AU394" s="253">
        <v>51519</v>
      </c>
      <c r="AV394" s="267">
        <v>12</v>
      </c>
      <c r="AW394" s="268">
        <v>48048</v>
      </c>
      <c r="AX394" s="252">
        <v>11</v>
      </c>
      <c r="AY394" s="253">
        <v>53999</v>
      </c>
      <c r="AZ394" s="267">
        <v>11</v>
      </c>
      <c r="BA394" s="268">
        <v>58454</v>
      </c>
      <c r="BB394" s="252"/>
      <c r="BC394" s="253"/>
      <c r="BD394" s="267"/>
      <c r="BE394" s="268"/>
      <c r="BF394" s="252"/>
      <c r="BG394" s="253"/>
      <c r="BH394" s="267"/>
      <c r="BI394" s="268"/>
      <c r="BJ394" s="252"/>
      <c r="BK394" s="253"/>
      <c r="BL394" s="267"/>
      <c r="BM394" s="268"/>
      <c r="BN394" s="252"/>
      <c r="BO394" s="253"/>
      <c r="BP394" s="267"/>
      <c r="BQ394" s="268"/>
      <c r="BR394" s="252"/>
      <c r="BS394" s="253"/>
      <c r="BT394" s="267"/>
      <c r="BU394" s="268"/>
      <c r="BV394" s="252"/>
      <c r="BW394" s="253"/>
      <c r="BX394" s="267"/>
      <c r="BY394" s="268"/>
      <c r="BZ394" s="252">
        <v>13</v>
      </c>
      <c r="CA394" s="253">
        <v>12402</v>
      </c>
      <c r="CB394" s="267">
        <v>12</v>
      </c>
      <c r="CC394" s="268">
        <v>11972</v>
      </c>
      <c r="CD394" s="255">
        <f t="shared" si="68"/>
        <v>13</v>
      </c>
      <c r="CE394" s="256">
        <f t="shared" si="69"/>
        <v>117920</v>
      </c>
      <c r="CF394" s="257">
        <f t="shared" si="70"/>
        <v>12</v>
      </c>
      <c r="CG394" s="261">
        <f t="shared" si="71"/>
        <v>118474</v>
      </c>
    </row>
    <row r="395" spans="1:85" s="263" customFormat="1" ht="12.75" customHeight="1">
      <c r="A395" s="435" t="s">
        <v>42</v>
      </c>
      <c r="B395" s="356" t="s">
        <v>1006</v>
      </c>
      <c r="C395" s="497"/>
      <c r="D395" s="522">
        <v>246017</v>
      </c>
      <c r="E395" s="358">
        <v>13</v>
      </c>
      <c r="F395" s="252">
        <v>30</v>
      </c>
      <c r="G395" s="253">
        <v>116215</v>
      </c>
      <c r="H395" s="267">
        <v>30</v>
      </c>
      <c r="I395" s="268">
        <v>105026</v>
      </c>
      <c r="J395" s="252">
        <v>24</v>
      </c>
      <c r="K395" s="253">
        <v>123480</v>
      </c>
      <c r="L395" s="267">
        <v>24</v>
      </c>
      <c r="M395" s="268">
        <v>128640</v>
      </c>
      <c r="N395" s="252"/>
      <c r="O395" s="253"/>
      <c r="P395" s="267"/>
      <c r="Q395" s="268"/>
      <c r="R395" s="252"/>
      <c r="S395" s="253"/>
      <c r="T395" s="267"/>
      <c r="U395" s="268"/>
      <c r="V395" s="252"/>
      <c r="W395" s="253"/>
      <c r="X395" s="267"/>
      <c r="Y395" s="268"/>
      <c r="Z395" s="252"/>
      <c r="AA395" s="253"/>
      <c r="AB395" s="267"/>
      <c r="AC395" s="268"/>
      <c r="AD395" s="252"/>
      <c r="AE395" s="253"/>
      <c r="AF395" s="267"/>
      <c r="AG395" s="268"/>
      <c r="AH395" s="252"/>
      <c r="AI395" s="253"/>
      <c r="AJ395" s="267"/>
      <c r="AK395" s="268"/>
      <c r="AL395" s="252">
        <v>30</v>
      </c>
      <c r="AM395" s="253">
        <v>41115</v>
      </c>
      <c r="AN395" s="267">
        <v>5</v>
      </c>
      <c r="AO395" s="268">
        <v>16782</v>
      </c>
      <c r="AP395" s="255">
        <f t="shared" si="64"/>
        <v>30</v>
      </c>
      <c r="AQ395" s="256">
        <f t="shared" si="65"/>
        <v>280810</v>
      </c>
      <c r="AR395" s="257">
        <f t="shared" si="66"/>
        <v>30</v>
      </c>
      <c r="AS395" s="258">
        <f t="shared" si="67"/>
        <v>250448</v>
      </c>
      <c r="AT395" s="259">
        <v>20</v>
      </c>
      <c r="AU395" s="253">
        <v>93319</v>
      </c>
      <c r="AV395" s="267">
        <v>17</v>
      </c>
      <c r="AW395" s="268">
        <v>70174</v>
      </c>
      <c r="AX395" s="252">
        <v>14</v>
      </c>
      <c r="AY395" s="253">
        <v>72030</v>
      </c>
      <c r="AZ395" s="267">
        <v>13</v>
      </c>
      <c r="BA395" s="268">
        <v>69680</v>
      </c>
      <c r="BB395" s="252"/>
      <c r="BC395" s="253"/>
      <c r="BD395" s="267"/>
      <c r="BE395" s="268"/>
      <c r="BF395" s="252"/>
      <c r="BG395" s="253"/>
      <c r="BH395" s="267"/>
      <c r="BI395" s="268"/>
      <c r="BJ395" s="252"/>
      <c r="BK395" s="253"/>
      <c r="BL395" s="267"/>
      <c r="BM395" s="268"/>
      <c r="BN395" s="252"/>
      <c r="BO395" s="253"/>
      <c r="BP395" s="267"/>
      <c r="BQ395" s="268"/>
      <c r="BR395" s="252"/>
      <c r="BS395" s="253"/>
      <c r="BT395" s="267"/>
      <c r="BU395" s="268"/>
      <c r="BV395" s="252"/>
      <c r="BW395" s="253"/>
      <c r="BX395" s="267"/>
      <c r="BY395" s="268"/>
      <c r="BZ395" s="252">
        <v>20</v>
      </c>
      <c r="CA395" s="253">
        <v>37569</v>
      </c>
      <c r="CB395" s="267">
        <v>17</v>
      </c>
      <c r="CC395" s="268">
        <v>30796</v>
      </c>
      <c r="CD395" s="255">
        <f t="shared" si="68"/>
        <v>20</v>
      </c>
      <c r="CE395" s="256">
        <f t="shared" si="69"/>
        <v>202918</v>
      </c>
      <c r="CF395" s="257">
        <f t="shared" si="70"/>
        <v>17</v>
      </c>
      <c r="CG395" s="261">
        <f t="shared" si="71"/>
        <v>170650</v>
      </c>
    </row>
    <row r="396" spans="1:85" s="263" customFormat="1" ht="12.75" customHeight="1">
      <c r="A396" s="435" t="s">
        <v>42</v>
      </c>
      <c r="B396" s="356" t="s">
        <v>1007</v>
      </c>
      <c r="C396" s="497"/>
      <c r="D396" s="522">
        <v>375656</v>
      </c>
      <c r="E396" s="358">
        <v>13</v>
      </c>
      <c r="F396" s="252">
        <v>4</v>
      </c>
      <c r="G396" s="253">
        <v>13292</v>
      </c>
      <c r="H396" s="267">
        <v>5</v>
      </c>
      <c r="I396" s="268">
        <v>16758</v>
      </c>
      <c r="J396" s="252">
        <v>3</v>
      </c>
      <c r="K396" s="253">
        <v>13091</v>
      </c>
      <c r="L396" s="267">
        <v>4</v>
      </c>
      <c r="M396" s="268">
        <v>19636</v>
      </c>
      <c r="N396" s="252"/>
      <c r="O396" s="253"/>
      <c r="P396" s="267"/>
      <c r="Q396" s="268"/>
      <c r="R396" s="252"/>
      <c r="S396" s="253"/>
      <c r="T396" s="267"/>
      <c r="U396" s="268"/>
      <c r="V396" s="252"/>
      <c r="W396" s="253"/>
      <c r="X396" s="267"/>
      <c r="Y396" s="268"/>
      <c r="Z396" s="252"/>
      <c r="AA396" s="253"/>
      <c r="AB396" s="267"/>
      <c r="AC396" s="268"/>
      <c r="AD396" s="252"/>
      <c r="AE396" s="253"/>
      <c r="AF396" s="267"/>
      <c r="AG396" s="268"/>
      <c r="AH396" s="252"/>
      <c r="AI396" s="253"/>
      <c r="AJ396" s="267"/>
      <c r="AK396" s="268"/>
      <c r="AL396" s="252">
        <v>4</v>
      </c>
      <c r="AM396" s="253">
        <v>17841</v>
      </c>
      <c r="AN396" s="267">
        <v>5</v>
      </c>
      <c r="AO396" s="268">
        <v>16782</v>
      </c>
      <c r="AP396" s="255">
        <f t="shared" si="64"/>
        <v>4</v>
      </c>
      <c r="AQ396" s="256">
        <f t="shared" si="65"/>
        <v>44224</v>
      </c>
      <c r="AR396" s="257">
        <f t="shared" si="66"/>
        <v>5</v>
      </c>
      <c r="AS396" s="258">
        <f t="shared" si="67"/>
        <v>53176</v>
      </c>
      <c r="AT396" s="259">
        <v>2</v>
      </c>
      <c r="AU396" s="253">
        <v>9415</v>
      </c>
      <c r="AV396" s="267">
        <v>2</v>
      </c>
      <c r="AW396" s="268">
        <v>8216</v>
      </c>
      <c r="AX396" s="252">
        <v>1</v>
      </c>
      <c r="AY396" s="253">
        <v>4909</v>
      </c>
      <c r="AZ396" s="267">
        <v>1</v>
      </c>
      <c r="BA396" s="268">
        <v>4909</v>
      </c>
      <c r="BB396" s="252"/>
      <c r="BC396" s="253"/>
      <c r="BD396" s="267"/>
      <c r="BE396" s="268"/>
      <c r="BF396" s="252"/>
      <c r="BG396" s="253"/>
      <c r="BH396" s="267"/>
      <c r="BI396" s="268"/>
      <c r="BJ396" s="252"/>
      <c r="BK396" s="253"/>
      <c r="BL396" s="267"/>
      <c r="BM396" s="268"/>
      <c r="BN396" s="252"/>
      <c r="BO396" s="253"/>
      <c r="BP396" s="267"/>
      <c r="BQ396" s="268"/>
      <c r="BR396" s="252"/>
      <c r="BS396" s="253"/>
      <c r="BT396" s="267"/>
      <c r="BU396" s="268"/>
      <c r="BV396" s="252"/>
      <c r="BW396" s="253"/>
      <c r="BX396" s="267"/>
      <c r="BY396" s="268"/>
      <c r="BZ396" s="252">
        <v>2</v>
      </c>
      <c r="CA396" s="253">
        <v>13532</v>
      </c>
      <c r="CB396" s="267">
        <v>2</v>
      </c>
      <c r="CC396" s="268">
        <v>8052</v>
      </c>
      <c r="CD396" s="255">
        <f t="shared" si="68"/>
        <v>2</v>
      </c>
      <c r="CE396" s="256">
        <f t="shared" si="69"/>
        <v>27856</v>
      </c>
      <c r="CF396" s="257">
        <f t="shared" si="70"/>
        <v>2</v>
      </c>
      <c r="CG396" s="261">
        <f t="shared" si="71"/>
        <v>21177</v>
      </c>
    </row>
    <row r="397" spans="1:85" s="263" customFormat="1" ht="12.75" customHeight="1">
      <c r="A397" s="435" t="s">
        <v>42</v>
      </c>
      <c r="B397" s="356" t="s">
        <v>1008</v>
      </c>
      <c r="C397" s="497"/>
      <c r="D397" s="522">
        <v>418348</v>
      </c>
      <c r="E397" s="358">
        <v>13</v>
      </c>
      <c r="F397" s="252">
        <v>16</v>
      </c>
      <c r="G397" s="253">
        <v>49283</v>
      </c>
      <c r="H397" s="267">
        <v>16</v>
      </c>
      <c r="I397" s="268">
        <v>49283</v>
      </c>
      <c r="J397" s="252">
        <v>17</v>
      </c>
      <c r="K397" s="253">
        <v>74307</v>
      </c>
      <c r="L397" s="267">
        <v>17</v>
      </c>
      <c r="M397" s="268">
        <v>74307</v>
      </c>
      <c r="N397" s="252"/>
      <c r="O397" s="253"/>
      <c r="P397" s="267"/>
      <c r="Q397" s="268"/>
      <c r="R397" s="252"/>
      <c r="S397" s="253"/>
      <c r="T397" s="267"/>
      <c r="U397" s="268"/>
      <c r="V397" s="252"/>
      <c r="W397" s="253"/>
      <c r="X397" s="267"/>
      <c r="Y397" s="268"/>
      <c r="Z397" s="252"/>
      <c r="AA397" s="253"/>
      <c r="AB397" s="267"/>
      <c r="AC397" s="268"/>
      <c r="AD397" s="252"/>
      <c r="AE397" s="253"/>
      <c r="AF397" s="267"/>
      <c r="AG397" s="268"/>
      <c r="AH397" s="252"/>
      <c r="AI397" s="253"/>
      <c r="AJ397" s="267"/>
      <c r="AK397" s="268"/>
      <c r="AL397" s="252">
        <v>16</v>
      </c>
      <c r="AM397" s="253">
        <v>16105</v>
      </c>
      <c r="AN397" s="267">
        <v>16</v>
      </c>
      <c r="AO397" s="268">
        <v>16105</v>
      </c>
      <c r="AP397" s="255">
        <f t="shared" si="64"/>
        <v>17</v>
      </c>
      <c r="AQ397" s="256">
        <f t="shared" si="65"/>
        <v>139695</v>
      </c>
      <c r="AR397" s="257">
        <f t="shared" si="66"/>
        <v>17</v>
      </c>
      <c r="AS397" s="258">
        <f t="shared" si="67"/>
        <v>139695</v>
      </c>
      <c r="AT397" s="259">
        <v>2</v>
      </c>
      <c r="AU397" s="253">
        <v>6491</v>
      </c>
      <c r="AV397" s="267">
        <v>2</v>
      </c>
      <c r="AW397" s="268">
        <v>6491</v>
      </c>
      <c r="AX397" s="252">
        <v>2</v>
      </c>
      <c r="AY397" s="253">
        <v>8742</v>
      </c>
      <c r="AZ397" s="267">
        <v>2</v>
      </c>
      <c r="BA397" s="268">
        <v>8742</v>
      </c>
      <c r="BB397" s="252"/>
      <c r="BC397" s="253"/>
      <c r="BD397" s="267"/>
      <c r="BE397" s="268"/>
      <c r="BF397" s="252"/>
      <c r="BG397" s="253"/>
      <c r="BH397" s="267"/>
      <c r="BI397" s="268"/>
      <c r="BJ397" s="252"/>
      <c r="BK397" s="253"/>
      <c r="BL397" s="267"/>
      <c r="BM397" s="268"/>
      <c r="BN397" s="252"/>
      <c r="BO397" s="253"/>
      <c r="BP397" s="267"/>
      <c r="BQ397" s="268"/>
      <c r="BR397" s="252"/>
      <c r="BS397" s="253"/>
      <c r="BT397" s="267"/>
      <c r="BU397" s="268"/>
      <c r="BV397" s="252"/>
      <c r="BW397" s="253"/>
      <c r="BX397" s="267"/>
      <c r="BY397" s="268"/>
      <c r="BZ397" s="252">
        <v>2</v>
      </c>
      <c r="CA397" s="253">
        <v>4156</v>
      </c>
      <c r="CB397" s="267">
        <v>2</v>
      </c>
      <c r="CC397" s="268">
        <v>4156</v>
      </c>
      <c r="CD397" s="255">
        <f t="shared" si="68"/>
        <v>2</v>
      </c>
      <c r="CE397" s="256">
        <f t="shared" si="69"/>
        <v>19389</v>
      </c>
      <c r="CF397" s="257">
        <f t="shared" si="70"/>
        <v>2</v>
      </c>
      <c r="CG397" s="261">
        <f t="shared" si="71"/>
        <v>19389</v>
      </c>
    </row>
    <row r="398" spans="1:85" s="263" customFormat="1" ht="12.75" customHeight="1">
      <c r="A398" s="435" t="s">
        <v>42</v>
      </c>
      <c r="B398" s="356" t="s">
        <v>1009</v>
      </c>
      <c r="C398" s="497"/>
      <c r="D398" s="522">
        <v>375683</v>
      </c>
      <c r="E398" s="358">
        <v>13</v>
      </c>
      <c r="F398" s="252">
        <v>31</v>
      </c>
      <c r="G398" s="253">
        <v>103854</v>
      </c>
      <c r="H398" s="267">
        <v>31</v>
      </c>
      <c r="I398" s="268">
        <v>109632</v>
      </c>
      <c r="J398" s="252">
        <v>22</v>
      </c>
      <c r="K398" s="253">
        <v>104721</v>
      </c>
      <c r="L398" s="267">
        <v>24</v>
      </c>
      <c r="M398" s="268">
        <v>126953</v>
      </c>
      <c r="N398" s="252"/>
      <c r="O398" s="253"/>
      <c r="P398" s="267"/>
      <c r="Q398" s="268"/>
      <c r="R398" s="252"/>
      <c r="S398" s="253"/>
      <c r="T398" s="267"/>
      <c r="U398" s="268"/>
      <c r="V398" s="252"/>
      <c r="W398" s="253"/>
      <c r="X398" s="267"/>
      <c r="Y398" s="268"/>
      <c r="Z398" s="252"/>
      <c r="AA398" s="253"/>
      <c r="AB398" s="267"/>
      <c r="AC398" s="268"/>
      <c r="AD398" s="252"/>
      <c r="AE398" s="253"/>
      <c r="AF398" s="267"/>
      <c r="AG398" s="268"/>
      <c r="AH398" s="252"/>
      <c r="AI398" s="253"/>
      <c r="AJ398" s="267"/>
      <c r="AK398" s="268"/>
      <c r="AL398" s="252">
        <v>32</v>
      </c>
      <c r="AM398" s="253">
        <v>136286</v>
      </c>
      <c r="AN398" s="267">
        <v>32</v>
      </c>
      <c r="AO398" s="268">
        <v>164152</v>
      </c>
      <c r="AP398" s="255">
        <f t="shared" si="64"/>
        <v>32</v>
      </c>
      <c r="AQ398" s="256">
        <f t="shared" si="65"/>
        <v>344861</v>
      </c>
      <c r="AR398" s="257">
        <f t="shared" si="66"/>
        <v>32</v>
      </c>
      <c r="AS398" s="258">
        <f t="shared" si="67"/>
        <v>400737</v>
      </c>
      <c r="AT398" s="259">
        <v>7</v>
      </c>
      <c r="AU398" s="253">
        <v>26428</v>
      </c>
      <c r="AV398" s="267">
        <v>7</v>
      </c>
      <c r="AW398" s="268">
        <v>26286</v>
      </c>
      <c r="AX398" s="252">
        <v>7</v>
      </c>
      <c r="AY398" s="253">
        <v>39779</v>
      </c>
      <c r="AZ398" s="267">
        <v>7</v>
      </c>
      <c r="BA398" s="268">
        <v>43480</v>
      </c>
      <c r="BB398" s="252"/>
      <c r="BC398" s="253"/>
      <c r="BD398" s="267"/>
      <c r="BE398" s="268"/>
      <c r="BF398" s="252"/>
      <c r="BG398" s="253"/>
      <c r="BH398" s="267"/>
      <c r="BI398" s="268"/>
      <c r="BJ398" s="252"/>
      <c r="BK398" s="253"/>
      <c r="BL398" s="267"/>
      <c r="BM398" s="268"/>
      <c r="BN398" s="252"/>
      <c r="BO398" s="253"/>
      <c r="BP398" s="267"/>
      <c r="BQ398" s="268"/>
      <c r="BR398" s="252"/>
      <c r="BS398" s="253"/>
      <c r="BT398" s="267"/>
      <c r="BU398" s="268"/>
      <c r="BV398" s="252"/>
      <c r="BW398" s="253"/>
      <c r="BX398" s="267"/>
      <c r="BY398" s="268"/>
      <c r="BZ398" s="252">
        <v>7</v>
      </c>
      <c r="CA398" s="253">
        <v>12215</v>
      </c>
      <c r="CB398" s="267">
        <v>7</v>
      </c>
      <c r="CC398" s="268">
        <v>18654</v>
      </c>
      <c r="CD398" s="255">
        <f t="shared" si="68"/>
        <v>7</v>
      </c>
      <c r="CE398" s="256">
        <f t="shared" si="69"/>
        <v>78422</v>
      </c>
      <c r="CF398" s="257">
        <f t="shared" si="70"/>
        <v>7</v>
      </c>
      <c r="CG398" s="261">
        <f t="shared" si="71"/>
        <v>88420</v>
      </c>
    </row>
    <row r="399" spans="1:85" s="263" customFormat="1" ht="12.75" customHeight="1">
      <c r="A399" s="435" t="s">
        <v>42</v>
      </c>
      <c r="B399" s="356" t="s">
        <v>1010</v>
      </c>
      <c r="C399" s="497"/>
      <c r="D399" s="522">
        <v>428019</v>
      </c>
      <c r="E399" s="358">
        <v>13</v>
      </c>
      <c r="F399" s="252">
        <v>5</v>
      </c>
      <c r="G399" s="253">
        <v>28834</v>
      </c>
      <c r="H399" s="267">
        <v>6</v>
      </c>
      <c r="I399" s="268">
        <v>49045</v>
      </c>
      <c r="J399" s="252">
        <v>4</v>
      </c>
      <c r="K399" s="253">
        <v>14189</v>
      </c>
      <c r="L399" s="267">
        <v>4</v>
      </c>
      <c r="M399" s="268">
        <v>21256</v>
      </c>
      <c r="N399" s="252"/>
      <c r="O399" s="253"/>
      <c r="P399" s="267"/>
      <c r="Q399" s="268"/>
      <c r="R399" s="252"/>
      <c r="S399" s="253"/>
      <c r="T399" s="267"/>
      <c r="U399" s="268"/>
      <c r="V399" s="252"/>
      <c r="W399" s="253"/>
      <c r="X399" s="267"/>
      <c r="Y399" s="268"/>
      <c r="Z399" s="252"/>
      <c r="AA399" s="253"/>
      <c r="AB399" s="267"/>
      <c r="AC399" s="268"/>
      <c r="AD399" s="252"/>
      <c r="AE399" s="253"/>
      <c r="AF399" s="267"/>
      <c r="AG399" s="268"/>
      <c r="AH399" s="252"/>
      <c r="AI399" s="253"/>
      <c r="AJ399" s="267"/>
      <c r="AK399" s="268"/>
      <c r="AL399" s="252">
        <v>5</v>
      </c>
      <c r="AM399" s="253">
        <v>14253</v>
      </c>
      <c r="AN399" s="267">
        <v>6</v>
      </c>
      <c r="AO399" s="268">
        <v>6782</v>
      </c>
      <c r="AP399" s="255">
        <f t="shared" si="64"/>
        <v>5</v>
      </c>
      <c r="AQ399" s="256">
        <f t="shared" si="65"/>
        <v>57276</v>
      </c>
      <c r="AR399" s="257">
        <f t="shared" si="66"/>
        <v>6</v>
      </c>
      <c r="AS399" s="258">
        <f t="shared" si="67"/>
        <v>77083</v>
      </c>
      <c r="AT399" s="259">
        <v>6</v>
      </c>
      <c r="AU399" s="253">
        <v>42114</v>
      </c>
      <c r="AV399" s="267">
        <v>6</v>
      </c>
      <c r="AW399" s="268">
        <v>59636</v>
      </c>
      <c r="AX399" s="252">
        <v>6</v>
      </c>
      <c r="AY399" s="253">
        <v>28378</v>
      </c>
      <c r="AZ399" s="267">
        <v>6</v>
      </c>
      <c r="BA399" s="268">
        <v>31883</v>
      </c>
      <c r="BB399" s="252"/>
      <c r="BC399" s="253"/>
      <c r="BD399" s="267"/>
      <c r="BE399" s="268"/>
      <c r="BF399" s="252"/>
      <c r="BG399" s="253"/>
      <c r="BH399" s="267"/>
      <c r="BI399" s="268"/>
      <c r="BJ399" s="252"/>
      <c r="BK399" s="253"/>
      <c r="BL399" s="267"/>
      <c r="BM399" s="268"/>
      <c r="BN399" s="252"/>
      <c r="BO399" s="253"/>
      <c r="BP399" s="267"/>
      <c r="BQ399" s="268"/>
      <c r="BR399" s="252"/>
      <c r="BS399" s="253"/>
      <c r="BT399" s="267"/>
      <c r="BU399" s="268"/>
      <c r="BV399" s="252"/>
      <c r="BW399" s="253"/>
      <c r="BX399" s="267"/>
      <c r="BY399" s="268"/>
      <c r="BZ399" s="252">
        <v>6</v>
      </c>
      <c r="CA399" s="253">
        <v>14224</v>
      </c>
      <c r="CB399" s="267">
        <v>6</v>
      </c>
      <c r="CC399" s="268">
        <v>5944</v>
      </c>
      <c r="CD399" s="255">
        <f t="shared" si="68"/>
        <v>6</v>
      </c>
      <c r="CE399" s="256">
        <f t="shared" si="69"/>
        <v>84716</v>
      </c>
      <c r="CF399" s="257">
        <f t="shared" si="70"/>
        <v>6</v>
      </c>
      <c r="CG399" s="261">
        <f t="shared" si="71"/>
        <v>97463</v>
      </c>
    </row>
    <row r="400" spans="1:85" s="263" customFormat="1" ht="12.75" customHeight="1">
      <c r="A400" s="435" t="s">
        <v>42</v>
      </c>
      <c r="B400" s="356" t="s">
        <v>1011</v>
      </c>
      <c r="C400" s="497"/>
      <c r="D400" s="522">
        <v>208053</v>
      </c>
      <c r="E400" s="358">
        <v>13</v>
      </c>
      <c r="F400" s="252">
        <v>9</v>
      </c>
      <c r="G400" s="253">
        <v>25054</v>
      </c>
      <c r="H400" s="267">
        <v>9</v>
      </c>
      <c r="I400" s="268">
        <v>25247</v>
      </c>
      <c r="J400" s="252">
        <v>9</v>
      </c>
      <c r="K400" s="253">
        <v>44181</v>
      </c>
      <c r="L400" s="267">
        <v>9</v>
      </c>
      <c r="M400" s="268">
        <v>48240</v>
      </c>
      <c r="N400" s="252"/>
      <c r="O400" s="253"/>
      <c r="P400" s="267"/>
      <c r="Q400" s="268"/>
      <c r="R400" s="252"/>
      <c r="S400" s="253"/>
      <c r="T400" s="267"/>
      <c r="U400" s="268"/>
      <c r="V400" s="252"/>
      <c r="W400" s="253"/>
      <c r="X400" s="267"/>
      <c r="Y400" s="268"/>
      <c r="Z400" s="252"/>
      <c r="AA400" s="253"/>
      <c r="AB400" s="267"/>
      <c r="AC400" s="268"/>
      <c r="AD400" s="252"/>
      <c r="AE400" s="253"/>
      <c r="AF400" s="267"/>
      <c r="AG400" s="268"/>
      <c r="AH400" s="252"/>
      <c r="AI400" s="253"/>
      <c r="AJ400" s="267"/>
      <c r="AK400" s="268"/>
      <c r="AL400" s="252">
        <v>9</v>
      </c>
      <c r="AM400" s="253">
        <v>13343</v>
      </c>
      <c r="AN400" s="267">
        <v>9</v>
      </c>
      <c r="AO400" s="268">
        <v>13835</v>
      </c>
      <c r="AP400" s="255">
        <f t="shared" si="64"/>
        <v>9</v>
      </c>
      <c r="AQ400" s="256">
        <f t="shared" si="65"/>
        <v>82578</v>
      </c>
      <c r="AR400" s="257">
        <f t="shared" si="66"/>
        <v>9</v>
      </c>
      <c r="AS400" s="258">
        <f t="shared" si="67"/>
        <v>87322</v>
      </c>
      <c r="AT400" s="259">
        <v>5</v>
      </c>
      <c r="AU400" s="253">
        <v>16997</v>
      </c>
      <c r="AV400" s="267">
        <v>5</v>
      </c>
      <c r="AW400" s="268">
        <v>17307</v>
      </c>
      <c r="AX400" s="252">
        <v>5</v>
      </c>
      <c r="AY400" s="253">
        <v>24545</v>
      </c>
      <c r="AZ400" s="267">
        <v>5</v>
      </c>
      <c r="BA400" s="268">
        <v>26800</v>
      </c>
      <c r="BB400" s="252"/>
      <c r="BC400" s="253"/>
      <c r="BD400" s="267"/>
      <c r="BE400" s="268"/>
      <c r="BF400" s="252"/>
      <c r="BG400" s="253"/>
      <c r="BH400" s="267"/>
      <c r="BI400" s="268"/>
      <c r="BJ400" s="252"/>
      <c r="BK400" s="253"/>
      <c r="BL400" s="267"/>
      <c r="BM400" s="268"/>
      <c r="BN400" s="252"/>
      <c r="BO400" s="253"/>
      <c r="BP400" s="267"/>
      <c r="BQ400" s="268"/>
      <c r="BR400" s="252"/>
      <c r="BS400" s="253"/>
      <c r="BT400" s="267"/>
      <c r="BU400" s="268"/>
      <c r="BV400" s="252"/>
      <c r="BW400" s="253"/>
      <c r="BX400" s="267"/>
      <c r="BY400" s="268"/>
      <c r="BZ400" s="252">
        <v>5</v>
      </c>
      <c r="CA400" s="253">
        <v>5444</v>
      </c>
      <c r="CB400" s="267">
        <v>5</v>
      </c>
      <c r="CC400" s="268">
        <v>5722</v>
      </c>
      <c r="CD400" s="255">
        <f t="shared" si="68"/>
        <v>5</v>
      </c>
      <c r="CE400" s="256">
        <f t="shared" si="69"/>
        <v>46986</v>
      </c>
      <c r="CF400" s="257">
        <f t="shared" si="70"/>
        <v>5</v>
      </c>
      <c r="CG400" s="261">
        <f t="shared" si="71"/>
        <v>49829</v>
      </c>
    </row>
    <row r="401" spans="1:85" s="263" customFormat="1" ht="12.75" customHeight="1">
      <c r="A401" s="435" t="s">
        <v>42</v>
      </c>
      <c r="B401" s="356" t="s">
        <v>1012</v>
      </c>
      <c r="C401" s="497"/>
      <c r="D401" s="522">
        <v>418296</v>
      </c>
      <c r="E401" s="358">
        <v>13</v>
      </c>
      <c r="F401" s="252">
        <v>20</v>
      </c>
      <c r="G401" s="253">
        <v>67904</v>
      </c>
      <c r="H401" s="267">
        <v>19</v>
      </c>
      <c r="I401" s="268">
        <v>64451</v>
      </c>
      <c r="J401" s="252">
        <v>15</v>
      </c>
      <c r="K401" s="253">
        <v>79740</v>
      </c>
      <c r="L401" s="267">
        <v>14</v>
      </c>
      <c r="M401" s="268">
        <v>79104</v>
      </c>
      <c r="N401" s="252"/>
      <c r="O401" s="253"/>
      <c r="P401" s="267"/>
      <c r="Q401" s="268"/>
      <c r="R401" s="252"/>
      <c r="S401" s="253"/>
      <c r="T401" s="267"/>
      <c r="U401" s="268"/>
      <c r="V401" s="252"/>
      <c r="W401" s="253"/>
      <c r="X401" s="267"/>
      <c r="Y401" s="268"/>
      <c r="Z401" s="252"/>
      <c r="AA401" s="253"/>
      <c r="AB401" s="267"/>
      <c r="AC401" s="268"/>
      <c r="AD401" s="252"/>
      <c r="AE401" s="253"/>
      <c r="AF401" s="267"/>
      <c r="AG401" s="268"/>
      <c r="AH401" s="252"/>
      <c r="AI401" s="253"/>
      <c r="AJ401" s="267"/>
      <c r="AK401" s="268"/>
      <c r="AL401" s="252">
        <v>20</v>
      </c>
      <c r="AM401" s="253">
        <v>24900</v>
      </c>
      <c r="AN401" s="267">
        <v>19</v>
      </c>
      <c r="AO401" s="268">
        <v>24065</v>
      </c>
      <c r="AP401" s="255">
        <f t="shared" si="64"/>
        <v>20</v>
      </c>
      <c r="AQ401" s="256">
        <f t="shared" si="65"/>
        <v>172544</v>
      </c>
      <c r="AR401" s="257">
        <f t="shared" si="66"/>
        <v>19</v>
      </c>
      <c r="AS401" s="258">
        <f t="shared" si="67"/>
        <v>167620</v>
      </c>
      <c r="AT401" s="259">
        <v>6</v>
      </c>
      <c r="AU401" s="253">
        <v>24514</v>
      </c>
      <c r="AV401" s="267">
        <v>6</v>
      </c>
      <c r="AW401" s="268">
        <v>24514</v>
      </c>
      <c r="AX401" s="252">
        <v>6</v>
      </c>
      <c r="AY401" s="253">
        <v>26580</v>
      </c>
      <c r="AZ401" s="267">
        <v>5</v>
      </c>
      <c r="BA401" s="268">
        <v>28380</v>
      </c>
      <c r="BB401" s="252"/>
      <c r="BC401" s="253"/>
      <c r="BD401" s="267"/>
      <c r="BE401" s="268"/>
      <c r="BF401" s="252"/>
      <c r="BG401" s="253"/>
      <c r="BH401" s="267"/>
      <c r="BI401" s="268"/>
      <c r="BJ401" s="252"/>
      <c r="BK401" s="253"/>
      <c r="BL401" s="267"/>
      <c r="BM401" s="268"/>
      <c r="BN401" s="252"/>
      <c r="BO401" s="253"/>
      <c r="BP401" s="267"/>
      <c r="BQ401" s="268"/>
      <c r="BR401" s="252"/>
      <c r="BS401" s="253"/>
      <c r="BT401" s="267"/>
      <c r="BU401" s="268"/>
      <c r="BV401" s="252"/>
      <c r="BW401" s="253"/>
      <c r="BX401" s="267"/>
      <c r="BY401" s="268"/>
      <c r="BZ401" s="252">
        <v>5</v>
      </c>
      <c r="CA401" s="253">
        <v>8633</v>
      </c>
      <c r="CB401" s="267">
        <v>6</v>
      </c>
      <c r="CC401" s="268">
        <v>26993</v>
      </c>
      <c r="CD401" s="255">
        <f t="shared" si="68"/>
        <v>6</v>
      </c>
      <c r="CE401" s="256">
        <f t="shared" si="69"/>
        <v>59727</v>
      </c>
      <c r="CF401" s="257">
        <f t="shared" si="70"/>
        <v>6</v>
      </c>
      <c r="CG401" s="261">
        <f t="shared" si="71"/>
        <v>79887</v>
      </c>
    </row>
    <row r="402" spans="1:85" s="263" customFormat="1" ht="12.75" customHeight="1">
      <c r="A402" s="435" t="s">
        <v>42</v>
      </c>
      <c r="B402" s="356" t="s">
        <v>1013</v>
      </c>
      <c r="C402" s="497"/>
      <c r="D402" s="522">
        <v>421540</v>
      </c>
      <c r="E402" s="358">
        <v>13</v>
      </c>
      <c r="F402" s="252">
        <v>9</v>
      </c>
      <c r="G402" s="253">
        <v>29796</v>
      </c>
      <c r="H402" s="267">
        <v>9</v>
      </c>
      <c r="I402" s="268">
        <v>35448</v>
      </c>
      <c r="J402" s="252">
        <v>8</v>
      </c>
      <c r="K402" s="253">
        <v>42528</v>
      </c>
      <c r="L402" s="267">
        <v>8</v>
      </c>
      <c r="M402" s="268">
        <v>45408</v>
      </c>
      <c r="N402" s="252"/>
      <c r="O402" s="253"/>
      <c r="P402" s="267"/>
      <c r="Q402" s="268"/>
      <c r="R402" s="252"/>
      <c r="S402" s="253"/>
      <c r="T402" s="267"/>
      <c r="U402" s="268"/>
      <c r="V402" s="252"/>
      <c r="W402" s="253"/>
      <c r="X402" s="267"/>
      <c r="Y402" s="268"/>
      <c r="Z402" s="252"/>
      <c r="AA402" s="253"/>
      <c r="AB402" s="267"/>
      <c r="AC402" s="268"/>
      <c r="AD402" s="252"/>
      <c r="AE402" s="253"/>
      <c r="AF402" s="267"/>
      <c r="AG402" s="268"/>
      <c r="AH402" s="252"/>
      <c r="AI402" s="253"/>
      <c r="AJ402" s="267"/>
      <c r="AK402" s="268"/>
      <c r="AL402" s="252">
        <v>9</v>
      </c>
      <c r="AM402" s="253">
        <v>9336</v>
      </c>
      <c r="AN402" s="267">
        <v>9</v>
      </c>
      <c r="AO402" s="268">
        <v>9336</v>
      </c>
      <c r="AP402" s="255">
        <f t="shared" si="64"/>
        <v>9</v>
      </c>
      <c r="AQ402" s="256">
        <f t="shared" si="65"/>
        <v>81660</v>
      </c>
      <c r="AR402" s="257">
        <f t="shared" si="66"/>
        <v>9</v>
      </c>
      <c r="AS402" s="258">
        <f t="shared" si="67"/>
        <v>90192</v>
      </c>
      <c r="AT402" s="259">
        <v>2</v>
      </c>
      <c r="AU402" s="253">
        <v>4221</v>
      </c>
      <c r="AV402" s="267">
        <v>2</v>
      </c>
      <c r="AW402" s="268">
        <v>8756</v>
      </c>
      <c r="AX402" s="252">
        <v>2</v>
      </c>
      <c r="AY402" s="253">
        <v>10632</v>
      </c>
      <c r="AZ402" s="267">
        <v>2</v>
      </c>
      <c r="BA402" s="268">
        <v>11352</v>
      </c>
      <c r="BB402" s="252"/>
      <c r="BC402" s="253"/>
      <c r="BD402" s="267"/>
      <c r="BE402" s="268"/>
      <c r="BF402" s="252"/>
      <c r="BG402" s="253"/>
      <c r="BH402" s="267"/>
      <c r="BI402" s="268"/>
      <c r="BJ402" s="252"/>
      <c r="BK402" s="253"/>
      <c r="BL402" s="267"/>
      <c r="BM402" s="268"/>
      <c r="BN402" s="252"/>
      <c r="BO402" s="253"/>
      <c r="BP402" s="267"/>
      <c r="BQ402" s="268"/>
      <c r="BR402" s="252"/>
      <c r="BS402" s="253"/>
      <c r="BT402" s="267"/>
      <c r="BU402" s="268"/>
      <c r="BV402" s="252"/>
      <c r="BW402" s="253"/>
      <c r="BX402" s="267"/>
      <c r="BY402" s="268"/>
      <c r="BZ402" s="252">
        <v>2</v>
      </c>
      <c r="CA402" s="253">
        <v>1670</v>
      </c>
      <c r="CB402" s="267">
        <v>2</v>
      </c>
      <c r="CC402" s="268">
        <v>1670</v>
      </c>
      <c r="CD402" s="255">
        <f t="shared" si="68"/>
        <v>2</v>
      </c>
      <c r="CE402" s="256">
        <f t="shared" si="69"/>
        <v>16523</v>
      </c>
      <c r="CF402" s="257">
        <f t="shared" si="70"/>
        <v>2</v>
      </c>
      <c r="CG402" s="261">
        <f t="shared" si="71"/>
        <v>21778</v>
      </c>
    </row>
    <row r="403" spans="1:85" s="263" customFormat="1" ht="12.75" customHeight="1">
      <c r="A403" s="435" t="s">
        <v>42</v>
      </c>
      <c r="B403" s="356" t="s">
        <v>1014</v>
      </c>
      <c r="C403" s="497"/>
      <c r="D403" s="522">
        <v>421559</v>
      </c>
      <c r="E403" s="358">
        <v>13</v>
      </c>
      <c r="F403" s="252">
        <v>6</v>
      </c>
      <c r="G403" s="253">
        <v>20904</v>
      </c>
      <c r="H403" s="267">
        <v>6</v>
      </c>
      <c r="I403" s="268">
        <v>22821</v>
      </c>
      <c r="J403" s="252">
        <v>5</v>
      </c>
      <c r="K403" s="253">
        <v>26580</v>
      </c>
      <c r="L403" s="267">
        <v>5</v>
      </c>
      <c r="M403" s="268">
        <v>28380</v>
      </c>
      <c r="N403" s="252"/>
      <c r="O403" s="253"/>
      <c r="P403" s="267"/>
      <c r="Q403" s="268"/>
      <c r="R403" s="252"/>
      <c r="S403" s="253"/>
      <c r="T403" s="267"/>
      <c r="U403" s="268"/>
      <c r="V403" s="252"/>
      <c r="W403" s="253"/>
      <c r="X403" s="267"/>
      <c r="Y403" s="268"/>
      <c r="Z403" s="252"/>
      <c r="AA403" s="253"/>
      <c r="AB403" s="267"/>
      <c r="AC403" s="268"/>
      <c r="AD403" s="252"/>
      <c r="AE403" s="253"/>
      <c r="AF403" s="267"/>
      <c r="AG403" s="268"/>
      <c r="AH403" s="252"/>
      <c r="AI403" s="253"/>
      <c r="AJ403" s="267"/>
      <c r="AK403" s="268"/>
      <c r="AL403" s="252"/>
      <c r="AM403" s="253"/>
      <c r="AN403" s="267">
        <v>6</v>
      </c>
      <c r="AO403" s="268">
        <v>29816</v>
      </c>
      <c r="AP403" s="255">
        <f t="shared" si="64"/>
        <v>6</v>
      </c>
      <c r="AQ403" s="256">
        <f t="shared" si="65"/>
        <v>47484</v>
      </c>
      <c r="AR403" s="257">
        <f t="shared" si="66"/>
        <v>6</v>
      </c>
      <c r="AS403" s="258">
        <f t="shared" si="67"/>
        <v>81017</v>
      </c>
      <c r="AT403" s="259">
        <v>2</v>
      </c>
      <c r="AU403" s="253">
        <v>8103</v>
      </c>
      <c r="AV403" s="267">
        <v>2</v>
      </c>
      <c r="AW403" s="268">
        <v>8619</v>
      </c>
      <c r="AX403" s="252">
        <v>2</v>
      </c>
      <c r="AY403" s="253">
        <v>10632</v>
      </c>
      <c r="AZ403" s="267">
        <v>2</v>
      </c>
      <c r="BA403" s="268">
        <v>11352</v>
      </c>
      <c r="BB403" s="252"/>
      <c r="BC403" s="253"/>
      <c r="BD403" s="267"/>
      <c r="BE403" s="268"/>
      <c r="BF403" s="252"/>
      <c r="BG403" s="253"/>
      <c r="BH403" s="267"/>
      <c r="BI403" s="268"/>
      <c r="BJ403" s="252"/>
      <c r="BK403" s="253"/>
      <c r="BL403" s="267"/>
      <c r="BM403" s="268"/>
      <c r="BN403" s="252"/>
      <c r="BO403" s="253"/>
      <c r="BP403" s="267"/>
      <c r="BQ403" s="268"/>
      <c r="BR403" s="252"/>
      <c r="BS403" s="253"/>
      <c r="BT403" s="267"/>
      <c r="BU403" s="268"/>
      <c r="BV403" s="252"/>
      <c r="BW403" s="253"/>
      <c r="BX403" s="267"/>
      <c r="BY403" s="268"/>
      <c r="BZ403" s="252">
        <v>2</v>
      </c>
      <c r="CA403" s="253">
        <v>1670</v>
      </c>
      <c r="CB403" s="267">
        <v>2</v>
      </c>
      <c r="CC403" s="268">
        <v>1670</v>
      </c>
      <c r="CD403" s="255">
        <f t="shared" si="68"/>
        <v>2</v>
      </c>
      <c r="CE403" s="256">
        <f t="shared" si="69"/>
        <v>20405</v>
      </c>
      <c r="CF403" s="257">
        <f t="shared" si="70"/>
        <v>2</v>
      </c>
      <c r="CG403" s="261">
        <f t="shared" si="71"/>
        <v>21641</v>
      </c>
    </row>
    <row r="404" spans="1:85" s="263" customFormat="1" ht="12.75" customHeight="1">
      <c r="A404" s="435" t="s">
        <v>42</v>
      </c>
      <c r="B404" s="356" t="s">
        <v>1015</v>
      </c>
      <c r="C404" s="497"/>
      <c r="D404" s="522">
        <v>208026</v>
      </c>
      <c r="E404" s="358">
        <v>13</v>
      </c>
      <c r="F404" s="252">
        <v>12</v>
      </c>
      <c r="G404" s="253">
        <v>39764</v>
      </c>
      <c r="H404" s="267">
        <v>12</v>
      </c>
      <c r="I404" s="268">
        <v>49177</v>
      </c>
      <c r="J404" s="252">
        <v>12</v>
      </c>
      <c r="K404" s="253">
        <v>58476</v>
      </c>
      <c r="L404" s="267">
        <v>11</v>
      </c>
      <c r="M404" s="268">
        <v>62436</v>
      </c>
      <c r="N404" s="252"/>
      <c r="O404" s="253"/>
      <c r="P404" s="267"/>
      <c r="Q404" s="268"/>
      <c r="R404" s="252"/>
      <c r="S404" s="253"/>
      <c r="T404" s="267"/>
      <c r="U404" s="268"/>
      <c r="V404" s="252"/>
      <c r="W404" s="253"/>
      <c r="X404" s="267"/>
      <c r="Y404" s="268"/>
      <c r="Z404" s="252"/>
      <c r="AA404" s="253"/>
      <c r="AB404" s="267"/>
      <c r="AC404" s="268"/>
      <c r="AD404" s="252"/>
      <c r="AE404" s="253"/>
      <c r="AF404" s="267"/>
      <c r="AG404" s="268"/>
      <c r="AH404" s="252"/>
      <c r="AI404" s="253"/>
      <c r="AJ404" s="267"/>
      <c r="AK404" s="268"/>
      <c r="AL404" s="252">
        <v>12</v>
      </c>
      <c r="AM404" s="253">
        <v>17470</v>
      </c>
      <c r="AN404" s="267">
        <v>11</v>
      </c>
      <c r="AO404" s="268">
        <v>15315</v>
      </c>
      <c r="AP404" s="255">
        <f t="shared" si="64"/>
        <v>12</v>
      </c>
      <c r="AQ404" s="256">
        <f t="shared" si="65"/>
        <v>115710</v>
      </c>
      <c r="AR404" s="257">
        <f t="shared" si="66"/>
        <v>12</v>
      </c>
      <c r="AS404" s="258">
        <f t="shared" si="67"/>
        <v>126928</v>
      </c>
      <c r="AT404" s="259">
        <v>3</v>
      </c>
      <c r="AU404" s="253">
        <v>11705</v>
      </c>
      <c r="AV404" s="267">
        <v>3</v>
      </c>
      <c r="AW404" s="268">
        <v>13694</v>
      </c>
      <c r="AX404" s="252">
        <v>3</v>
      </c>
      <c r="AY404" s="253">
        <v>15948</v>
      </c>
      <c r="AZ404" s="267">
        <v>3</v>
      </c>
      <c r="BA404" s="268">
        <v>17028</v>
      </c>
      <c r="BB404" s="252"/>
      <c r="BC404" s="253"/>
      <c r="BD404" s="267"/>
      <c r="BE404" s="268"/>
      <c r="BF404" s="252"/>
      <c r="BG404" s="253"/>
      <c r="BH404" s="267"/>
      <c r="BI404" s="268"/>
      <c r="BJ404" s="252"/>
      <c r="BK404" s="253"/>
      <c r="BL404" s="267"/>
      <c r="BM404" s="268"/>
      <c r="BN404" s="252"/>
      <c r="BO404" s="253"/>
      <c r="BP404" s="267"/>
      <c r="BQ404" s="268"/>
      <c r="BR404" s="252"/>
      <c r="BS404" s="253"/>
      <c r="BT404" s="267"/>
      <c r="BU404" s="268"/>
      <c r="BV404" s="252"/>
      <c r="BW404" s="253"/>
      <c r="BX404" s="267"/>
      <c r="BY404" s="268"/>
      <c r="BZ404" s="252">
        <v>3</v>
      </c>
      <c r="CA404" s="253">
        <v>2094</v>
      </c>
      <c r="CB404" s="267">
        <v>3</v>
      </c>
      <c r="CC404" s="268">
        <v>2094</v>
      </c>
      <c r="CD404" s="255">
        <f t="shared" si="68"/>
        <v>3</v>
      </c>
      <c r="CE404" s="256">
        <f t="shared" si="69"/>
        <v>29747</v>
      </c>
      <c r="CF404" s="257">
        <f t="shared" si="70"/>
        <v>3</v>
      </c>
      <c r="CG404" s="261">
        <f t="shared" si="71"/>
        <v>32816</v>
      </c>
    </row>
    <row r="405" spans="1:85" s="263" customFormat="1" ht="12.75" customHeight="1">
      <c r="A405" s="435" t="s">
        <v>42</v>
      </c>
      <c r="B405" s="356" t="s">
        <v>1016</v>
      </c>
      <c r="C405" s="497"/>
      <c r="D405" s="522">
        <v>375692</v>
      </c>
      <c r="E405" s="358">
        <v>13</v>
      </c>
      <c r="F405" s="252">
        <v>7</v>
      </c>
      <c r="G405" s="253">
        <v>22317</v>
      </c>
      <c r="H405" s="267">
        <v>6</v>
      </c>
      <c r="I405" s="268">
        <v>18924</v>
      </c>
      <c r="J405" s="252">
        <v>7</v>
      </c>
      <c r="K405" s="253">
        <v>31673</v>
      </c>
      <c r="L405" s="267">
        <v>6</v>
      </c>
      <c r="M405" s="268">
        <v>26764</v>
      </c>
      <c r="N405" s="252"/>
      <c r="O405" s="253"/>
      <c r="P405" s="267"/>
      <c r="Q405" s="268"/>
      <c r="R405" s="252"/>
      <c r="S405" s="253"/>
      <c r="T405" s="267"/>
      <c r="U405" s="268"/>
      <c r="V405" s="252"/>
      <c r="W405" s="253"/>
      <c r="X405" s="267"/>
      <c r="Y405" s="268"/>
      <c r="Z405" s="252"/>
      <c r="AA405" s="253"/>
      <c r="AB405" s="267"/>
      <c r="AC405" s="268"/>
      <c r="AD405" s="252"/>
      <c r="AE405" s="253"/>
      <c r="AF405" s="267"/>
      <c r="AG405" s="268"/>
      <c r="AH405" s="252"/>
      <c r="AI405" s="253"/>
      <c r="AJ405" s="267"/>
      <c r="AK405" s="268"/>
      <c r="AL405" s="252">
        <v>7</v>
      </c>
      <c r="AM405" s="253">
        <v>1530</v>
      </c>
      <c r="AN405" s="267">
        <v>6</v>
      </c>
      <c r="AO405" s="268">
        <v>1315</v>
      </c>
      <c r="AP405" s="255">
        <f t="shared" si="64"/>
        <v>7</v>
      </c>
      <c r="AQ405" s="256">
        <f t="shared" si="65"/>
        <v>55520</v>
      </c>
      <c r="AR405" s="257">
        <f t="shared" si="66"/>
        <v>6</v>
      </c>
      <c r="AS405" s="258">
        <f t="shared" si="67"/>
        <v>47003</v>
      </c>
      <c r="AT405" s="259">
        <v>1</v>
      </c>
      <c r="AU405" s="253">
        <v>3368</v>
      </c>
      <c r="AV405" s="267">
        <v>1</v>
      </c>
      <c r="AW405" s="268">
        <v>3368</v>
      </c>
      <c r="AX405" s="252">
        <v>1</v>
      </c>
      <c r="AY405" s="253">
        <v>4371</v>
      </c>
      <c r="AZ405" s="267">
        <v>1</v>
      </c>
      <c r="BA405" s="268">
        <v>4371</v>
      </c>
      <c r="BB405" s="252"/>
      <c r="BC405" s="253"/>
      <c r="BD405" s="267"/>
      <c r="BE405" s="268"/>
      <c r="BF405" s="252"/>
      <c r="BG405" s="253"/>
      <c r="BH405" s="267"/>
      <c r="BI405" s="268"/>
      <c r="BJ405" s="252"/>
      <c r="BK405" s="253"/>
      <c r="BL405" s="267"/>
      <c r="BM405" s="268"/>
      <c r="BN405" s="252"/>
      <c r="BO405" s="253"/>
      <c r="BP405" s="267"/>
      <c r="BQ405" s="268"/>
      <c r="BR405" s="252"/>
      <c r="BS405" s="253"/>
      <c r="BT405" s="267"/>
      <c r="BU405" s="268"/>
      <c r="BV405" s="252"/>
      <c r="BW405" s="253"/>
      <c r="BX405" s="267"/>
      <c r="BY405" s="268"/>
      <c r="BZ405" s="252">
        <v>1</v>
      </c>
      <c r="CA405" s="253">
        <v>220</v>
      </c>
      <c r="CB405" s="267">
        <v>1</v>
      </c>
      <c r="CC405" s="268">
        <v>220</v>
      </c>
      <c r="CD405" s="255">
        <f t="shared" si="68"/>
        <v>1</v>
      </c>
      <c r="CE405" s="256">
        <f t="shared" si="69"/>
        <v>7959</v>
      </c>
      <c r="CF405" s="257">
        <f t="shared" si="70"/>
        <v>1</v>
      </c>
      <c r="CG405" s="261">
        <f t="shared" si="71"/>
        <v>7959</v>
      </c>
    </row>
    <row r="406" spans="1:85" s="263" customFormat="1" ht="12.75" customHeight="1">
      <c r="A406" s="435" t="s">
        <v>42</v>
      </c>
      <c r="B406" s="356" t="s">
        <v>1017</v>
      </c>
      <c r="C406" s="497"/>
      <c r="D406" s="522">
        <v>375708</v>
      </c>
      <c r="E406" s="358">
        <v>13</v>
      </c>
      <c r="F406" s="252">
        <v>7</v>
      </c>
      <c r="G406" s="253">
        <v>22434</v>
      </c>
      <c r="H406" s="267">
        <v>7</v>
      </c>
      <c r="I406" s="268">
        <v>22337</v>
      </c>
      <c r="J406" s="252">
        <v>7</v>
      </c>
      <c r="K406" s="253">
        <v>34363</v>
      </c>
      <c r="L406" s="267">
        <v>7</v>
      </c>
      <c r="M406" s="268">
        <v>37198</v>
      </c>
      <c r="N406" s="252"/>
      <c r="O406" s="253"/>
      <c r="P406" s="267"/>
      <c r="Q406" s="268"/>
      <c r="R406" s="252"/>
      <c r="S406" s="253"/>
      <c r="T406" s="267"/>
      <c r="U406" s="268"/>
      <c r="V406" s="252"/>
      <c r="W406" s="253"/>
      <c r="X406" s="267"/>
      <c r="Y406" s="268"/>
      <c r="Z406" s="252"/>
      <c r="AA406" s="253"/>
      <c r="AB406" s="267"/>
      <c r="AC406" s="268"/>
      <c r="AD406" s="252"/>
      <c r="AE406" s="253"/>
      <c r="AF406" s="267"/>
      <c r="AG406" s="268"/>
      <c r="AH406" s="252"/>
      <c r="AI406" s="253"/>
      <c r="AJ406" s="267"/>
      <c r="AK406" s="268"/>
      <c r="AL406" s="252">
        <v>7</v>
      </c>
      <c r="AM406" s="253">
        <v>1505</v>
      </c>
      <c r="AN406" s="267">
        <v>7</v>
      </c>
      <c r="AO406" s="268">
        <v>1596</v>
      </c>
      <c r="AP406" s="255">
        <f t="shared" si="64"/>
        <v>7</v>
      </c>
      <c r="AQ406" s="256">
        <f t="shared" si="65"/>
        <v>58302</v>
      </c>
      <c r="AR406" s="257">
        <f t="shared" si="66"/>
        <v>7</v>
      </c>
      <c r="AS406" s="258">
        <f t="shared" si="67"/>
        <v>61131</v>
      </c>
      <c r="AT406" s="259">
        <v>2</v>
      </c>
      <c r="AU406" s="253">
        <v>7922</v>
      </c>
      <c r="AV406" s="267">
        <v>2</v>
      </c>
      <c r="AW406" s="268">
        <v>7921</v>
      </c>
      <c r="AX406" s="252">
        <v>2</v>
      </c>
      <c r="AY406" s="253">
        <v>9818</v>
      </c>
      <c r="AZ406" s="267">
        <v>2</v>
      </c>
      <c r="BA406" s="268">
        <v>10628</v>
      </c>
      <c r="BB406" s="252"/>
      <c r="BC406" s="253"/>
      <c r="BD406" s="267"/>
      <c r="BE406" s="268"/>
      <c r="BF406" s="252"/>
      <c r="BG406" s="253"/>
      <c r="BH406" s="267"/>
      <c r="BI406" s="268"/>
      <c r="BJ406" s="252"/>
      <c r="BK406" s="253"/>
      <c r="BL406" s="267"/>
      <c r="BM406" s="268"/>
      <c r="BN406" s="252"/>
      <c r="BO406" s="253"/>
      <c r="BP406" s="267"/>
      <c r="BQ406" s="268"/>
      <c r="BR406" s="252"/>
      <c r="BS406" s="253"/>
      <c r="BT406" s="267"/>
      <c r="BU406" s="268"/>
      <c r="BV406" s="252"/>
      <c r="BW406" s="253"/>
      <c r="BX406" s="267"/>
      <c r="BY406" s="268"/>
      <c r="BZ406" s="252">
        <v>2</v>
      </c>
      <c r="CA406" s="253">
        <v>430</v>
      </c>
      <c r="CB406" s="267">
        <v>2</v>
      </c>
      <c r="CC406" s="268">
        <v>456</v>
      </c>
      <c r="CD406" s="255">
        <f t="shared" si="68"/>
        <v>2</v>
      </c>
      <c r="CE406" s="256">
        <f t="shared" si="69"/>
        <v>18170</v>
      </c>
      <c r="CF406" s="257">
        <f t="shared" si="70"/>
        <v>2</v>
      </c>
      <c r="CG406" s="261">
        <f t="shared" si="71"/>
        <v>19005</v>
      </c>
    </row>
    <row r="407" spans="1:85" s="263" customFormat="1" ht="12.75" customHeight="1">
      <c r="A407" s="435" t="s">
        <v>42</v>
      </c>
      <c r="B407" s="356" t="s">
        <v>1018</v>
      </c>
      <c r="C407" s="497"/>
      <c r="D407" s="522">
        <v>375717</v>
      </c>
      <c r="E407" s="358">
        <v>13</v>
      </c>
      <c r="F407" s="252">
        <v>9</v>
      </c>
      <c r="G407" s="253">
        <v>25783</v>
      </c>
      <c r="H407" s="267">
        <v>9</v>
      </c>
      <c r="I407" s="268">
        <v>29078</v>
      </c>
      <c r="J407" s="252">
        <v>8</v>
      </c>
      <c r="K407" s="253">
        <v>34363</v>
      </c>
      <c r="L407" s="267">
        <v>8</v>
      </c>
      <c r="M407" s="268">
        <v>42512</v>
      </c>
      <c r="N407" s="252"/>
      <c r="O407" s="253"/>
      <c r="P407" s="267"/>
      <c r="Q407" s="268"/>
      <c r="R407" s="252"/>
      <c r="S407" s="253"/>
      <c r="T407" s="267"/>
      <c r="U407" s="268"/>
      <c r="V407" s="252"/>
      <c r="W407" s="253"/>
      <c r="X407" s="267"/>
      <c r="Y407" s="268"/>
      <c r="Z407" s="252"/>
      <c r="AA407" s="253"/>
      <c r="AB407" s="267"/>
      <c r="AC407" s="268"/>
      <c r="AD407" s="252"/>
      <c r="AE407" s="253"/>
      <c r="AF407" s="267"/>
      <c r="AG407" s="268"/>
      <c r="AH407" s="252"/>
      <c r="AI407" s="253"/>
      <c r="AJ407" s="267"/>
      <c r="AK407" s="268"/>
      <c r="AL407" s="252">
        <v>9</v>
      </c>
      <c r="AM407" s="253">
        <v>2557</v>
      </c>
      <c r="AN407" s="267">
        <v>9</v>
      </c>
      <c r="AO407" s="268">
        <v>2889</v>
      </c>
      <c r="AP407" s="255">
        <f t="shared" si="64"/>
        <v>9</v>
      </c>
      <c r="AQ407" s="256">
        <f t="shared" si="65"/>
        <v>62703</v>
      </c>
      <c r="AR407" s="257">
        <f t="shared" si="66"/>
        <v>9</v>
      </c>
      <c r="AS407" s="258">
        <f t="shared" si="67"/>
        <v>74479</v>
      </c>
      <c r="AT407" s="259">
        <v>2</v>
      </c>
      <c r="AU407" s="253">
        <v>8055</v>
      </c>
      <c r="AV407" s="267">
        <v>3</v>
      </c>
      <c r="AW407" s="268">
        <v>11057</v>
      </c>
      <c r="AX407" s="252">
        <v>2</v>
      </c>
      <c r="AY407" s="253">
        <v>9818</v>
      </c>
      <c r="AZ407" s="267">
        <v>2</v>
      </c>
      <c r="BA407" s="268">
        <v>10628</v>
      </c>
      <c r="BB407" s="252"/>
      <c r="BC407" s="253"/>
      <c r="BD407" s="267"/>
      <c r="BE407" s="268"/>
      <c r="BF407" s="252"/>
      <c r="BG407" s="253"/>
      <c r="BH407" s="267"/>
      <c r="BI407" s="268"/>
      <c r="BJ407" s="252"/>
      <c r="BK407" s="253"/>
      <c r="BL407" s="267"/>
      <c r="BM407" s="268"/>
      <c r="BN407" s="252"/>
      <c r="BO407" s="253"/>
      <c r="BP407" s="267"/>
      <c r="BQ407" s="268"/>
      <c r="BR407" s="252"/>
      <c r="BS407" s="253"/>
      <c r="BT407" s="267"/>
      <c r="BU407" s="268"/>
      <c r="BV407" s="252"/>
      <c r="BW407" s="253"/>
      <c r="BX407" s="267"/>
      <c r="BY407" s="268"/>
      <c r="BZ407" s="252">
        <v>2</v>
      </c>
      <c r="CA407" s="253">
        <v>430</v>
      </c>
      <c r="CB407" s="267">
        <v>3</v>
      </c>
      <c r="CC407" s="268">
        <v>1521</v>
      </c>
      <c r="CD407" s="255">
        <f t="shared" si="68"/>
        <v>2</v>
      </c>
      <c r="CE407" s="256">
        <f t="shared" si="69"/>
        <v>18303</v>
      </c>
      <c r="CF407" s="257">
        <f t="shared" si="70"/>
        <v>3</v>
      </c>
      <c r="CG407" s="261">
        <f t="shared" si="71"/>
        <v>23206</v>
      </c>
    </row>
    <row r="408" spans="1:85" s="263" customFormat="1" ht="12.75" customHeight="1">
      <c r="A408" s="435" t="s">
        <v>42</v>
      </c>
      <c r="B408" s="356" t="s">
        <v>1019</v>
      </c>
      <c r="C408" s="497"/>
      <c r="D408" s="522">
        <v>375735</v>
      </c>
      <c r="E408" s="358">
        <v>13</v>
      </c>
      <c r="F408" s="252">
        <v>9</v>
      </c>
      <c r="G408" s="253">
        <v>29187</v>
      </c>
      <c r="H408" s="267">
        <v>9</v>
      </c>
      <c r="I408" s="268">
        <v>29270</v>
      </c>
      <c r="J408" s="252">
        <v>9</v>
      </c>
      <c r="K408" s="253">
        <v>44181</v>
      </c>
      <c r="L408" s="267">
        <v>9</v>
      </c>
      <c r="M408" s="268">
        <v>47826</v>
      </c>
      <c r="N408" s="252"/>
      <c r="O408" s="253"/>
      <c r="P408" s="267"/>
      <c r="Q408" s="268"/>
      <c r="R408" s="252"/>
      <c r="S408" s="253"/>
      <c r="T408" s="267"/>
      <c r="U408" s="268"/>
      <c r="V408" s="252"/>
      <c r="W408" s="253"/>
      <c r="X408" s="267"/>
      <c r="Y408" s="268"/>
      <c r="Z408" s="252"/>
      <c r="AA408" s="253"/>
      <c r="AB408" s="267"/>
      <c r="AC408" s="268"/>
      <c r="AD408" s="252"/>
      <c r="AE408" s="253"/>
      <c r="AF408" s="267"/>
      <c r="AG408" s="268"/>
      <c r="AH408" s="252"/>
      <c r="AI408" s="253"/>
      <c r="AJ408" s="267"/>
      <c r="AK408" s="268"/>
      <c r="AL408" s="252">
        <v>9</v>
      </c>
      <c r="AM408" s="253">
        <v>1935</v>
      </c>
      <c r="AN408" s="267">
        <v>9</v>
      </c>
      <c r="AO408" s="268">
        <v>2052</v>
      </c>
      <c r="AP408" s="255">
        <f t="shared" si="64"/>
        <v>9</v>
      </c>
      <c r="AQ408" s="256">
        <f t="shared" si="65"/>
        <v>75303</v>
      </c>
      <c r="AR408" s="257">
        <f t="shared" si="66"/>
        <v>9</v>
      </c>
      <c r="AS408" s="258">
        <f t="shared" si="67"/>
        <v>79148</v>
      </c>
      <c r="AT408" s="259">
        <v>3</v>
      </c>
      <c r="AU408" s="253">
        <v>12637</v>
      </c>
      <c r="AV408" s="267">
        <v>3</v>
      </c>
      <c r="AW408" s="268">
        <v>12603</v>
      </c>
      <c r="AX408" s="252">
        <v>3</v>
      </c>
      <c r="AY408" s="253">
        <v>14727</v>
      </c>
      <c r="AZ408" s="267">
        <v>3</v>
      </c>
      <c r="BA408" s="268">
        <v>15942</v>
      </c>
      <c r="BB408" s="252"/>
      <c r="BC408" s="253"/>
      <c r="BD408" s="267"/>
      <c r="BE408" s="268"/>
      <c r="BF408" s="252"/>
      <c r="BG408" s="253"/>
      <c r="BH408" s="267"/>
      <c r="BI408" s="268"/>
      <c r="BJ408" s="252"/>
      <c r="BK408" s="253"/>
      <c r="BL408" s="267"/>
      <c r="BM408" s="268"/>
      <c r="BN408" s="252"/>
      <c r="BO408" s="253"/>
      <c r="BP408" s="267"/>
      <c r="BQ408" s="268"/>
      <c r="BR408" s="252"/>
      <c r="BS408" s="253"/>
      <c r="BT408" s="267"/>
      <c r="BU408" s="268"/>
      <c r="BV408" s="252"/>
      <c r="BW408" s="253"/>
      <c r="BX408" s="267"/>
      <c r="BY408" s="268"/>
      <c r="BZ408" s="252">
        <v>3</v>
      </c>
      <c r="CA408" s="253">
        <v>645</v>
      </c>
      <c r="CB408" s="267">
        <v>3</v>
      </c>
      <c r="CC408" s="268">
        <v>684</v>
      </c>
      <c r="CD408" s="255">
        <f t="shared" si="68"/>
        <v>3</v>
      </c>
      <c r="CE408" s="256">
        <f t="shared" si="69"/>
        <v>28009</v>
      </c>
      <c r="CF408" s="257">
        <f t="shared" si="70"/>
        <v>3</v>
      </c>
      <c r="CG408" s="261">
        <f t="shared" si="71"/>
        <v>29229</v>
      </c>
    </row>
    <row r="409" spans="1:85" s="263" customFormat="1" ht="12.75" customHeight="1">
      <c r="A409" s="435" t="s">
        <v>42</v>
      </c>
      <c r="B409" s="356" t="s">
        <v>1020</v>
      </c>
      <c r="C409" s="497"/>
      <c r="D409" s="522">
        <v>375726</v>
      </c>
      <c r="E409" s="358">
        <v>13</v>
      </c>
      <c r="F409" s="252">
        <v>16</v>
      </c>
      <c r="G409" s="253">
        <v>50338</v>
      </c>
      <c r="H409" s="267">
        <v>15</v>
      </c>
      <c r="I409" s="268">
        <v>47937</v>
      </c>
      <c r="J409" s="252">
        <v>15</v>
      </c>
      <c r="K409" s="253">
        <v>73635</v>
      </c>
      <c r="L409" s="267">
        <v>15</v>
      </c>
      <c r="M409" s="268">
        <v>79710</v>
      </c>
      <c r="N409" s="252"/>
      <c r="O409" s="253"/>
      <c r="P409" s="267"/>
      <c r="Q409" s="268"/>
      <c r="R409" s="252"/>
      <c r="S409" s="253"/>
      <c r="T409" s="267"/>
      <c r="U409" s="268"/>
      <c r="V409" s="252"/>
      <c r="W409" s="253"/>
      <c r="X409" s="267"/>
      <c r="Y409" s="268"/>
      <c r="Z409" s="252"/>
      <c r="AA409" s="253"/>
      <c r="AB409" s="267"/>
      <c r="AC409" s="268"/>
      <c r="AD409" s="252"/>
      <c r="AE409" s="253"/>
      <c r="AF409" s="267"/>
      <c r="AG409" s="268"/>
      <c r="AH409" s="252"/>
      <c r="AI409" s="253"/>
      <c r="AJ409" s="267"/>
      <c r="AK409" s="268"/>
      <c r="AL409" s="252">
        <v>16</v>
      </c>
      <c r="AM409" s="253">
        <v>4277</v>
      </c>
      <c r="AN409" s="267">
        <v>16</v>
      </c>
      <c r="AO409" s="268">
        <v>4485</v>
      </c>
      <c r="AP409" s="255">
        <f t="shared" ref="AP409:AP472" si="72">MAX(AL409,AH409,AD409,Z409,V409,R409,N409,J409,F409)</f>
        <v>16</v>
      </c>
      <c r="AQ409" s="256">
        <f t="shared" ref="AQ409:AQ472" si="73">SUM(AM409,AI409,AE409,AA409,W409,S409,O409,K409,G409)</f>
        <v>128250</v>
      </c>
      <c r="AR409" s="257">
        <f t="shared" ref="AR409:AR472" si="74">MAX(AN409,AJ409,AF409,AB409,X409,T409,P409,L409,H409)</f>
        <v>16</v>
      </c>
      <c r="AS409" s="258">
        <f t="shared" ref="AS409:AS472" si="75">SUM(AO409,AK409,AG409,AC409,Y409,U409,Q409,M409,I409)</f>
        <v>132132</v>
      </c>
      <c r="AT409" s="259">
        <v>4</v>
      </c>
      <c r="AU409" s="253">
        <v>11845</v>
      </c>
      <c r="AV409" s="267">
        <v>4</v>
      </c>
      <c r="AW409" s="268">
        <v>15388</v>
      </c>
      <c r="AX409" s="252">
        <v>4</v>
      </c>
      <c r="AY409" s="253">
        <v>14727</v>
      </c>
      <c r="AZ409" s="267">
        <v>4</v>
      </c>
      <c r="BA409" s="268">
        <v>21256</v>
      </c>
      <c r="BB409" s="252"/>
      <c r="BC409" s="253"/>
      <c r="BD409" s="267"/>
      <c r="BE409" s="268"/>
      <c r="BF409" s="252"/>
      <c r="BG409" s="253"/>
      <c r="BH409" s="267"/>
      <c r="BI409" s="268"/>
      <c r="BJ409" s="252"/>
      <c r="BK409" s="253"/>
      <c r="BL409" s="267"/>
      <c r="BM409" s="268"/>
      <c r="BN409" s="252"/>
      <c r="BO409" s="253"/>
      <c r="BP409" s="267"/>
      <c r="BQ409" s="268"/>
      <c r="BR409" s="252"/>
      <c r="BS409" s="253"/>
      <c r="BT409" s="267"/>
      <c r="BU409" s="268"/>
      <c r="BV409" s="252"/>
      <c r="BW409" s="253"/>
      <c r="BX409" s="267"/>
      <c r="BY409" s="268"/>
      <c r="BZ409" s="252">
        <v>4</v>
      </c>
      <c r="CA409" s="253">
        <v>1245</v>
      </c>
      <c r="CB409" s="267">
        <v>4</v>
      </c>
      <c r="CC409" s="268">
        <v>1512</v>
      </c>
      <c r="CD409" s="255">
        <f t="shared" ref="CD409:CD472" si="76">MAX(BZ409,BV409,BR409,BN409,BJ409,BF409,BB409,AX409,AT409)</f>
        <v>4</v>
      </c>
      <c r="CE409" s="256">
        <f t="shared" ref="CE409:CE472" si="77">SUM(CA409,BW409,BS409,BO409,BK409,BG409,BC409,AY409,AU409)</f>
        <v>27817</v>
      </c>
      <c r="CF409" s="257">
        <f t="shared" ref="CF409:CF472" si="78">MAX(CB409,BX409,BT409,BP409,BL409,BH409,BD409,AZ409,AV409)</f>
        <v>4</v>
      </c>
      <c r="CG409" s="261">
        <f t="shared" ref="CG409:CG472" si="79">SUM(CC409,BY409,BU409,BQ409,BM409,BI409,BE409,BA409,AW409)</f>
        <v>38156</v>
      </c>
    </row>
    <row r="410" spans="1:85" s="263" customFormat="1" ht="12.75" customHeight="1">
      <c r="A410" s="435" t="s">
        <v>42</v>
      </c>
      <c r="B410" s="356" t="s">
        <v>1021</v>
      </c>
      <c r="C410" s="497"/>
      <c r="D410" s="522">
        <v>375744</v>
      </c>
      <c r="E410" s="358">
        <v>13</v>
      </c>
      <c r="F410" s="252">
        <v>9</v>
      </c>
      <c r="G410" s="253">
        <v>29383</v>
      </c>
      <c r="H410" s="267">
        <v>9</v>
      </c>
      <c r="I410" s="268">
        <v>29446</v>
      </c>
      <c r="J410" s="252">
        <v>9</v>
      </c>
      <c r="K410" s="253">
        <v>44181</v>
      </c>
      <c r="L410" s="267">
        <v>9</v>
      </c>
      <c r="M410" s="268">
        <v>47826</v>
      </c>
      <c r="N410" s="252"/>
      <c r="O410" s="253"/>
      <c r="P410" s="267"/>
      <c r="Q410" s="268"/>
      <c r="R410" s="252"/>
      <c r="S410" s="253"/>
      <c r="T410" s="267"/>
      <c r="U410" s="268"/>
      <c r="V410" s="252"/>
      <c r="W410" s="253"/>
      <c r="X410" s="267"/>
      <c r="Y410" s="268"/>
      <c r="Z410" s="252"/>
      <c r="AA410" s="253"/>
      <c r="AB410" s="267"/>
      <c r="AC410" s="268"/>
      <c r="AD410" s="252"/>
      <c r="AE410" s="253"/>
      <c r="AF410" s="267"/>
      <c r="AG410" s="268"/>
      <c r="AH410" s="252"/>
      <c r="AI410" s="253"/>
      <c r="AJ410" s="267"/>
      <c r="AK410" s="268"/>
      <c r="AL410" s="252">
        <v>9</v>
      </c>
      <c r="AM410" s="253">
        <v>1935</v>
      </c>
      <c r="AN410" s="267">
        <v>9</v>
      </c>
      <c r="AO410" s="268">
        <v>2052</v>
      </c>
      <c r="AP410" s="255">
        <f t="shared" si="72"/>
        <v>9</v>
      </c>
      <c r="AQ410" s="256">
        <f t="shared" si="73"/>
        <v>75499</v>
      </c>
      <c r="AR410" s="257">
        <f t="shared" si="74"/>
        <v>9</v>
      </c>
      <c r="AS410" s="258">
        <f t="shared" si="75"/>
        <v>79324</v>
      </c>
      <c r="AT410" s="259">
        <v>3</v>
      </c>
      <c r="AU410" s="253">
        <v>11485</v>
      </c>
      <c r="AV410" s="267">
        <v>3</v>
      </c>
      <c r="AW410" s="268">
        <v>11520</v>
      </c>
      <c r="AX410" s="252">
        <v>3</v>
      </c>
      <c r="AY410" s="253">
        <v>14727</v>
      </c>
      <c r="AZ410" s="267">
        <v>3</v>
      </c>
      <c r="BA410" s="268">
        <v>15942</v>
      </c>
      <c r="BB410" s="252"/>
      <c r="BC410" s="253"/>
      <c r="BD410" s="267"/>
      <c r="BE410" s="268"/>
      <c r="BF410" s="252"/>
      <c r="BG410" s="253"/>
      <c r="BH410" s="267"/>
      <c r="BI410" s="268"/>
      <c r="BJ410" s="252"/>
      <c r="BK410" s="253"/>
      <c r="BL410" s="267"/>
      <c r="BM410" s="268"/>
      <c r="BN410" s="252"/>
      <c r="BO410" s="253"/>
      <c r="BP410" s="267"/>
      <c r="BQ410" s="268"/>
      <c r="BR410" s="252"/>
      <c r="BS410" s="253"/>
      <c r="BT410" s="267"/>
      <c r="BU410" s="268"/>
      <c r="BV410" s="252"/>
      <c r="BW410" s="253"/>
      <c r="BX410" s="267"/>
      <c r="BY410" s="268"/>
      <c r="BZ410" s="252">
        <v>3</v>
      </c>
      <c r="CA410" s="253">
        <v>645</v>
      </c>
      <c r="CB410" s="267">
        <v>3</v>
      </c>
      <c r="CC410" s="268">
        <v>684</v>
      </c>
      <c r="CD410" s="255">
        <f t="shared" si="76"/>
        <v>3</v>
      </c>
      <c r="CE410" s="256">
        <f t="shared" si="77"/>
        <v>26857</v>
      </c>
      <c r="CF410" s="257">
        <f t="shared" si="78"/>
        <v>3</v>
      </c>
      <c r="CG410" s="261">
        <f t="shared" si="79"/>
        <v>28146</v>
      </c>
    </row>
    <row r="411" spans="1:85" s="263" customFormat="1" ht="12.75" customHeight="1">
      <c r="A411" s="435" t="s">
        <v>42</v>
      </c>
      <c r="B411" s="356" t="s">
        <v>1022</v>
      </c>
      <c r="C411" s="497"/>
      <c r="D411" s="522">
        <v>375753</v>
      </c>
      <c r="E411" s="358">
        <v>13</v>
      </c>
      <c r="F411" s="252">
        <v>2</v>
      </c>
      <c r="G411" s="253">
        <v>6695</v>
      </c>
      <c r="H411" s="267">
        <v>2</v>
      </c>
      <c r="I411" s="268">
        <v>6681</v>
      </c>
      <c r="J411" s="252">
        <v>2</v>
      </c>
      <c r="K411" s="253">
        <v>4909</v>
      </c>
      <c r="L411" s="267">
        <v>1</v>
      </c>
      <c r="M411" s="268">
        <v>5314</v>
      </c>
      <c r="N411" s="252"/>
      <c r="O411" s="253"/>
      <c r="P411" s="267"/>
      <c r="Q411" s="268"/>
      <c r="R411" s="252"/>
      <c r="S411" s="253"/>
      <c r="T411" s="267"/>
      <c r="U411" s="268"/>
      <c r="V411" s="252"/>
      <c r="W411" s="253"/>
      <c r="X411" s="267"/>
      <c r="Y411" s="268"/>
      <c r="Z411" s="252"/>
      <c r="AA411" s="253"/>
      <c r="AB411" s="267"/>
      <c r="AC411" s="268"/>
      <c r="AD411" s="252"/>
      <c r="AE411" s="253"/>
      <c r="AF411" s="267"/>
      <c r="AG411" s="268"/>
      <c r="AH411" s="252"/>
      <c r="AI411" s="253"/>
      <c r="AJ411" s="267"/>
      <c r="AK411" s="268"/>
      <c r="AL411" s="252">
        <v>2</v>
      </c>
      <c r="AM411" s="253">
        <v>1267</v>
      </c>
      <c r="AN411" s="267">
        <v>2</v>
      </c>
      <c r="AO411" s="268">
        <v>1293</v>
      </c>
      <c r="AP411" s="255">
        <f t="shared" si="72"/>
        <v>2</v>
      </c>
      <c r="AQ411" s="256">
        <f t="shared" si="73"/>
        <v>12871</v>
      </c>
      <c r="AR411" s="257">
        <f t="shared" si="74"/>
        <v>2</v>
      </c>
      <c r="AS411" s="258">
        <f t="shared" si="75"/>
        <v>13288</v>
      </c>
      <c r="AT411" s="259"/>
      <c r="AU411" s="253"/>
      <c r="AV411" s="267"/>
      <c r="AW411" s="268"/>
      <c r="AX411" s="252"/>
      <c r="AY411" s="253"/>
      <c r="AZ411" s="267"/>
      <c r="BA411" s="268"/>
      <c r="BB411" s="252"/>
      <c r="BC411" s="253"/>
      <c r="BD411" s="267"/>
      <c r="BE411" s="268"/>
      <c r="BF411" s="252"/>
      <c r="BG411" s="253"/>
      <c r="BH411" s="267"/>
      <c r="BI411" s="268"/>
      <c r="BJ411" s="252"/>
      <c r="BK411" s="253"/>
      <c r="BL411" s="267"/>
      <c r="BM411" s="268"/>
      <c r="BN411" s="252"/>
      <c r="BO411" s="253"/>
      <c r="BP411" s="267"/>
      <c r="BQ411" s="268"/>
      <c r="BR411" s="252"/>
      <c r="BS411" s="253"/>
      <c r="BT411" s="267"/>
      <c r="BU411" s="268"/>
      <c r="BV411" s="252"/>
      <c r="BW411" s="253"/>
      <c r="BX411" s="267"/>
      <c r="BY411" s="268"/>
      <c r="BZ411" s="252"/>
      <c r="CA411" s="253"/>
      <c r="CB411" s="267"/>
      <c r="CC411" s="268"/>
      <c r="CD411" s="255">
        <f t="shared" si="76"/>
        <v>0</v>
      </c>
      <c r="CE411" s="256">
        <f t="shared" si="77"/>
        <v>0</v>
      </c>
      <c r="CF411" s="257">
        <f t="shared" si="78"/>
        <v>0</v>
      </c>
      <c r="CG411" s="261">
        <f t="shared" si="79"/>
        <v>0</v>
      </c>
    </row>
    <row r="412" spans="1:85" s="263" customFormat="1" ht="12.75" customHeight="1">
      <c r="A412" s="435" t="s">
        <v>42</v>
      </c>
      <c r="B412" s="356" t="s">
        <v>1023</v>
      </c>
      <c r="C412" s="497"/>
      <c r="D412" s="522">
        <v>405748</v>
      </c>
      <c r="E412" s="358">
        <v>13</v>
      </c>
      <c r="F412" s="252">
        <v>5</v>
      </c>
      <c r="G412" s="253">
        <v>16225</v>
      </c>
      <c r="H412" s="267">
        <v>6</v>
      </c>
      <c r="I412" s="268">
        <v>19654</v>
      </c>
      <c r="J412" s="252">
        <v>5</v>
      </c>
      <c r="K412" s="253">
        <v>24545</v>
      </c>
      <c r="L412" s="267">
        <v>5</v>
      </c>
      <c r="M412" s="268">
        <v>26570</v>
      </c>
      <c r="N412" s="252"/>
      <c r="O412" s="253"/>
      <c r="P412" s="267"/>
      <c r="Q412" s="268"/>
      <c r="R412" s="252"/>
      <c r="S412" s="253"/>
      <c r="T412" s="267"/>
      <c r="U412" s="268"/>
      <c r="V412" s="252"/>
      <c r="W412" s="253"/>
      <c r="X412" s="267"/>
      <c r="Y412" s="268"/>
      <c r="Z412" s="252"/>
      <c r="AA412" s="253"/>
      <c r="AB412" s="267"/>
      <c r="AC412" s="268"/>
      <c r="AD412" s="252"/>
      <c r="AE412" s="253"/>
      <c r="AF412" s="267"/>
      <c r="AG412" s="268"/>
      <c r="AH412" s="252"/>
      <c r="AI412" s="253"/>
      <c r="AJ412" s="267"/>
      <c r="AK412" s="268"/>
      <c r="AL412" s="252">
        <v>5</v>
      </c>
      <c r="AM412" s="253">
        <v>1075</v>
      </c>
      <c r="AN412" s="267">
        <v>6</v>
      </c>
      <c r="AO412" s="268">
        <v>2205</v>
      </c>
      <c r="AP412" s="255">
        <f t="shared" si="72"/>
        <v>5</v>
      </c>
      <c r="AQ412" s="256">
        <f t="shared" si="73"/>
        <v>41845</v>
      </c>
      <c r="AR412" s="257">
        <f t="shared" si="74"/>
        <v>6</v>
      </c>
      <c r="AS412" s="258">
        <f t="shared" si="75"/>
        <v>48429</v>
      </c>
      <c r="AT412" s="259"/>
      <c r="AU412" s="253"/>
      <c r="AV412" s="267"/>
      <c r="AW412" s="268"/>
      <c r="AX412" s="252"/>
      <c r="AY412" s="253"/>
      <c r="AZ412" s="267"/>
      <c r="BA412" s="268"/>
      <c r="BB412" s="252"/>
      <c r="BC412" s="253"/>
      <c r="BD412" s="267"/>
      <c r="BE412" s="268"/>
      <c r="BF412" s="252"/>
      <c r="BG412" s="253"/>
      <c r="BH412" s="267"/>
      <c r="BI412" s="268"/>
      <c r="BJ412" s="252"/>
      <c r="BK412" s="253"/>
      <c r="BL412" s="267"/>
      <c r="BM412" s="268"/>
      <c r="BN412" s="252"/>
      <c r="BO412" s="253"/>
      <c r="BP412" s="267"/>
      <c r="BQ412" s="268"/>
      <c r="BR412" s="252"/>
      <c r="BS412" s="253"/>
      <c r="BT412" s="267"/>
      <c r="BU412" s="268"/>
      <c r="BV412" s="252"/>
      <c r="BW412" s="253"/>
      <c r="BX412" s="267"/>
      <c r="BY412" s="268"/>
      <c r="BZ412" s="252"/>
      <c r="CA412" s="253"/>
      <c r="CB412" s="267"/>
      <c r="CC412" s="268"/>
      <c r="CD412" s="255">
        <f t="shared" si="76"/>
        <v>0</v>
      </c>
      <c r="CE412" s="256">
        <f t="shared" si="77"/>
        <v>0</v>
      </c>
      <c r="CF412" s="257">
        <f t="shared" si="78"/>
        <v>0</v>
      </c>
      <c r="CG412" s="261">
        <f t="shared" si="79"/>
        <v>0</v>
      </c>
    </row>
    <row r="413" spans="1:85" s="263" customFormat="1" ht="12.75" customHeight="1">
      <c r="A413" s="435" t="s">
        <v>42</v>
      </c>
      <c r="B413" s="356" t="s">
        <v>1024</v>
      </c>
      <c r="C413" s="497"/>
      <c r="D413" s="522">
        <v>375762</v>
      </c>
      <c r="E413" s="358">
        <v>13</v>
      </c>
      <c r="F413" s="252">
        <v>4</v>
      </c>
      <c r="G413" s="253">
        <v>13418</v>
      </c>
      <c r="H413" s="267">
        <v>4</v>
      </c>
      <c r="I413" s="268">
        <v>13377</v>
      </c>
      <c r="J413" s="252">
        <v>4</v>
      </c>
      <c r="K413" s="253">
        <v>19636</v>
      </c>
      <c r="L413" s="267">
        <v>3</v>
      </c>
      <c r="M413" s="268">
        <v>15942</v>
      </c>
      <c r="N413" s="252"/>
      <c r="O413" s="253"/>
      <c r="P413" s="267"/>
      <c r="Q413" s="268"/>
      <c r="R413" s="252"/>
      <c r="S413" s="253"/>
      <c r="T413" s="267"/>
      <c r="U413" s="268"/>
      <c r="V413" s="252"/>
      <c r="W413" s="253"/>
      <c r="X413" s="267"/>
      <c r="Y413" s="268"/>
      <c r="Z413" s="252"/>
      <c r="AA413" s="253"/>
      <c r="AB413" s="267"/>
      <c r="AC413" s="268"/>
      <c r="AD413" s="252"/>
      <c r="AE413" s="253"/>
      <c r="AF413" s="267"/>
      <c r="AG413" s="268"/>
      <c r="AH413" s="252"/>
      <c r="AI413" s="253"/>
      <c r="AJ413" s="267"/>
      <c r="AK413" s="268"/>
      <c r="AL413" s="252">
        <v>5</v>
      </c>
      <c r="AM413" s="253">
        <v>1912</v>
      </c>
      <c r="AN413" s="267">
        <v>4</v>
      </c>
      <c r="AO413" s="268">
        <v>1749</v>
      </c>
      <c r="AP413" s="255">
        <f t="shared" si="72"/>
        <v>5</v>
      </c>
      <c r="AQ413" s="256">
        <f t="shared" si="73"/>
        <v>34966</v>
      </c>
      <c r="AR413" s="257">
        <f t="shared" si="74"/>
        <v>4</v>
      </c>
      <c r="AS413" s="258">
        <f t="shared" si="75"/>
        <v>31068</v>
      </c>
      <c r="AT413" s="259"/>
      <c r="AU413" s="253"/>
      <c r="AV413" s="267"/>
      <c r="AW413" s="268"/>
      <c r="AX413" s="252"/>
      <c r="AY413" s="253"/>
      <c r="AZ413" s="267"/>
      <c r="BA413" s="268"/>
      <c r="BB413" s="252"/>
      <c r="BC413" s="253"/>
      <c r="BD413" s="267"/>
      <c r="BE413" s="268"/>
      <c r="BF413" s="252"/>
      <c r="BG413" s="253"/>
      <c r="BH413" s="267"/>
      <c r="BI413" s="268"/>
      <c r="BJ413" s="252"/>
      <c r="BK413" s="253"/>
      <c r="BL413" s="267"/>
      <c r="BM413" s="268"/>
      <c r="BN413" s="252"/>
      <c r="BO413" s="253"/>
      <c r="BP413" s="267"/>
      <c r="BQ413" s="268"/>
      <c r="BR413" s="252"/>
      <c r="BS413" s="253"/>
      <c r="BT413" s="267"/>
      <c r="BU413" s="268"/>
      <c r="BV413" s="252"/>
      <c r="BW413" s="253"/>
      <c r="BX413" s="267"/>
      <c r="BY413" s="268"/>
      <c r="BZ413" s="252"/>
      <c r="CA413" s="253"/>
      <c r="CB413" s="267"/>
      <c r="CC413" s="268"/>
      <c r="CD413" s="255">
        <f t="shared" si="76"/>
        <v>0</v>
      </c>
      <c r="CE413" s="256">
        <f t="shared" si="77"/>
        <v>0</v>
      </c>
      <c r="CF413" s="257">
        <f t="shared" si="78"/>
        <v>0</v>
      </c>
      <c r="CG413" s="261">
        <f t="shared" si="79"/>
        <v>0</v>
      </c>
    </row>
    <row r="414" spans="1:85" s="263" customFormat="1" ht="12.75" customHeight="1">
      <c r="A414" s="435" t="s">
        <v>42</v>
      </c>
      <c r="B414" s="356" t="s">
        <v>1025</v>
      </c>
      <c r="C414" s="497"/>
      <c r="D414" s="522">
        <v>365480</v>
      </c>
      <c r="E414" s="358">
        <v>13</v>
      </c>
      <c r="F414" s="252"/>
      <c r="G414" s="253"/>
      <c r="H414" s="267">
        <v>24</v>
      </c>
      <c r="I414" s="268">
        <v>76057</v>
      </c>
      <c r="J414" s="252">
        <v>24</v>
      </c>
      <c r="K414" s="253">
        <v>116859</v>
      </c>
      <c r="L414" s="267">
        <v>24</v>
      </c>
      <c r="M414" s="268">
        <v>126223</v>
      </c>
      <c r="N414" s="252"/>
      <c r="O414" s="253"/>
      <c r="P414" s="267"/>
      <c r="Q414" s="268"/>
      <c r="R414" s="252"/>
      <c r="S414" s="253"/>
      <c r="T414" s="267"/>
      <c r="U414" s="268"/>
      <c r="V414" s="252"/>
      <c r="W414" s="253"/>
      <c r="X414" s="267"/>
      <c r="Y414" s="268"/>
      <c r="Z414" s="252"/>
      <c r="AA414" s="253"/>
      <c r="AB414" s="267"/>
      <c r="AC414" s="268"/>
      <c r="AD414" s="252"/>
      <c r="AE414" s="253"/>
      <c r="AF414" s="267"/>
      <c r="AG414" s="268"/>
      <c r="AH414" s="252"/>
      <c r="AI414" s="253"/>
      <c r="AJ414" s="267"/>
      <c r="AK414" s="268"/>
      <c r="AL414" s="252">
        <v>24</v>
      </c>
      <c r="AM414" s="253">
        <v>26323</v>
      </c>
      <c r="AN414" s="267">
        <v>24</v>
      </c>
      <c r="AO414" s="268">
        <v>21292</v>
      </c>
      <c r="AP414" s="255">
        <f t="shared" si="72"/>
        <v>24</v>
      </c>
      <c r="AQ414" s="256">
        <f t="shared" si="73"/>
        <v>143182</v>
      </c>
      <c r="AR414" s="257">
        <f t="shared" si="74"/>
        <v>24</v>
      </c>
      <c r="AS414" s="258">
        <f t="shared" si="75"/>
        <v>223572</v>
      </c>
      <c r="AT414" s="259"/>
      <c r="AU414" s="253"/>
      <c r="AV414" s="267">
        <v>11</v>
      </c>
      <c r="AW414" s="268">
        <v>43505</v>
      </c>
      <c r="AX414" s="252">
        <v>10</v>
      </c>
      <c r="AY414" s="253">
        <v>48821</v>
      </c>
      <c r="AZ414" s="267">
        <v>11</v>
      </c>
      <c r="BA414" s="268">
        <v>58454</v>
      </c>
      <c r="BB414" s="252"/>
      <c r="BC414" s="253"/>
      <c r="BD414" s="267"/>
      <c r="BE414" s="268"/>
      <c r="BF414" s="252"/>
      <c r="BG414" s="253"/>
      <c r="BH414" s="267"/>
      <c r="BI414" s="268"/>
      <c r="BJ414" s="252"/>
      <c r="BK414" s="253"/>
      <c r="BL414" s="267"/>
      <c r="BM414" s="268"/>
      <c r="BN414" s="252"/>
      <c r="BO414" s="253"/>
      <c r="BP414" s="267"/>
      <c r="BQ414" s="268"/>
      <c r="BR414" s="252"/>
      <c r="BS414" s="253"/>
      <c r="BT414" s="267"/>
      <c r="BU414" s="268"/>
      <c r="BV414" s="252"/>
      <c r="BW414" s="253"/>
      <c r="BX414" s="267"/>
      <c r="BY414" s="268"/>
      <c r="BZ414" s="252">
        <v>10</v>
      </c>
      <c r="CA414" s="253">
        <v>7918</v>
      </c>
      <c r="CB414" s="267">
        <v>11</v>
      </c>
      <c r="CC414" s="268">
        <v>9173</v>
      </c>
      <c r="CD414" s="255">
        <f t="shared" si="76"/>
        <v>10</v>
      </c>
      <c r="CE414" s="256">
        <f t="shared" si="77"/>
        <v>56739</v>
      </c>
      <c r="CF414" s="257">
        <f t="shared" si="78"/>
        <v>11</v>
      </c>
      <c r="CG414" s="261">
        <f t="shared" si="79"/>
        <v>111132</v>
      </c>
    </row>
    <row r="415" spans="1:85" s="263" customFormat="1" ht="12.75" customHeight="1">
      <c r="A415" s="435" t="s">
        <v>42</v>
      </c>
      <c r="B415" s="356" t="s">
        <v>1026</v>
      </c>
      <c r="C415" s="497"/>
      <c r="D415" s="522">
        <v>418320</v>
      </c>
      <c r="E415" s="358">
        <v>13</v>
      </c>
      <c r="F415" s="252">
        <v>21</v>
      </c>
      <c r="G415" s="253">
        <v>68094</v>
      </c>
      <c r="H415" s="267">
        <v>20</v>
      </c>
      <c r="I415" s="268">
        <v>66293</v>
      </c>
      <c r="J415" s="252">
        <v>13</v>
      </c>
      <c r="K415" s="253">
        <v>62664</v>
      </c>
      <c r="L415" s="267">
        <v>12</v>
      </c>
      <c r="M415" s="268">
        <v>61897</v>
      </c>
      <c r="N415" s="252"/>
      <c r="O415" s="253"/>
      <c r="P415" s="267"/>
      <c r="Q415" s="268"/>
      <c r="R415" s="252"/>
      <c r="S415" s="253"/>
      <c r="T415" s="267"/>
      <c r="U415" s="268"/>
      <c r="V415" s="252"/>
      <c r="W415" s="253"/>
      <c r="X415" s="267"/>
      <c r="Y415" s="268"/>
      <c r="Z415" s="252"/>
      <c r="AA415" s="253"/>
      <c r="AB415" s="267"/>
      <c r="AC415" s="268"/>
      <c r="AD415" s="252"/>
      <c r="AE415" s="253"/>
      <c r="AF415" s="267"/>
      <c r="AG415" s="268"/>
      <c r="AH415" s="252"/>
      <c r="AI415" s="253"/>
      <c r="AJ415" s="267"/>
      <c r="AK415" s="268"/>
      <c r="AL415" s="252">
        <v>21</v>
      </c>
      <c r="AM415" s="253">
        <v>62161</v>
      </c>
      <c r="AN415" s="267">
        <v>20</v>
      </c>
      <c r="AO415" s="268">
        <v>59588</v>
      </c>
      <c r="AP415" s="255">
        <f t="shared" si="72"/>
        <v>21</v>
      </c>
      <c r="AQ415" s="256">
        <f t="shared" si="73"/>
        <v>192919</v>
      </c>
      <c r="AR415" s="257">
        <f t="shared" si="74"/>
        <v>20</v>
      </c>
      <c r="AS415" s="258">
        <f t="shared" si="75"/>
        <v>187778</v>
      </c>
      <c r="AT415" s="259">
        <v>7</v>
      </c>
      <c r="AU415" s="253">
        <v>27357</v>
      </c>
      <c r="AV415" s="267">
        <v>7</v>
      </c>
      <c r="AW415" s="268">
        <v>27318</v>
      </c>
      <c r="AX415" s="252">
        <v>7</v>
      </c>
      <c r="AY415" s="253">
        <v>34366</v>
      </c>
      <c r="AZ415" s="267">
        <v>7</v>
      </c>
      <c r="BA415" s="268">
        <v>36491</v>
      </c>
      <c r="BB415" s="252"/>
      <c r="BC415" s="253"/>
      <c r="BD415" s="267"/>
      <c r="BE415" s="268"/>
      <c r="BF415" s="252"/>
      <c r="BG415" s="253"/>
      <c r="BH415" s="267"/>
      <c r="BI415" s="268"/>
      <c r="BJ415" s="252"/>
      <c r="BK415" s="253"/>
      <c r="BL415" s="267"/>
      <c r="BM415" s="268"/>
      <c r="BN415" s="252"/>
      <c r="BO415" s="253"/>
      <c r="BP415" s="267"/>
      <c r="BQ415" s="268"/>
      <c r="BR415" s="252"/>
      <c r="BS415" s="253"/>
      <c r="BT415" s="267"/>
      <c r="BU415" s="268"/>
      <c r="BV415" s="252"/>
      <c r="BW415" s="253"/>
      <c r="BX415" s="267"/>
      <c r="BY415" s="268"/>
      <c r="BZ415" s="252">
        <v>7</v>
      </c>
      <c r="CA415" s="253">
        <v>10426</v>
      </c>
      <c r="CB415" s="267">
        <v>7</v>
      </c>
      <c r="CC415" s="268">
        <v>10011</v>
      </c>
      <c r="CD415" s="255">
        <f t="shared" si="76"/>
        <v>7</v>
      </c>
      <c r="CE415" s="256">
        <f t="shared" si="77"/>
        <v>72149</v>
      </c>
      <c r="CF415" s="257">
        <f t="shared" si="78"/>
        <v>7</v>
      </c>
      <c r="CG415" s="261">
        <f t="shared" si="79"/>
        <v>73820</v>
      </c>
    </row>
    <row r="416" spans="1:85" s="263" customFormat="1" ht="12.75" customHeight="1">
      <c r="A416" s="435" t="s">
        <v>42</v>
      </c>
      <c r="B416" s="356" t="s">
        <v>1027</v>
      </c>
      <c r="C416" s="497"/>
      <c r="D416" s="522">
        <v>431017</v>
      </c>
      <c r="E416" s="358">
        <v>13</v>
      </c>
      <c r="F416" s="252">
        <v>21</v>
      </c>
      <c r="G416" s="253">
        <v>80910</v>
      </c>
      <c r="H416" s="267">
        <v>19</v>
      </c>
      <c r="I416" s="268">
        <v>73760</v>
      </c>
      <c r="J416" s="252">
        <v>21</v>
      </c>
      <c r="K416" s="253">
        <v>68726</v>
      </c>
      <c r="L416" s="267">
        <v>12</v>
      </c>
      <c r="M416" s="268">
        <v>58908</v>
      </c>
      <c r="N416" s="252"/>
      <c r="O416" s="253"/>
      <c r="P416" s="267"/>
      <c r="Q416" s="268"/>
      <c r="R416" s="252"/>
      <c r="S416" s="253"/>
      <c r="T416" s="267"/>
      <c r="U416" s="268"/>
      <c r="V416" s="252"/>
      <c r="W416" s="253"/>
      <c r="X416" s="267"/>
      <c r="Y416" s="268"/>
      <c r="Z416" s="252"/>
      <c r="AA416" s="253"/>
      <c r="AB416" s="267"/>
      <c r="AC416" s="268"/>
      <c r="AD416" s="252"/>
      <c r="AE416" s="253"/>
      <c r="AF416" s="267"/>
      <c r="AG416" s="268"/>
      <c r="AH416" s="252"/>
      <c r="AI416" s="253"/>
      <c r="AJ416" s="267"/>
      <c r="AK416" s="268"/>
      <c r="AL416" s="252">
        <v>21</v>
      </c>
      <c r="AM416" s="253">
        <v>18622</v>
      </c>
      <c r="AN416" s="267">
        <v>19</v>
      </c>
      <c r="AO416" s="268">
        <v>17540</v>
      </c>
      <c r="AP416" s="255">
        <f t="shared" si="72"/>
        <v>21</v>
      </c>
      <c r="AQ416" s="256">
        <f t="shared" si="73"/>
        <v>168258</v>
      </c>
      <c r="AR416" s="257">
        <f t="shared" si="74"/>
        <v>19</v>
      </c>
      <c r="AS416" s="258">
        <f t="shared" si="75"/>
        <v>150208</v>
      </c>
      <c r="AT416" s="259">
        <v>6</v>
      </c>
      <c r="AU416" s="253">
        <v>22002</v>
      </c>
      <c r="AV416" s="267">
        <v>5</v>
      </c>
      <c r="AW416" s="268">
        <v>22002</v>
      </c>
      <c r="AX416" s="252">
        <v>6</v>
      </c>
      <c r="AY416" s="253">
        <v>22408</v>
      </c>
      <c r="AZ416" s="267">
        <v>5</v>
      </c>
      <c r="BA416" s="268">
        <v>22408</v>
      </c>
      <c r="BB416" s="252"/>
      <c r="BC416" s="253"/>
      <c r="BD416" s="267"/>
      <c r="BE416" s="268"/>
      <c r="BF416" s="252"/>
      <c r="BG416" s="253"/>
      <c r="BH416" s="267"/>
      <c r="BI416" s="268"/>
      <c r="BJ416" s="252"/>
      <c r="BK416" s="253"/>
      <c r="BL416" s="267"/>
      <c r="BM416" s="268"/>
      <c r="BN416" s="252"/>
      <c r="BO416" s="253"/>
      <c r="BP416" s="267"/>
      <c r="BQ416" s="268"/>
      <c r="BR416" s="252"/>
      <c r="BS416" s="253"/>
      <c r="BT416" s="267"/>
      <c r="BU416" s="268"/>
      <c r="BV416" s="252"/>
      <c r="BW416" s="253"/>
      <c r="BX416" s="267"/>
      <c r="BY416" s="268"/>
      <c r="BZ416" s="252">
        <v>6</v>
      </c>
      <c r="CA416" s="253">
        <v>11008</v>
      </c>
      <c r="CB416" s="267">
        <v>4</v>
      </c>
      <c r="CC416" s="268">
        <v>11008</v>
      </c>
      <c r="CD416" s="255">
        <f t="shared" si="76"/>
        <v>6</v>
      </c>
      <c r="CE416" s="256">
        <f t="shared" si="77"/>
        <v>55418</v>
      </c>
      <c r="CF416" s="257">
        <f t="shared" si="78"/>
        <v>5</v>
      </c>
      <c r="CG416" s="261">
        <f t="shared" si="79"/>
        <v>55418</v>
      </c>
    </row>
    <row r="417" spans="1:85" s="263" customFormat="1" ht="12.75" customHeight="1">
      <c r="A417" s="435" t="s">
        <v>42</v>
      </c>
      <c r="B417" s="436" t="s">
        <v>208</v>
      </c>
      <c r="C417" s="519"/>
      <c r="D417" s="522">
        <v>248606</v>
      </c>
      <c r="E417" s="358">
        <v>13</v>
      </c>
      <c r="F417" s="252">
        <v>45</v>
      </c>
      <c r="G417" s="253">
        <v>171649</v>
      </c>
      <c r="H417" s="267">
        <v>44</v>
      </c>
      <c r="I417" s="268">
        <v>167835</v>
      </c>
      <c r="J417" s="252">
        <v>32</v>
      </c>
      <c r="K417" s="253">
        <v>177290</v>
      </c>
      <c r="L417" s="267">
        <v>31</v>
      </c>
      <c r="M417" s="268">
        <v>172381</v>
      </c>
      <c r="N417" s="252"/>
      <c r="O417" s="253"/>
      <c r="P417" s="267"/>
      <c r="Q417" s="268"/>
      <c r="R417" s="252"/>
      <c r="S417" s="253"/>
      <c r="T417" s="267"/>
      <c r="U417" s="268"/>
      <c r="V417" s="252"/>
      <c r="W417" s="253"/>
      <c r="X417" s="267"/>
      <c r="Y417" s="268"/>
      <c r="Z417" s="252"/>
      <c r="AA417" s="253"/>
      <c r="AB417" s="267"/>
      <c r="AC417" s="268"/>
      <c r="AD417" s="252"/>
      <c r="AE417" s="253"/>
      <c r="AF417" s="267"/>
      <c r="AG417" s="268"/>
      <c r="AH417" s="252"/>
      <c r="AI417" s="253"/>
      <c r="AJ417" s="267"/>
      <c r="AK417" s="268"/>
      <c r="AL417" s="252">
        <v>46</v>
      </c>
      <c r="AM417" s="253">
        <v>288404</v>
      </c>
      <c r="AN417" s="267">
        <v>45</v>
      </c>
      <c r="AO417" s="268">
        <v>284902</v>
      </c>
      <c r="AP417" s="255">
        <f t="shared" si="72"/>
        <v>46</v>
      </c>
      <c r="AQ417" s="256">
        <f t="shared" si="73"/>
        <v>637343</v>
      </c>
      <c r="AR417" s="257">
        <f t="shared" si="74"/>
        <v>45</v>
      </c>
      <c r="AS417" s="258">
        <f t="shared" si="75"/>
        <v>625118</v>
      </c>
      <c r="AT417" s="259">
        <v>1</v>
      </c>
      <c r="AU417" s="253">
        <v>4211</v>
      </c>
      <c r="AV417" s="267">
        <v>1</v>
      </c>
      <c r="AW417" s="268">
        <v>4211</v>
      </c>
      <c r="AX417" s="252">
        <v>1</v>
      </c>
      <c r="AY417" s="253">
        <v>5359</v>
      </c>
      <c r="AZ417" s="267">
        <v>1</v>
      </c>
      <c r="BA417" s="268">
        <v>5359</v>
      </c>
      <c r="BB417" s="252"/>
      <c r="BC417" s="253"/>
      <c r="BD417" s="267"/>
      <c r="BE417" s="268"/>
      <c r="BF417" s="252"/>
      <c r="BG417" s="253"/>
      <c r="BH417" s="267"/>
      <c r="BI417" s="268"/>
      <c r="BJ417" s="252"/>
      <c r="BK417" s="253"/>
      <c r="BL417" s="267"/>
      <c r="BM417" s="268"/>
      <c r="BN417" s="252"/>
      <c r="BO417" s="253"/>
      <c r="BP417" s="267"/>
      <c r="BQ417" s="268"/>
      <c r="BR417" s="252"/>
      <c r="BS417" s="253"/>
      <c r="BT417" s="267"/>
      <c r="BU417" s="268"/>
      <c r="BV417" s="252"/>
      <c r="BW417" s="253"/>
      <c r="BX417" s="267"/>
      <c r="BY417" s="268"/>
      <c r="BZ417" s="252">
        <v>1</v>
      </c>
      <c r="CA417" s="253">
        <v>4099</v>
      </c>
      <c r="CB417" s="267">
        <v>1</v>
      </c>
      <c r="CC417" s="268">
        <v>4099</v>
      </c>
      <c r="CD417" s="255">
        <f t="shared" si="76"/>
        <v>1</v>
      </c>
      <c r="CE417" s="256">
        <f t="shared" si="77"/>
        <v>13669</v>
      </c>
      <c r="CF417" s="257">
        <f t="shared" si="78"/>
        <v>1</v>
      </c>
      <c r="CG417" s="261">
        <f t="shared" si="79"/>
        <v>13669</v>
      </c>
    </row>
    <row r="418" spans="1:85" s="263" customFormat="1" ht="12.75" customHeight="1">
      <c r="A418" s="435" t="s">
        <v>42</v>
      </c>
      <c r="B418" s="356" t="s">
        <v>1028</v>
      </c>
      <c r="C418" s="497"/>
      <c r="D418" s="522">
        <v>420459</v>
      </c>
      <c r="E418" s="358">
        <v>13</v>
      </c>
      <c r="F418" s="252">
        <v>16</v>
      </c>
      <c r="G418" s="253">
        <v>60633</v>
      </c>
      <c r="H418" s="267">
        <v>15</v>
      </c>
      <c r="I418" s="268">
        <v>57316</v>
      </c>
      <c r="J418" s="252">
        <v>16</v>
      </c>
      <c r="K418" s="253">
        <v>82320</v>
      </c>
      <c r="L418" s="267">
        <v>15</v>
      </c>
      <c r="M418" s="268">
        <v>79710</v>
      </c>
      <c r="N418" s="252"/>
      <c r="O418" s="253"/>
      <c r="P418" s="267"/>
      <c r="Q418" s="268"/>
      <c r="R418" s="252"/>
      <c r="S418" s="253"/>
      <c r="T418" s="267"/>
      <c r="U418" s="268"/>
      <c r="V418" s="252"/>
      <c r="W418" s="253"/>
      <c r="X418" s="267"/>
      <c r="Y418" s="268"/>
      <c r="Z418" s="252"/>
      <c r="AA418" s="253"/>
      <c r="AB418" s="267"/>
      <c r="AC418" s="268"/>
      <c r="AD418" s="252"/>
      <c r="AE418" s="253"/>
      <c r="AF418" s="267"/>
      <c r="AG418" s="268"/>
      <c r="AH418" s="252"/>
      <c r="AI418" s="253"/>
      <c r="AJ418" s="267"/>
      <c r="AK418" s="268"/>
      <c r="AL418" s="252">
        <v>16</v>
      </c>
      <c r="AM418" s="253">
        <v>124955</v>
      </c>
      <c r="AN418" s="267">
        <v>15</v>
      </c>
      <c r="AO418" s="268">
        <v>115773</v>
      </c>
      <c r="AP418" s="255">
        <f t="shared" si="72"/>
        <v>16</v>
      </c>
      <c r="AQ418" s="256">
        <f t="shared" si="73"/>
        <v>267908</v>
      </c>
      <c r="AR418" s="257">
        <f t="shared" si="74"/>
        <v>15</v>
      </c>
      <c r="AS418" s="258">
        <f t="shared" si="75"/>
        <v>252799</v>
      </c>
      <c r="AT418" s="259">
        <v>4</v>
      </c>
      <c r="AU418" s="253">
        <v>19009</v>
      </c>
      <c r="AV418" s="267">
        <v>4</v>
      </c>
      <c r="AW418" s="268">
        <v>19656</v>
      </c>
      <c r="AX418" s="252">
        <v>4</v>
      </c>
      <c r="AY418" s="253">
        <v>20448</v>
      </c>
      <c r="AZ418" s="267">
        <v>4</v>
      </c>
      <c r="BA418" s="268">
        <v>21256</v>
      </c>
      <c r="BB418" s="252"/>
      <c r="BC418" s="253"/>
      <c r="BD418" s="267"/>
      <c r="BE418" s="268"/>
      <c r="BF418" s="252"/>
      <c r="BG418" s="253"/>
      <c r="BH418" s="267"/>
      <c r="BI418" s="268"/>
      <c r="BJ418" s="252"/>
      <c r="BK418" s="253"/>
      <c r="BL418" s="267"/>
      <c r="BM418" s="268"/>
      <c r="BN418" s="252"/>
      <c r="BO418" s="253"/>
      <c r="BP418" s="267"/>
      <c r="BQ418" s="268"/>
      <c r="BR418" s="252"/>
      <c r="BS418" s="253"/>
      <c r="BT418" s="267"/>
      <c r="BU418" s="268"/>
      <c r="BV418" s="252"/>
      <c r="BW418" s="253"/>
      <c r="BX418" s="267"/>
      <c r="BY418" s="268"/>
      <c r="BZ418" s="252">
        <v>4</v>
      </c>
      <c r="CA418" s="253">
        <v>30284</v>
      </c>
      <c r="CB418" s="267">
        <v>4</v>
      </c>
      <c r="CC418" s="268">
        <v>29501</v>
      </c>
      <c r="CD418" s="255">
        <f t="shared" si="76"/>
        <v>4</v>
      </c>
      <c r="CE418" s="256">
        <f t="shared" si="77"/>
        <v>69741</v>
      </c>
      <c r="CF418" s="257">
        <f t="shared" si="78"/>
        <v>4</v>
      </c>
      <c r="CG418" s="261">
        <f t="shared" si="79"/>
        <v>70413</v>
      </c>
    </row>
    <row r="419" spans="1:85" s="263" customFormat="1" ht="12.75" customHeight="1">
      <c r="A419" s="435" t="s">
        <v>42</v>
      </c>
      <c r="B419" s="437" t="s">
        <v>1029</v>
      </c>
      <c r="C419" s="520"/>
      <c r="D419" s="523">
        <v>432074</v>
      </c>
      <c r="E419" s="358">
        <v>13</v>
      </c>
      <c r="F419" s="252">
        <v>6</v>
      </c>
      <c r="G419" s="253">
        <v>23450</v>
      </c>
      <c r="H419" s="267">
        <v>6</v>
      </c>
      <c r="I419" s="268">
        <v>22898</v>
      </c>
      <c r="J419" s="252">
        <v>5</v>
      </c>
      <c r="K419" s="253">
        <v>25725</v>
      </c>
      <c r="L419" s="267">
        <v>6</v>
      </c>
      <c r="M419" s="268">
        <v>31884</v>
      </c>
      <c r="N419" s="252"/>
      <c r="O419" s="253"/>
      <c r="P419" s="267"/>
      <c r="Q419" s="268"/>
      <c r="R419" s="252"/>
      <c r="S419" s="253"/>
      <c r="T419" s="267"/>
      <c r="U419" s="268"/>
      <c r="V419" s="252"/>
      <c r="W419" s="253"/>
      <c r="X419" s="267"/>
      <c r="Y419" s="268"/>
      <c r="Z419" s="252"/>
      <c r="AA419" s="253"/>
      <c r="AB419" s="267"/>
      <c r="AC419" s="268"/>
      <c r="AD419" s="252"/>
      <c r="AE419" s="253"/>
      <c r="AF419" s="267"/>
      <c r="AG419" s="268"/>
      <c r="AH419" s="252"/>
      <c r="AI419" s="253"/>
      <c r="AJ419" s="267"/>
      <c r="AK419" s="268"/>
      <c r="AL419" s="252">
        <v>6</v>
      </c>
      <c r="AM419" s="253">
        <v>45069</v>
      </c>
      <c r="AN419" s="267">
        <v>6</v>
      </c>
      <c r="AO419" s="268">
        <v>43662</v>
      </c>
      <c r="AP419" s="255">
        <f t="shared" si="72"/>
        <v>6</v>
      </c>
      <c r="AQ419" s="256">
        <f t="shared" si="73"/>
        <v>94244</v>
      </c>
      <c r="AR419" s="257">
        <f t="shared" si="74"/>
        <v>6</v>
      </c>
      <c r="AS419" s="258">
        <f t="shared" si="75"/>
        <v>98444</v>
      </c>
      <c r="AT419" s="259">
        <v>3</v>
      </c>
      <c r="AU419" s="253">
        <v>14372</v>
      </c>
      <c r="AV419" s="267">
        <v>3</v>
      </c>
      <c r="AW419" s="268">
        <v>14460</v>
      </c>
      <c r="AX419" s="252">
        <v>3</v>
      </c>
      <c r="AY419" s="253">
        <v>15369</v>
      </c>
      <c r="AZ419" s="267">
        <v>3</v>
      </c>
      <c r="BA419" s="268">
        <v>15942</v>
      </c>
      <c r="BB419" s="252"/>
      <c r="BC419" s="253"/>
      <c r="BD419" s="267"/>
      <c r="BE419" s="268"/>
      <c r="BF419" s="252"/>
      <c r="BG419" s="253"/>
      <c r="BH419" s="267"/>
      <c r="BI419" s="268"/>
      <c r="BJ419" s="252"/>
      <c r="BK419" s="253"/>
      <c r="BL419" s="267"/>
      <c r="BM419" s="268"/>
      <c r="BN419" s="252"/>
      <c r="BO419" s="253"/>
      <c r="BP419" s="267"/>
      <c r="BQ419" s="268"/>
      <c r="BR419" s="252"/>
      <c r="BS419" s="253"/>
      <c r="BT419" s="267"/>
      <c r="BU419" s="268"/>
      <c r="BV419" s="252"/>
      <c r="BW419" s="253"/>
      <c r="BX419" s="267"/>
      <c r="BY419" s="268"/>
      <c r="BZ419" s="252">
        <v>3</v>
      </c>
      <c r="CA419" s="253">
        <v>22925</v>
      </c>
      <c r="CB419" s="267">
        <v>3</v>
      </c>
      <c r="CC419" s="268">
        <v>22473</v>
      </c>
      <c r="CD419" s="255">
        <f t="shared" si="76"/>
        <v>3</v>
      </c>
      <c r="CE419" s="256">
        <f t="shared" si="77"/>
        <v>52666</v>
      </c>
      <c r="CF419" s="257">
        <f t="shared" si="78"/>
        <v>3</v>
      </c>
      <c r="CG419" s="261">
        <f t="shared" si="79"/>
        <v>52875</v>
      </c>
    </row>
    <row r="420" spans="1:85" s="263" customFormat="1" ht="12.75" customHeight="1">
      <c r="A420" s="435" t="s">
        <v>42</v>
      </c>
      <c r="B420" s="437" t="s">
        <v>1030</v>
      </c>
      <c r="C420" s="520"/>
      <c r="D420" s="523">
        <v>418339</v>
      </c>
      <c r="E420" s="358">
        <v>13</v>
      </c>
      <c r="F420" s="252">
        <v>15</v>
      </c>
      <c r="G420" s="253">
        <v>57882</v>
      </c>
      <c r="H420" s="267">
        <v>14</v>
      </c>
      <c r="I420" s="268">
        <v>54853</v>
      </c>
      <c r="J420" s="252">
        <v>15</v>
      </c>
      <c r="K420" s="253">
        <v>77175</v>
      </c>
      <c r="L420" s="267">
        <v>14</v>
      </c>
      <c r="M420" s="268">
        <v>74396</v>
      </c>
      <c r="N420" s="252"/>
      <c r="O420" s="253"/>
      <c r="P420" s="267"/>
      <c r="Q420" s="268"/>
      <c r="R420" s="252"/>
      <c r="S420" s="253"/>
      <c r="T420" s="267"/>
      <c r="U420" s="268"/>
      <c r="V420" s="252"/>
      <c r="W420" s="253"/>
      <c r="X420" s="267"/>
      <c r="Y420" s="268"/>
      <c r="Z420" s="252"/>
      <c r="AA420" s="253"/>
      <c r="AB420" s="267"/>
      <c r="AC420" s="268"/>
      <c r="AD420" s="252"/>
      <c r="AE420" s="253"/>
      <c r="AF420" s="267"/>
      <c r="AG420" s="268"/>
      <c r="AH420" s="252"/>
      <c r="AI420" s="253"/>
      <c r="AJ420" s="267"/>
      <c r="AK420" s="268"/>
      <c r="AL420" s="252">
        <v>15</v>
      </c>
      <c r="AM420" s="253">
        <v>116615</v>
      </c>
      <c r="AN420" s="267">
        <v>14</v>
      </c>
      <c r="AO420" s="268">
        <v>106976</v>
      </c>
      <c r="AP420" s="255">
        <f t="shared" si="72"/>
        <v>15</v>
      </c>
      <c r="AQ420" s="256">
        <f t="shared" si="73"/>
        <v>251672</v>
      </c>
      <c r="AR420" s="257">
        <f t="shared" si="74"/>
        <v>14</v>
      </c>
      <c r="AS420" s="258">
        <f t="shared" si="75"/>
        <v>236225</v>
      </c>
      <c r="AT420" s="259">
        <v>4</v>
      </c>
      <c r="AU420" s="253">
        <v>18803</v>
      </c>
      <c r="AV420" s="267">
        <v>3</v>
      </c>
      <c r="AW420" s="268">
        <v>14313</v>
      </c>
      <c r="AX420" s="252">
        <v>4</v>
      </c>
      <c r="AY420" s="253">
        <v>19976</v>
      </c>
      <c r="AZ420" s="267">
        <v>3</v>
      </c>
      <c r="BA420" s="268">
        <v>15942</v>
      </c>
      <c r="BB420" s="252"/>
      <c r="BC420" s="253"/>
      <c r="BD420" s="267"/>
      <c r="BE420" s="268"/>
      <c r="BF420" s="252"/>
      <c r="BG420" s="253"/>
      <c r="BH420" s="267"/>
      <c r="BI420" s="268"/>
      <c r="BJ420" s="252"/>
      <c r="BK420" s="253"/>
      <c r="BL420" s="267"/>
      <c r="BM420" s="268"/>
      <c r="BN420" s="252"/>
      <c r="BO420" s="253"/>
      <c r="BP420" s="267"/>
      <c r="BQ420" s="268"/>
      <c r="BR420" s="252"/>
      <c r="BS420" s="253"/>
      <c r="BT420" s="267"/>
      <c r="BU420" s="268"/>
      <c r="BV420" s="252"/>
      <c r="BW420" s="253"/>
      <c r="BX420" s="267"/>
      <c r="BY420" s="268"/>
      <c r="BZ420" s="252">
        <v>4</v>
      </c>
      <c r="CA420" s="253">
        <v>29600</v>
      </c>
      <c r="CB420" s="267">
        <v>3</v>
      </c>
      <c r="CC420" s="268">
        <v>22090</v>
      </c>
      <c r="CD420" s="255">
        <f t="shared" si="76"/>
        <v>4</v>
      </c>
      <c r="CE420" s="256">
        <f t="shared" si="77"/>
        <v>68379</v>
      </c>
      <c r="CF420" s="257">
        <f t="shared" si="78"/>
        <v>3</v>
      </c>
      <c r="CG420" s="261">
        <f t="shared" si="79"/>
        <v>52345</v>
      </c>
    </row>
    <row r="421" spans="1:85" s="263" customFormat="1" ht="12.75" customHeight="1">
      <c r="A421" s="435" t="s">
        <v>42</v>
      </c>
      <c r="B421" s="437" t="s">
        <v>1031</v>
      </c>
      <c r="C421" s="520"/>
      <c r="D421" s="523">
        <v>366623</v>
      </c>
      <c r="E421" s="358">
        <v>13</v>
      </c>
      <c r="F421" s="252">
        <v>5</v>
      </c>
      <c r="G421" s="253">
        <v>15761</v>
      </c>
      <c r="H421" s="267">
        <v>5</v>
      </c>
      <c r="I421" s="268">
        <v>15526</v>
      </c>
      <c r="J421" s="252">
        <v>5</v>
      </c>
      <c r="K421" s="253">
        <v>25895</v>
      </c>
      <c r="L421" s="267">
        <v>5</v>
      </c>
      <c r="M421" s="268">
        <v>26828</v>
      </c>
      <c r="N421" s="252"/>
      <c r="O421" s="253"/>
      <c r="P421" s="267"/>
      <c r="Q421" s="268"/>
      <c r="R421" s="252"/>
      <c r="S421" s="253"/>
      <c r="T421" s="267"/>
      <c r="U421" s="268"/>
      <c r="V421" s="252"/>
      <c r="W421" s="253"/>
      <c r="X421" s="267"/>
      <c r="Y421" s="268"/>
      <c r="Z421" s="252"/>
      <c r="AA421" s="253"/>
      <c r="AB421" s="267"/>
      <c r="AC421" s="268"/>
      <c r="AD421" s="252"/>
      <c r="AE421" s="253"/>
      <c r="AF421" s="267"/>
      <c r="AG421" s="268"/>
      <c r="AH421" s="252"/>
      <c r="AI421" s="253"/>
      <c r="AJ421" s="267"/>
      <c r="AK421" s="268"/>
      <c r="AL421" s="252">
        <v>5</v>
      </c>
      <c r="AM421" s="253">
        <v>6631</v>
      </c>
      <c r="AN421" s="267">
        <v>5</v>
      </c>
      <c r="AO421" s="268">
        <v>6922</v>
      </c>
      <c r="AP421" s="255">
        <f t="shared" si="72"/>
        <v>5</v>
      </c>
      <c r="AQ421" s="256">
        <f t="shared" si="73"/>
        <v>48287</v>
      </c>
      <c r="AR421" s="257">
        <f t="shared" si="74"/>
        <v>5</v>
      </c>
      <c r="AS421" s="258">
        <f t="shared" si="75"/>
        <v>49276</v>
      </c>
      <c r="AT421" s="259">
        <v>1</v>
      </c>
      <c r="AU421" s="253">
        <v>3973</v>
      </c>
      <c r="AV421" s="267">
        <v>1</v>
      </c>
      <c r="AW421" s="268">
        <v>3929</v>
      </c>
      <c r="AX421" s="252">
        <v>1</v>
      </c>
      <c r="AY421" s="253">
        <v>5145</v>
      </c>
      <c r="AZ421" s="267">
        <v>1</v>
      </c>
      <c r="BA421" s="268">
        <v>5360</v>
      </c>
      <c r="BB421" s="252"/>
      <c r="BC421" s="253"/>
      <c r="BD421" s="267"/>
      <c r="BE421" s="268"/>
      <c r="BF421" s="252"/>
      <c r="BG421" s="253"/>
      <c r="BH421" s="267"/>
      <c r="BI421" s="268"/>
      <c r="BJ421" s="252"/>
      <c r="BK421" s="253"/>
      <c r="BL421" s="267"/>
      <c r="BM421" s="268"/>
      <c r="BN421" s="252"/>
      <c r="BO421" s="253"/>
      <c r="BP421" s="267"/>
      <c r="BQ421" s="268"/>
      <c r="BR421" s="252"/>
      <c r="BS421" s="253"/>
      <c r="BT421" s="267"/>
      <c r="BU421" s="268"/>
      <c r="BV421" s="252"/>
      <c r="BW421" s="253"/>
      <c r="BX421" s="267"/>
      <c r="BY421" s="268"/>
      <c r="BZ421" s="252">
        <v>1</v>
      </c>
      <c r="CA421" s="253">
        <v>1304</v>
      </c>
      <c r="CB421" s="267">
        <v>1</v>
      </c>
      <c r="CC421" s="268">
        <v>1364</v>
      </c>
      <c r="CD421" s="255">
        <f t="shared" si="76"/>
        <v>1</v>
      </c>
      <c r="CE421" s="256">
        <f t="shared" si="77"/>
        <v>10422</v>
      </c>
      <c r="CF421" s="257">
        <f t="shared" si="78"/>
        <v>1</v>
      </c>
      <c r="CG421" s="261">
        <f t="shared" si="79"/>
        <v>10653</v>
      </c>
    </row>
    <row r="422" spans="1:85" s="263" customFormat="1" ht="12.75" customHeight="1">
      <c r="A422" s="435" t="s">
        <v>42</v>
      </c>
      <c r="B422" s="437" t="s">
        <v>1032</v>
      </c>
      <c r="C422" s="520"/>
      <c r="D422" s="523">
        <v>407601</v>
      </c>
      <c r="E422" s="358">
        <v>13</v>
      </c>
      <c r="F422" s="252">
        <v>5</v>
      </c>
      <c r="G422" s="253">
        <v>16301</v>
      </c>
      <c r="H422" s="267">
        <v>6</v>
      </c>
      <c r="I422" s="268">
        <v>19562</v>
      </c>
      <c r="J422" s="252">
        <v>5</v>
      </c>
      <c r="K422" s="253">
        <v>25895</v>
      </c>
      <c r="L422" s="267">
        <v>6</v>
      </c>
      <c r="M422" s="268">
        <v>32202</v>
      </c>
      <c r="N422" s="252"/>
      <c r="O422" s="253"/>
      <c r="P422" s="267"/>
      <c r="Q422" s="268"/>
      <c r="R422" s="252"/>
      <c r="S422" s="253"/>
      <c r="T422" s="267"/>
      <c r="U422" s="268"/>
      <c r="V422" s="252"/>
      <c r="W422" s="253"/>
      <c r="X422" s="267"/>
      <c r="Y422" s="268"/>
      <c r="Z422" s="252"/>
      <c r="AA422" s="253"/>
      <c r="AB422" s="267"/>
      <c r="AC422" s="268"/>
      <c r="AD422" s="252"/>
      <c r="AE422" s="253"/>
      <c r="AF422" s="267"/>
      <c r="AG422" s="268"/>
      <c r="AH422" s="252"/>
      <c r="AI422" s="253"/>
      <c r="AJ422" s="267"/>
      <c r="AK422" s="268"/>
      <c r="AL422" s="252">
        <v>5</v>
      </c>
      <c r="AM422" s="253">
        <v>6027</v>
      </c>
      <c r="AN422" s="267">
        <v>6</v>
      </c>
      <c r="AO422" s="268">
        <v>7213</v>
      </c>
      <c r="AP422" s="255">
        <f t="shared" si="72"/>
        <v>5</v>
      </c>
      <c r="AQ422" s="256">
        <f t="shared" si="73"/>
        <v>48223</v>
      </c>
      <c r="AR422" s="257">
        <f t="shared" si="74"/>
        <v>6</v>
      </c>
      <c r="AS422" s="258">
        <f t="shared" si="75"/>
        <v>58977</v>
      </c>
      <c r="AT422" s="259"/>
      <c r="AU422" s="253"/>
      <c r="AV422" s="267"/>
      <c r="AW422" s="268"/>
      <c r="AX422" s="252"/>
      <c r="AY422" s="253"/>
      <c r="AZ422" s="267"/>
      <c r="BA422" s="268"/>
      <c r="BB422" s="252"/>
      <c r="BC422" s="253"/>
      <c r="BD422" s="267"/>
      <c r="BE422" s="268"/>
      <c r="BF422" s="252"/>
      <c r="BG422" s="253"/>
      <c r="BH422" s="267"/>
      <c r="BI422" s="268"/>
      <c r="BJ422" s="252"/>
      <c r="BK422" s="253"/>
      <c r="BL422" s="267"/>
      <c r="BM422" s="268"/>
      <c r="BN422" s="252"/>
      <c r="BO422" s="253"/>
      <c r="BP422" s="267"/>
      <c r="BQ422" s="268"/>
      <c r="BR422" s="252"/>
      <c r="BS422" s="253"/>
      <c r="BT422" s="267"/>
      <c r="BU422" s="268"/>
      <c r="BV422" s="252"/>
      <c r="BW422" s="253"/>
      <c r="BX422" s="267"/>
      <c r="BY422" s="268"/>
      <c r="BZ422" s="252"/>
      <c r="CA422" s="253"/>
      <c r="CB422" s="267"/>
      <c r="CC422" s="268"/>
      <c r="CD422" s="255">
        <f t="shared" si="76"/>
        <v>0</v>
      </c>
      <c r="CE422" s="256">
        <f t="shared" si="77"/>
        <v>0</v>
      </c>
      <c r="CF422" s="257">
        <f t="shared" si="78"/>
        <v>0</v>
      </c>
      <c r="CG422" s="261">
        <f t="shared" si="79"/>
        <v>0</v>
      </c>
    </row>
    <row r="423" spans="1:85" s="263" customFormat="1" ht="12.75" customHeight="1">
      <c r="A423" s="435" t="s">
        <v>42</v>
      </c>
      <c r="B423" s="437" t="s">
        <v>1033</v>
      </c>
      <c r="C423" s="520"/>
      <c r="D423" s="523">
        <v>364627</v>
      </c>
      <c r="E423" s="358">
        <v>13</v>
      </c>
      <c r="F423" s="252">
        <v>15</v>
      </c>
      <c r="G423" s="253">
        <v>49312</v>
      </c>
      <c r="H423" s="267">
        <v>12</v>
      </c>
      <c r="I423" s="268">
        <v>37935</v>
      </c>
      <c r="J423" s="252">
        <v>15</v>
      </c>
      <c r="K423" s="253">
        <v>70749</v>
      </c>
      <c r="L423" s="267">
        <v>11</v>
      </c>
      <c r="M423" s="268">
        <v>58008</v>
      </c>
      <c r="N423" s="252"/>
      <c r="O423" s="253"/>
      <c r="P423" s="267"/>
      <c r="Q423" s="268"/>
      <c r="R423" s="252"/>
      <c r="S423" s="253"/>
      <c r="T423" s="267"/>
      <c r="U423" s="268"/>
      <c r="V423" s="252"/>
      <c r="W423" s="253"/>
      <c r="X423" s="267"/>
      <c r="Y423" s="268"/>
      <c r="Z423" s="252"/>
      <c r="AA423" s="253"/>
      <c r="AB423" s="267"/>
      <c r="AC423" s="268"/>
      <c r="AD423" s="252"/>
      <c r="AE423" s="253"/>
      <c r="AF423" s="267"/>
      <c r="AG423" s="268"/>
      <c r="AH423" s="252"/>
      <c r="AI423" s="253"/>
      <c r="AJ423" s="267"/>
      <c r="AK423" s="268"/>
      <c r="AL423" s="252">
        <v>15</v>
      </c>
      <c r="AM423" s="253">
        <v>18278</v>
      </c>
      <c r="AN423" s="267">
        <v>12</v>
      </c>
      <c r="AO423" s="268">
        <v>17707</v>
      </c>
      <c r="AP423" s="255">
        <f t="shared" si="72"/>
        <v>15</v>
      </c>
      <c r="AQ423" s="256">
        <f t="shared" si="73"/>
        <v>138339</v>
      </c>
      <c r="AR423" s="257">
        <f t="shared" si="74"/>
        <v>12</v>
      </c>
      <c r="AS423" s="258">
        <f t="shared" si="75"/>
        <v>113650</v>
      </c>
      <c r="AT423" s="259">
        <v>10</v>
      </c>
      <c r="AU423" s="253">
        <v>35177</v>
      </c>
      <c r="AV423" s="267">
        <v>13</v>
      </c>
      <c r="AW423" s="268">
        <v>48255</v>
      </c>
      <c r="AX423" s="252">
        <v>10</v>
      </c>
      <c r="AY423" s="253">
        <v>44780</v>
      </c>
      <c r="AZ423" s="267">
        <v>12</v>
      </c>
      <c r="BA423" s="268">
        <v>64248</v>
      </c>
      <c r="BB423" s="252"/>
      <c r="BC423" s="253"/>
      <c r="BD423" s="267"/>
      <c r="BE423" s="268"/>
      <c r="BF423" s="252"/>
      <c r="BG423" s="253"/>
      <c r="BH423" s="267"/>
      <c r="BI423" s="268"/>
      <c r="BJ423" s="252"/>
      <c r="BK423" s="253"/>
      <c r="BL423" s="267"/>
      <c r="BM423" s="268"/>
      <c r="BN423" s="252"/>
      <c r="BO423" s="253"/>
      <c r="BP423" s="267"/>
      <c r="BQ423" s="268"/>
      <c r="BR423" s="252"/>
      <c r="BS423" s="253"/>
      <c r="BT423" s="267"/>
      <c r="BU423" s="268"/>
      <c r="BV423" s="252"/>
      <c r="BW423" s="253"/>
      <c r="BX423" s="267"/>
      <c r="BY423" s="268"/>
      <c r="BZ423" s="252">
        <v>10</v>
      </c>
      <c r="CA423" s="253">
        <v>17277</v>
      </c>
      <c r="CB423" s="267">
        <v>13</v>
      </c>
      <c r="CC423" s="268">
        <v>18328</v>
      </c>
      <c r="CD423" s="255">
        <f t="shared" si="76"/>
        <v>10</v>
      </c>
      <c r="CE423" s="256">
        <f t="shared" si="77"/>
        <v>97234</v>
      </c>
      <c r="CF423" s="257">
        <f t="shared" si="78"/>
        <v>13</v>
      </c>
      <c r="CG423" s="261">
        <f t="shared" si="79"/>
        <v>130831</v>
      </c>
    </row>
    <row r="424" spans="1:85" s="263" customFormat="1" ht="12.75" customHeight="1">
      <c r="A424" s="435" t="s">
        <v>42</v>
      </c>
      <c r="B424" s="437" t="s">
        <v>1034</v>
      </c>
      <c r="C424" s="520"/>
      <c r="D424" s="523">
        <v>206905</v>
      </c>
      <c r="E424" s="358">
        <v>13</v>
      </c>
      <c r="F424" s="252">
        <v>6</v>
      </c>
      <c r="G424" s="253">
        <v>23149</v>
      </c>
      <c r="H424" s="267">
        <v>6</v>
      </c>
      <c r="I424" s="268">
        <v>21581</v>
      </c>
      <c r="J424" s="252">
        <v>6</v>
      </c>
      <c r="K424" s="253">
        <v>30870</v>
      </c>
      <c r="L424" s="267">
        <v>6</v>
      </c>
      <c r="M424" s="268">
        <v>30595</v>
      </c>
      <c r="N424" s="252"/>
      <c r="O424" s="253"/>
      <c r="P424" s="267"/>
      <c r="Q424" s="268"/>
      <c r="R424" s="252"/>
      <c r="S424" s="253"/>
      <c r="T424" s="267"/>
      <c r="U424" s="268"/>
      <c r="V424" s="252"/>
      <c r="W424" s="253"/>
      <c r="X424" s="267"/>
      <c r="Y424" s="268"/>
      <c r="Z424" s="252"/>
      <c r="AA424" s="253"/>
      <c r="AB424" s="267"/>
      <c r="AC424" s="268"/>
      <c r="AD424" s="252"/>
      <c r="AE424" s="253"/>
      <c r="AF424" s="267"/>
      <c r="AG424" s="268"/>
      <c r="AH424" s="252"/>
      <c r="AI424" s="253"/>
      <c r="AJ424" s="267"/>
      <c r="AK424" s="268"/>
      <c r="AL424" s="252">
        <v>6</v>
      </c>
      <c r="AM424" s="253">
        <v>2424</v>
      </c>
      <c r="AN424" s="267">
        <v>6</v>
      </c>
      <c r="AO424" s="268">
        <v>2403</v>
      </c>
      <c r="AP424" s="255">
        <f t="shared" si="72"/>
        <v>6</v>
      </c>
      <c r="AQ424" s="256">
        <f t="shared" si="73"/>
        <v>56443</v>
      </c>
      <c r="AR424" s="257">
        <f t="shared" si="74"/>
        <v>6</v>
      </c>
      <c r="AS424" s="258">
        <f t="shared" si="75"/>
        <v>54579</v>
      </c>
      <c r="AT424" s="259">
        <v>8</v>
      </c>
      <c r="AU424" s="253">
        <v>33574</v>
      </c>
      <c r="AV424" s="267">
        <v>7</v>
      </c>
      <c r="AW424" s="268">
        <v>29807</v>
      </c>
      <c r="AX424" s="252">
        <v>8</v>
      </c>
      <c r="AY424" s="253">
        <v>41160</v>
      </c>
      <c r="AZ424" s="267">
        <v>7</v>
      </c>
      <c r="BA424" s="268">
        <v>36015</v>
      </c>
      <c r="BB424" s="252"/>
      <c r="BC424" s="253"/>
      <c r="BD424" s="267"/>
      <c r="BE424" s="268"/>
      <c r="BF424" s="252"/>
      <c r="BG424" s="253"/>
      <c r="BH424" s="267"/>
      <c r="BI424" s="268"/>
      <c r="BJ424" s="252"/>
      <c r="BK424" s="253"/>
      <c r="BL424" s="267"/>
      <c r="BM424" s="268"/>
      <c r="BN424" s="252"/>
      <c r="BO424" s="253"/>
      <c r="BP424" s="267"/>
      <c r="BQ424" s="268"/>
      <c r="BR424" s="252"/>
      <c r="BS424" s="253"/>
      <c r="BT424" s="267"/>
      <c r="BU424" s="268"/>
      <c r="BV424" s="252"/>
      <c r="BW424" s="253"/>
      <c r="BX424" s="267"/>
      <c r="BY424" s="268"/>
      <c r="BZ424" s="252">
        <v>8</v>
      </c>
      <c r="CA424" s="253">
        <v>3232</v>
      </c>
      <c r="CB424" s="267">
        <v>7</v>
      </c>
      <c r="CC424" s="268">
        <v>2828</v>
      </c>
      <c r="CD424" s="255">
        <f t="shared" si="76"/>
        <v>8</v>
      </c>
      <c r="CE424" s="256">
        <f t="shared" si="77"/>
        <v>77966</v>
      </c>
      <c r="CF424" s="257">
        <f t="shared" si="78"/>
        <v>7</v>
      </c>
      <c r="CG424" s="261">
        <f t="shared" si="79"/>
        <v>68650</v>
      </c>
    </row>
    <row r="425" spans="1:85" s="263" customFormat="1" ht="12.75" customHeight="1">
      <c r="A425" s="435" t="s">
        <v>42</v>
      </c>
      <c r="B425" s="437" t="s">
        <v>1035</v>
      </c>
      <c r="C425" s="520"/>
      <c r="D425" s="523">
        <v>250993</v>
      </c>
      <c r="E425" s="358">
        <v>13</v>
      </c>
      <c r="F425" s="252">
        <v>15</v>
      </c>
      <c r="G425" s="253">
        <v>45756</v>
      </c>
      <c r="H425" s="267">
        <v>16</v>
      </c>
      <c r="I425" s="268">
        <v>49580</v>
      </c>
      <c r="J425" s="252">
        <v>15</v>
      </c>
      <c r="K425" s="253">
        <v>77142</v>
      </c>
      <c r="L425" s="267">
        <v>15</v>
      </c>
      <c r="M425" s="268">
        <v>79710</v>
      </c>
      <c r="N425" s="252"/>
      <c r="O425" s="253"/>
      <c r="P425" s="267"/>
      <c r="Q425" s="268"/>
      <c r="R425" s="252"/>
      <c r="S425" s="253"/>
      <c r="T425" s="267"/>
      <c r="U425" s="268"/>
      <c r="V425" s="252"/>
      <c r="W425" s="253"/>
      <c r="X425" s="267"/>
      <c r="Y425" s="268"/>
      <c r="Z425" s="252"/>
      <c r="AA425" s="253"/>
      <c r="AB425" s="267"/>
      <c r="AC425" s="268"/>
      <c r="AD425" s="252"/>
      <c r="AE425" s="253"/>
      <c r="AF425" s="267"/>
      <c r="AG425" s="268"/>
      <c r="AH425" s="252"/>
      <c r="AI425" s="253"/>
      <c r="AJ425" s="267"/>
      <c r="AK425" s="268"/>
      <c r="AL425" s="252">
        <v>15</v>
      </c>
      <c r="AM425" s="253">
        <v>16530</v>
      </c>
      <c r="AN425" s="267">
        <v>16</v>
      </c>
      <c r="AO425" s="268">
        <v>17474</v>
      </c>
      <c r="AP425" s="255">
        <f t="shared" si="72"/>
        <v>15</v>
      </c>
      <c r="AQ425" s="256">
        <f t="shared" si="73"/>
        <v>139428</v>
      </c>
      <c r="AR425" s="257">
        <f t="shared" si="74"/>
        <v>16</v>
      </c>
      <c r="AS425" s="258">
        <f t="shared" si="75"/>
        <v>146764</v>
      </c>
      <c r="AT425" s="259">
        <v>6</v>
      </c>
      <c r="AU425" s="253">
        <v>21187</v>
      </c>
      <c r="AV425" s="267">
        <v>6</v>
      </c>
      <c r="AW425" s="268">
        <v>21436</v>
      </c>
      <c r="AX425" s="252">
        <v>5</v>
      </c>
      <c r="AY425" s="253">
        <v>23004</v>
      </c>
      <c r="AZ425" s="267">
        <v>5</v>
      </c>
      <c r="BA425" s="268">
        <v>23913</v>
      </c>
      <c r="BB425" s="252"/>
      <c r="BC425" s="253"/>
      <c r="BD425" s="267"/>
      <c r="BE425" s="268"/>
      <c r="BF425" s="252"/>
      <c r="BG425" s="253"/>
      <c r="BH425" s="267"/>
      <c r="BI425" s="268"/>
      <c r="BJ425" s="252"/>
      <c r="BK425" s="253"/>
      <c r="BL425" s="267"/>
      <c r="BM425" s="268"/>
      <c r="BN425" s="252"/>
      <c r="BO425" s="253"/>
      <c r="BP425" s="267"/>
      <c r="BQ425" s="268"/>
      <c r="BR425" s="252"/>
      <c r="BS425" s="253"/>
      <c r="BT425" s="267"/>
      <c r="BU425" s="268"/>
      <c r="BV425" s="252"/>
      <c r="BW425" s="253"/>
      <c r="BX425" s="267"/>
      <c r="BY425" s="268"/>
      <c r="BZ425" s="252">
        <v>6</v>
      </c>
      <c r="CA425" s="253">
        <v>4912</v>
      </c>
      <c r="CB425" s="267">
        <v>6</v>
      </c>
      <c r="CC425" s="268">
        <v>5182</v>
      </c>
      <c r="CD425" s="255">
        <f t="shared" si="76"/>
        <v>6</v>
      </c>
      <c r="CE425" s="256">
        <f t="shared" si="77"/>
        <v>49103</v>
      </c>
      <c r="CF425" s="257">
        <f t="shared" si="78"/>
        <v>6</v>
      </c>
      <c r="CG425" s="261">
        <f t="shared" si="79"/>
        <v>50531</v>
      </c>
    </row>
    <row r="426" spans="1:85" s="263" customFormat="1" ht="12.75" customHeight="1">
      <c r="A426" s="435" t="s">
        <v>42</v>
      </c>
      <c r="B426" s="437" t="s">
        <v>1036</v>
      </c>
      <c r="C426" s="520"/>
      <c r="D426" s="523">
        <v>365198</v>
      </c>
      <c r="E426" s="358">
        <v>13</v>
      </c>
      <c r="F426" s="252"/>
      <c r="G426" s="253"/>
      <c r="H426" s="267">
        <v>1</v>
      </c>
      <c r="I426" s="268">
        <v>3475</v>
      </c>
      <c r="J426" s="252"/>
      <c r="K426" s="253"/>
      <c r="L426" s="267">
        <v>1</v>
      </c>
      <c r="M426" s="268">
        <v>5360</v>
      </c>
      <c r="N426" s="252"/>
      <c r="O426" s="253"/>
      <c r="P426" s="267"/>
      <c r="Q426" s="268"/>
      <c r="R426" s="252"/>
      <c r="S426" s="253"/>
      <c r="T426" s="267"/>
      <c r="U426" s="268"/>
      <c r="V426" s="252"/>
      <c r="W426" s="253"/>
      <c r="X426" s="267"/>
      <c r="Y426" s="268"/>
      <c r="Z426" s="252"/>
      <c r="AA426" s="253"/>
      <c r="AB426" s="267"/>
      <c r="AC426" s="268"/>
      <c r="AD426" s="252"/>
      <c r="AE426" s="253"/>
      <c r="AF426" s="267"/>
      <c r="AG426" s="268"/>
      <c r="AH426" s="252"/>
      <c r="AI426" s="253"/>
      <c r="AJ426" s="267"/>
      <c r="AK426" s="268"/>
      <c r="AL426" s="252"/>
      <c r="AM426" s="253"/>
      <c r="AN426" s="267">
        <v>1</v>
      </c>
      <c r="AO426" s="268">
        <v>1624</v>
      </c>
      <c r="AP426" s="255">
        <f t="shared" si="72"/>
        <v>0</v>
      </c>
      <c r="AQ426" s="256">
        <f t="shared" si="73"/>
        <v>0</v>
      </c>
      <c r="AR426" s="257">
        <f t="shared" si="74"/>
        <v>1</v>
      </c>
      <c r="AS426" s="258">
        <f t="shared" si="75"/>
        <v>10459</v>
      </c>
      <c r="AT426" s="259">
        <v>25</v>
      </c>
      <c r="AU426" s="253">
        <v>87722</v>
      </c>
      <c r="AV426" s="267">
        <v>23</v>
      </c>
      <c r="AW426" s="268">
        <v>81802</v>
      </c>
      <c r="AX426" s="252">
        <v>20</v>
      </c>
      <c r="AY426" s="253">
        <v>102491</v>
      </c>
      <c r="AZ426" s="267">
        <v>18</v>
      </c>
      <c r="BA426" s="268">
        <v>96480</v>
      </c>
      <c r="BB426" s="252"/>
      <c r="BC426" s="253"/>
      <c r="BD426" s="267"/>
      <c r="BE426" s="268"/>
      <c r="BF426" s="252"/>
      <c r="BG426" s="253"/>
      <c r="BH426" s="267"/>
      <c r="BI426" s="268"/>
      <c r="BJ426" s="252"/>
      <c r="BK426" s="253"/>
      <c r="BL426" s="267"/>
      <c r="BM426" s="268"/>
      <c r="BN426" s="252"/>
      <c r="BO426" s="253"/>
      <c r="BP426" s="267"/>
      <c r="BQ426" s="268"/>
      <c r="BR426" s="252"/>
      <c r="BS426" s="253"/>
      <c r="BT426" s="267"/>
      <c r="BU426" s="268"/>
      <c r="BV426" s="252"/>
      <c r="BW426" s="253"/>
      <c r="BX426" s="267"/>
      <c r="BY426" s="268"/>
      <c r="BZ426" s="252">
        <v>25</v>
      </c>
      <c r="CA426" s="253">
        <v>91024</v>
      </c>
      <c r="CB426" s="267">
        <v>23</v>
      </c>
      <c r="CC426" s="268">
        <v>82578</v>
      </c>
      <c r="CD426" s="255">
        <f t="shared" si="76"/>
        <v>25</v>
      </c>
      <c r="CE426" s="256">
        <f t="shared" si="77"/>
        <v>281237</v>
      </c>
      <c r="CF426" s="257">
        <f t="shared" si="78"/>
        <v>23</v>
      </c>
      <c r="CG426" s="261">
        <f t="shared" si="79"/>
        <v>260860</v>
      </c>
    </row>
    <row r="427" spans="1:85" s="263" customFormat="1" ht="12.75" customHeight="1">
      <c r="A427" s="435" t="s">
        <v>42</v>
      </c>
      <c r="B427" s="437" t="s">
        <v>1037</v>
      </c>
      <c r="C427" s="520"/>
      <c r="D427" s="523">
        <v>368364</v>
      </c>
      <c r="E427" s="358">
        <v>13</v>
      </c>
      <c r="F427" s="252">
        <v>8</v>
      </c>
      <c r="G427" s="253">
        <v>32195</v>
      </c>
      <c r="H427" s="267">
        <v>8</v>
      </c>
      <c r="I427" s="268">
        <v>32663</v>
      </c>
      <c r="J427" s="252">
        <v>8</v>
      </c>
      <c r="K427" s="253">
        <v>31839</v>
      </c>
      <c r="L427" s="267">
        <v>7</v>
      </c>
      <c r="M427" s="268">
        <v>32715</v>
      </c>
      <c r="N427" s="252"/>
      <c r="O427" s="253"/>
      <c r="P427" s="267"/>
      <c r="Q427" s="268"/>
      <c r="R427" s="252"/>
      <c r="S427" s="253"/>
      <c r="T427" s="267"/>
      <c r="U427" s="268"/>
      <c r="V427" s="252"/>
      <c r="W427" s="253"/>
      <c r="X427" s="267"/>
      <c r="Y427" s="268"/>
      <c r="Z427" s="252"/>
      <c r="AA427" s="253"/>
      <c r="AB427" s="267"/>
      <c r="AC427" s="268"/>
      <c r="AD427" s="252"/>
      <c r="AE427" s="253"/>
      <c r="AF427" s="267"/>
      <c r="AG427" s="268"/>
      <c r="AH427" s="252"/>
      <c r="AI427" s="253"/>
      <c r="AJ427" s="267"/>
      <c r="AK427" s="268"/>
      <c r="AL427" s="252">
        <v>8</v>
      </c>
      <c r="AM427" s="253">
        <v>31425</v>
      </c>
      <c r="AN427" s="267">
        <v>8</v>
      </c>
      <c r="AO427" s="268">
        <v>30701</v>
      </c>
      <c r="AP427" s="255">
        <f t="shared" si="72"/>
        <v>8</v>
      </c>
      <c r="AQ427" s="256">
        <f t="shared" si="73"/>
        <v>95459</v>
      </c>
      <c r="AR427" s="257">
        <f t="shared" si="74"/>
        <v>8</v>
      </c>
      <c r="AS427" s="258">
        <f t="shared" si="75"/>
        <v>96079</v>
      </c>
      <c r="AT427" s="259">
        <v>8</v>
      </c>
      <c r="AU427" s="253">
        <v>38594</v>
      </c>
      <c r="AV427" s="267">
        <v>8</v>
      </c>
      <c r="AW427" s="268">
        <v>39514</v>
      </c>
      <c r="AX427" s="252">
        <v>8</v>
      </c>
      <c r="AY427" s="253">
        <v>19636</v>
      </c>
      <c r="AZ427" s="267">
        <v>4</v>
      </c>
      <c r="BA427" s="268">
        <v>20511</v>
      </c>
      <c r="BB427" s="252"/>
      <c r="BC427" s="253"/>
      <c r="BD427" s="267"/>
      <c r="BE427" s="268"/>
      <c r="BF427" s="252"/>
      <c r="BG427" s="253"/>
      <c r="BH427" s="267"/>
      <c r="BI427" s="268"/>
      <c r="BJ427" s="252"/>
      <c r="BK427" s="253"/>
      <c r="BL427" s="267"/>
      <c r="BM427" s="268"/>
      <c r="BN427" s="252"/>
      <c r="BO427" s="253"/>
      <c r="BP427" s="267"/>
      <c r="BQ427" s="268"/>
      <c r="BR427" s="252"/>
      <c r="BS427" s="253"/>
      <c r="BT427" s="267"/>
      <c r="BU427" s="268"/>
      <c r="BV427" s="252"/>
      <c r="BW427" s="253"/>
      <c r="BX427" s="267"/>
      <c r="BY427" s="268"/>
      <c r="BZ427" s="252">
        <v>8</v>
      </c>
      <c r="CA427" s="253">
        <v>43043</v>
      </c>
      <c r="CB427" s="267">
        <v>8</v>
      </c>
      <c r="CC427" s="268">
        <v>43536</v>
      </c>
      <c r="CD427" s="255">
        <f t="shared" si="76"/>
        <v>8</v>
      </c>
      <c r="CE427" s="256">
        <f t="shared" si="77"/>
        <v>101273</v>
      </c>
      <c r="CF427" s="257">
        <f t="shared" si="78"/>
        <v>8</v>
      </c>
      <c r="CG427" s="261">
        <f t="shared" si="79"/>
        <v>103561</v>
      </c>
    </row>
    <row r="428" spans="1:85" s="263" customFormat="1" ht="12.75" customHeight="1">
      <c r="A428" s="435" t="s">
        <v>42</v>
      </c>
      <c r="B428" s="437" t="s">
        <v>1038</v>
      </c>
      <c r="C428" s="520"/>
      <c r="D428" s="523">
        <v>418287</v>
      </c>
      <c r="E428" s="358">
        <v>13</v>
      </c>
      <c r="F428" s="252">
        <v>14</v>
      </c>
      <c r="G428" s="253">
        <v>45070</v>
      </c>
      <c r="H428" s="267">
        <v>13</v>
      </c>
      <c r="I428" s="268">
        <v>42280</v>
      </c>
      <c r="J428" s="252">
        <v>7</v>
      </c>
      <c r="K428" s="253">
        <v>34363</v>
      </c>
      <c r="L428" s="267">
        <v>8</v>
      </c>
      <c r="M428" s="268">
        <v>39677</v>
      </c>
      <c r="N428" s="252"/>
      <c r="O428" s="253"/>
      <c r="P428" s="267"/>
      <c r="Q428" s="268"/>
      <c r="R428" s="252"/>
      <c r="S428" s="253"/>
      <c r="T428" s="267"/>
      <c r="U428" s="268"/>
      <c r="V428" s="252"/>
      <c r="W428" s="253"/>
      <c r="X428" s="267"/>
      <c r="Y428" s="268"/>
      <c r="Z428" s="252"/>
      <c r="AA428" s="253"/>
      <c r="AB428" s="267"/>
      <c r="AC428" s="268"/>
      <c r="AD428" s="252"/>
      <c r="AE428" s="253"/>
      <c r="AF428" s="267"/>
      <c r="AG428" s="268"/>
      <c r="AH428" s="252"/>
      <c r="AI428" s="253"/>
      <c r="AJ428" s="267"/>
      <c r="AK428" s="268"/>
      <c r="AL428" s="252">
        <v>14</v>
      </c>
      <c r="AM428" s="253">
        <v>51954</v>
      </c>
      <c r="AN428" s="267">
        <v>12</v>
      </c>
      <c r="AO428" s="268">
        <v>39520</v>
      </c>
      <c r="AP428" s="255">
        <f t="shared" si="72"/>
        <v>14</v>
      </c>
      <c r="AQ428" s="256">
        <f t="shared" si="73"/>
        <v>131387</v>
      </c>
      <c r="AR428" s="257">
        <f t="shared" si="74"/>
        <v>13</v>
      </c>
      <c r="AS428" s="258">
        <f t="shared" si="75"/>
        <v>121477</v>
      </c>
      <c r="AT428" s="259">
        <v>15</v>
      </c>
      <c r="AU428" s="253">
        <v>55269</v>
      </c>
      <c r="AV428" s="267">
        <v>15</v>
      </c>
      <c r="AW428" s="268">
        <v>55185</v>
      </c>
      <c r="AX428" s="252">
        <v>9</v>
      </c>
      <c r="AY428" s="253">
        <v>44181</v>
      </c>
      <c r="AZ428" s="267">
        <v>10</v>
      </c>
      <c r="BA428" s="268">
        <v>49495</v>
      </c>
      <c r="BB428" s="252"/>
      <c r="BC428" s="253"/>
      <c r="BD428" s="267"/>
      <c r="BE428" s="268"/>
      <c r="BF428" s="252"/>
      <c r="BG428" s="253"/>
      <c r="BH428" s="267"/>
      <c r="BI428" s="268"/>
      <c r="BJ428" s="252"/>
      <c r="BK428" s="253"/>
      <c r="BL428" s="267"/>
      <c r="BM428" s="268"/>
      <c r="BN428" s="252"/>
      <c r="BO428" s="253"/>
      <c r="BP428" s="267"/>
      <c r="BQ428" s="268"/>
      <c r="BR428" s="252"/>
      <c r="BS428" s="253"/>
      <c r="BT428" s="267"/>
      <c r="BU428" s="268"/>
      <c r="BV428" s="252"/>
      <c r="BW428" s="253"/>
      <c r="BX428" s="267"/>
      <c r="BY428" s="268"/>
      <c r="BZ428" s="252">
        <v>15</v>
      </c>
      <c r="CA428" s="253">
        <v>48085</v>
      </c>
      <c r="CB428" s="267">
        <v>14</v>
      </c>
      <c r="CC428" s="268">
        <v>40875</v>
      </c>
      <c r="CD428" s="255">
        <f t="shared" si="76"/>
        <v>15</v>
      </c>
      <c r="CE428" s="256">
        <f t="shared" si="77"/>
        <v>147535</v>
      </c>
      <c r="CF428" s="257">
        <f t="shared" si="78"/>
        <v>15</v>
      </c>
      <c r="CG428" s="261">
        <f t="shared" si="79"/>
        <v>145555</v>
      </c>
    </row>
    <row r="429" spans="1:85" s="263" customFormat="1" ht="12.75" customHeight="1">
      <c r="A429" s="435" t="s">
        <v>42</v>
      </c>
      <c r="B429" s="437" t="s">
        <v>43</v>
      </c>
      <c r="C429" s="520"/>
      <c r="D429" s="523">
        <v>207607</v>
      </c>
      <c r="E429" s="358">
        <v>13</v>
      </c>
      <c r="F429" s="252"/>
      <c r="G429" s="253"/>
      <c r="H429" s="267"/>
      <c r="I429" s="268"/>
      <c r="J429" s="252"/>
      <c r="K429" s="253"/>
      <c r="L429" s="267"/>
      <c r="M429" s="268"/>
      <c r="N429" s="252"/>
      <c r="O429" s="253"/>
      <c r="P429" s="267"/>
      <c r="Q429" s="268"/>
      <c r="R429" s="252"/>
      <c r="S429" s="253"/>
      <c r="T429" s="267"/>
      <c r="U429" s="268"/>
      <c r="V429" s="252"/>
      <c r="W429" s="253"/>
      <c r="X429" s="267"/>
      <c r="Y429" s="268"/>
      <c r="Z429" s="252"/>
      <c r="AA429" s="253"/>
      <c r="AB429" s="267"/>
      <c r="AC429" s="268"/>
      <c r="AD429" s="252"/>
      <c r="AE429" s="253"/>
      <c r="AF429" s="267"/>
      <c r="AG429" s="268"/>
      <c r="AH429" s="252"/>
      <c r="AI429" s="253"/>
      <c r="AJ429" s="267"/>
      <c r="AK429" s="268"/>
      <c r="AL429" s="252"/>
      <c r="AM429" s="253"/>
      <c r="AN429" s="267"/>
      <c r="AO429" s="268"/>
      <c r="AP429" s="255">
        <f t="shared" si="72"/>
        <v>0</v>
      </c>
      <c r="AQ429" s="256">
        <f t="shared" si="73"/>
        <v>0</v>
      </c>
      <c r="AR429" s="257">
        <f t="shared" si="74"/>
        <v>0</v>
      </c>
      <c r="AS429" s="258">
        <f t="shared" si="75"/>
        <v>0</v>
      </c>
      <c r="AT429" s="259">
        <v>25</v>
      </c>
      <c r="AU429" s="253">
        <v>108678</v>
      </c>
      <c r="AV429" s="267">
        <v>26</v>
      </c>
      <c r="AW429" s="268">
        <v>114156</v>
      </c>
      <c r="AX429" s="252">
        <v>25</v>
      </c>
      <c r="AY429" s="253">
        <v>173617</v>
      </c>
      <c r="AZ429" s="267">
        <v>26</v>
      </c>
      <c r="BA429" s="268">
        <v>174256</v>
      </c>
      <c r="BB429" s="252"/>
      <c r="BC429" s="253"/>
      <c r="BD429" s="267"/>
      <c r="BE429" s="268"/>
      <c r="BF429" s="252"/>
      <c r="BG429" s="253"/>
      <c r="BH429" s="267"/>
      <c r="BI429" s="268"/>
      <c r="BJ429" s="252"/>
      <c r="BK429" s="253"/>
      <c r="BL429" s="267"/>
      <c r="BM429" s="268"/>
      <c r="BN429" s="252"/>
      <c r="BO429" s="253"/>
      <c r="BP429" s="267"/>
      <c r="BQ429" s="268"/>
      <c r="BR429" s="252"/>
      <c r="BS429" s="253"/>
      <c r="BT429" s="267"/>
      <c r="BU429" s="268"/>
      <c r="BV429" s="252"/>
      <c r="BW429" s="253"/>
      <c r="BX429" s="267"/>
      <c r="BY429" s="268"/>
      <c r="BZ429" s="252">
        <v>25</v>
      </c>
      <c r="CA429" s="253">
        <v>159243</v>
      </c>
      <c r="CB429" s="267">
        <v>26</v>
      </c>
      <c r="CC429" s="268">
        <v>165303</v>
      </c>
      <c r="CD429" s="255">
        <f t="shared" si="76"/>
        <v>25</v>
      </c>
      <c r="CE429" s="256">
        <f t="shared" si="77"/>
        <v>441538</v>
      </c>
      <c r="CF429" s="257">
        <f t="shared" si="78"/>
        <v>26</v>
      </c>
      <c r="CG429" s="261">
        <f t="shared" si="79"/>
        <v>453715</v>
      </c>
    </row>
    <row r="430" spans="1:85" s="263" customFormat="1" ht="12.75" customHeight="1">
      <c r="A430" s="435" t="s">
        <v>42</v>
      </c>
      <c r="B430" s="437" t="s">
        <v>44</v>
      </c>
      <c r="C430" s="520"/>
      <c r="D430" s="523">
        <v>261375</v>
      </c>
      <c r="E430" s="358">
        <v>13</v>
      </c>
      <c r="F430" s="252">
        <v>1</v>
      </c>
      <c r="G430" s="253">
        <v>5130</v>
      </c>
      <c r="H430" s="267">
        <v>1</v>
      </c>
      <c r="I430" s="268">
        <v>5130</v>
      </c>
      <c r="J430" s="252">
        <v>1</v>
      </c>
      <c r="K430" s="253">
        <v>11042</v>
      </c>
      <c r="L430" s="267">
        <v>1</v>
      </c>
      <c r="M430" s="268">
        <v>110422</v>
      </c>
      <c r="N430" s="252"/>
      <c r="O430" s="253"/>
      <c r="P430" s="267"/>
      <c r="Q430" s="268"/>
      <c r="R430" s="252"/>
      <c r="S430" s="253"/>
      <c r="T430" s="267"/>
      <c r="U430" s="268"/>
      <c r="V430" s="252"/>
      <c r="W430" s="253"/>
      <c r="X430" s="267"/>
      <c r="Y430" s="268"/>
      <c r="Z430" s="252"/>
      <c r="AA430" s="253"/>
      <c r="AB430" s="267"/>
      <c r="AC430" s="268"/>
      <c r="AD430" s="252"/>
      <c r="AE430" s="253"/>
      <c r="AF430" s="267"/>
      <c r="AG430" s="268"/>
      <c r="AH430" s="252"/>
      <c r="AI430" s="253"/>
      <c r="AJ430" s="267"/>
      <c r="AK430" s="268"/>
      <c r="AL430" s="252">
        <v>1</v>
      </c>
      <c r="AM430" s="253">
        <v>2400</v>
      </c>
      <c r="AN430" s="267">
        <v>1</v>
      </c>
      <c r="AO430" s="268">
        <v>2400</v>
      </c>
      <c r="AP430" s="255">
        <f t="shared" si="72"/>
        <v>1</v>
      </c>
      <c r="AQ430" s="256">
        <f t="shared" si="73"/>
        <v>18572</v>
      </c>
      <c r="AR430" s="257">
        <f t="shared" si="74"/>
        <v>1</v>
      </c>
      <c r="AS430" s="258">
        <f t="shared" si="75"/>
        <v>117952</v>
      </c>
      <c r="AT430" s="259">
        <v>55</v>
      </c>
      <c r="AU430" s="253">
        <v>264428</v>
      </c>
      <c r="AV430" s="267">
        <v>57</v>
      </c>
      <c r="AW430" s="268">
        <v>273558</v>
      </c>
      <c r="AX430" s="252"/>
      <c r="AY430" s="253"/>
      <c r="AZ430" s="267">
        <v>57</v>
      </c>
      <c r="BA430" s="268">
        <v>409814</v>
      </c>
      <c r="BB430" s="252"/>
      <c r="BC430" s="253"/>
      <c r="BD430" s="267"/>
      <c r="BE430" s="268"/>
      <c r="BF430" s="252"/>
      <c r="BG430" s="253"/>
      <c r="BH430" s="267"/>
      <c r="BI430" s="268"/>
      <c r="BJ430" s="252"/>
      <c r="BK430" s="253"/>
      <c r="BL430" s="267"/>
      <c r="BM430" s="268"/>
      <c r="BN430" s="252"/>
      <c r="BO430" s="253"/>
      <c r="BP430" s="267"/>
      <c r="BQ430" s="268"/>
      <c r="BR430" s="252"/>
      <c r="BS430" s="253"/>
      <c r="BT430" s="267"/>
      <c r="BU430" s="268"/>
      <c r="BV430" s="252"/>
      <c r="BW430" s="253"/>
      <c r="BX430" s="267"/>
      <c r="BY430" s="268"/>
      <c r="BZ430" s="252">
        <v>55</v>
      </c>
      <c r="CA430" s="253">
        <v>357200</v>
      </c>
      <c r="CB430" s="267">
        <v>57</v>
      </c>
      <c r="CC430" s="268">
        <v>369440</v>
      </c>
      <c r="CD430" s="255">
        <f t="shared" si="76"/>
        <v>55</v>
      </c>
      <c r="CE430" s="256">
        <f t="shared" si="77"/>
        <v>621628</v>
      </c>
      <c r="CF430" s="257">
        <f t="shared" si="78"/>
        <v>57</v>
      </c>
      <c r="CG430" s="261">
        <f t="shared" si="79"/>
        <v>1052812</v>
      </c>
    </row>
    <row r="431" spans="1:85" s="263" customFormat="1" ht="12.75" customHeight="1">
      <c r="A431" s="435" t="s">
        <v>42</v>
      </c>
      <c r="B431" s="437" t="s">
        <v>1039</v>
      </c>
      <c r="C431" s="520"/>
      <c r="D431" s="523">
        <v>261384</v>
      </c>
      <c r="E431" s="358">
        <v>13</v>
      </c>
      <c r="F431" s="252"/>
      <c r="G431" s="253"/>
      <c r="H431" s="267"/>
      <c r="I431" s="268"/>
      <c r="J431" s="252"/>
      <c r="K431" s="253"/>
      <c r="L431" s="267"/>
      <c r="M431" s="268"/>
      <c r="N431" s="252"/>
      <c r="O431" s="253"/>
      <c r="P431" s="267"/>
      <c r="Q431" s="268"/>
      <c r="R431" s="252"/>
      <c r="S431" s="253"/>
      <c r="T431" s="267"/>
      <c r="U431" s="268"/>
      <c r="V431" s="252"/>
      <c r="W431" s="253"/>
      <c r="X431" s="267"/>
      <c r="Y431" s="268"/>
      <c r="Z431" s="252"/>
      <c r="AA431" s="253"/>
      <c r="AB431" s="267"/>
      <c r="AC431" s="268"/>
      <c r="AD431" s="252"/>
      <c r="AE431" s="253"/>
      <c r="AF431" s="267"/>
      <c r="AG431" s="268"/>
      <c r="AH431" s="252"/>
      <c r="AI431" s="253"/>
      <c r="AJ431" s="267"/>
      <c r="AK431" s="268"/>
      <c r="AL431" s="252"/>
      <c r="AM431" s="253"/>
      <c r="AN431" s="267"/>
      <c r="AO431" s="268"/>
      <c r="AP431" s="255">
        <f t="shared" si="72"/>
        <v>0</v>
      </c>
      <c r="AQ431" s="256">
        <f t="shared" si="73"/>
        <v>0</v>
      </c>
      <c r="AR431" s="257">
        <f t="shared" si="74"/>
        <v>0</v>
      </c>
      <c r="AS431" s="258">
        <f t="shared" si="75"/>
        <v>0</v>
      </c>
      <c r="AT431" s="259">
        <v>24</v>
      </c>
      <c r="AU431" s="253">
        <v>106615</v>
      </c>
      <c r="AV431" s="267">
        <v>23</v>
      </c>
      <c r="AW431" s="268">
        <v>101947</v>
      </c>
      <c r="AX431" s="252">
        <v>24</v>
      </c>
      <c r="AY431" s="253">
        <v>179069</v>
      </c>
      <c r="AZ431" s="267">
        <v>23</v>
      </c>
      <c r="BA431" s="268">
        <v>173716</v>
      </c>
      <c r="BB431" s="252"/>
      <c r="BC431" s="253"/>
      <c r="BD431" s="267"/>
      <c r="BE431" s="268"/>
      <c r="BF431" s="252"/>
      <c r="BG431" s="253"/>
      <c r="BH431" s="267"/>
      <c r="BI431" s="268"/>
      <c r="BJ431" s="252"/>
      <c r="BK431" s="253"/>
      <c r="BL431" s="267"/>
      <c r="BM431" s="268"/>
      <c r="BN431" s="252"/>
      <c r="BO431" s="253"/>
      <c r="BP431" s="267"/>
      <c r="BQ431" s="268"/>
      <c r="BR431" s="252"/>
      <c r="BS431" s="253"/>
      <c r="BT431" s="267"/>
      <c r="BU431" s="268"/>
      <c r="BV431" s="252"/>
      <c r="BW431" s="253"/>
      <c r="BX431" s="267"/>
      <c r="BY431" s="268"/>
      <c r="BZ431" s="252">
        <v>24</v>
      </c>
      <c r="CA431" s="253">
        <v>140573</v>
      </c>
      <c r="CB431" s="267">
        <v>23</v>
      </c>
      <c r="CC431" s="268">
        <v>134088</v>
      </c>
      <c r="CD431" s="255">
        <f t="shared" si="76"/>
        <v>24</v>
      </c>
      <c r="CE431" s="256">
        <f t="shared" si="77"/>
        <v>426257</v>
      </c>
      <c r="CF431" s="257">
        <f t="shared" si="78"/>
        <v>23</v>
      </c>
      <c r="CG431" s="261">
        <f t="shared" si="79"/>
        <v>409751</v>
      </c>
    </row>
    <row r="432" spans="1:85" s="263" customFormat="1" ht="12.75" customHeight="1">
      <c r="A432" s="435" t="s">
        <v>42</v>
      </c>
      <c r="B432" s="437" t="s">
        <v>1040</v>
      </c>
      <c r="C432" s="520"/>
      <c r="D432" s="523">
        <v>418357</v>
      </c>
      <c r="E432" s="358">
        <v>13</v>
      </c>
      <c r="F432" s="252">
        <v>9</v>
      </c>
      <c r="G432" s="253">
        <v>25332</v>
      </c>
      <c r="H432" s="267">
        <v>10</v>
      </c>
      <c r="I432" s="268">
        <v>27844</v>
      </c>
      <c r="J432" s="252">
        <v>9</v>
      </c>
      <c r="K432" s="253">
        <v>39272</v>
      </c>
      <c r="L432" s="267">
        <v>9</v>
      </c>
      <c r="M432" s="268">
        <v>47826</v>
      </c>
      <c r="N432" s="252"/>
      <c r="O432" s="253"/>
      <c r="P432" s="267"/>
      <c r="Q432" s="268"/>
      <c r="R432" s="252"/>
      <c r="S432" s="253"/>
      <c r="T432" s="267"/>
      <c r="U432" s="268"/>
      <c r="V432" s="252"/>
      <c r="W432" s="253"/>
      <c r="X432" s="267"/>
      <c r="Y432" s="268"/>
      <c r="Z432" s="252"/>
      <c r="AA432" s="253"/>
      <c r="AB432" s="267"/>
      <c r="AC432" s="268"/>
      <c r="AD432" s="252"/>
      <c r="AE432" s="253"/>
      <c r="AF432" s="267"/>
      <c r="AG432" s="268"/>
      <c r="AH432" s="252"/>
      <c r="AI432" s="253"/>
      <c r="AJ432" s="267"/>
      <c r="AK432" s="268"/>
      <c r="AL432" s="252">
        <v>9</v>
      </c>
      <c r="AM432" s="253">
        <v>7380</v>
      </c>
      <c r="AN432" s="267">
        <v>10</v>
      </c>
      <c r="AO432" s="268">
        <v>8883</v>
      </c>
      <c r="AP432" s="255">
        <f t="shared" si="72"/>
        <v>9</v>
      </c>
      <c r="AQ432" s="256">
        <f t="shared" si="73"/>
        <v>71984</v>
      </c>
      <c r="AR432" s="257">
        <f t="shared" si="74"/>
        <v>10</v>
      </c>
      <c r="AS432" s="258">
        <f t="shared" si="75"/>
        <v>84553</v>
      </c>
      <c r="AT432" s="259">
        <v>5</v>
      </c>
      <c r="AU432" s="253">
        <v>16097</v>
      </c>
      <c r="AV432" s="267">
        <v>4</v>
      </c>
      <c r="AW432" s="268">
        <v>13781</v>
      </c>
      <c r="AX432" s="252">
        <v>5</v>
      </c>
      <c r="AY432" s="253">
        <v>23277</v>
      </c>
      <c r="AZ432" s="267">
        <v>4</v>
      </c>
      <c r="BA432" s="268">
        <v>19292</v>
      </c>
      <c r="BB432" s="252"/>
      <c r="BC432" s="253"/>
      <c r="BD432" s="267"/>
      <c r="BE432" s="268"/>
      <c r="BF432" s="252"/>
      <c r="BG432" s="253"/>
      <c r="BH432" s="267"/>
      <c r="BI432" s="268"/>
      <c r="BJ432" s="252"/>
      <c r="BK432" s="253"/>
      <c r="BL432" s="267"/>
      <c r="BM432" s="268"/>
      <c r="BN432" s="252"/>
      <c r="BO432" s="253"/>
      <c r="BP432" s="267"/>
      <c r="BQ432" s="268"/>
      <c r="BR432" s="252"/>
      <c r="BS432" s="253"/>
      <c r="BT432" s="267"/>
      <c r="BU432" s="268"/>
      <c r="BV432" s="252"/>
      <c r="BW432" s="253"/>
      <c r="BX432" s="267"/>
      <c r="BY432" s="268"/>
      <c r="BZ432" s="252">
        <v>5</v>
      </c>
      <c r="CA432" s="253">
        <v>3572</v>
      </c>
      <c r="CB432" s="267">
        <v>4</v>
      </c>
      <c r="CC432" s="268">
        <v>3299</v>
      </c>
      <c r="CD432" s="255">
        <f t="shared" si="76"/>
        <v>5</v>
      </c>
      <c r="CE432" s="256">
        <f t="shared" si="77"/>
        <v>42946</v>
      </c>
      <c r="CF432" s="257">
        <f t="shared" si="78"/>
        <v>4</v>
      </c>
      <c r="CG432" s="261">
        <f t="shared" si="79"/>
        <v>36372</v>
      </c>
    </row>
    <row r="433" spans="1:85" s="263" customFormat="1" ht="12.75" customHeight="1">
      <c r="A433" s="435" t="s">
        <v>42</v>
      </c>
      <c r="B433" s="437" t="s">
        <v>1041</v>
      </c>
      <c r="C433" s="520"/>
      <c r="D433" s="523">
        <v>418302</v>
      </c>
      <c r="E433" s="358">
        <v>13</v>
      </c>
      <c r="F433" s="252">
        <v>20</v>
      </c>
      <c r="G433" s="253">
        <v>57278</v>
      </c>
      <c r="H433" s="267">
        <v>19</v>
      </c>
      <c r="I433" s="268">
        <v>54302</v>
      </c>
      <c r="J433" s="252">
        <v>20</v>
      </c>
      <c r="K433" s="253">
        <v>93069</v>
      </c>
      <c r="L433" s="267">
        <v>20</v>
      </c>
      <c r="M433" s="268">
        <v>106280</v>
      </c>
      <c r="N433" s="252"/>
      <c r="O433" s="253"/>
      <c r="P433" s="267"/>
      <c r="Q433" s="268"/>
      <c r="R433" s="252"/>
      <c r="S433" s="253"/>
      <c r="T433" s="267"/>
      <c r="U433" s="268"/>
      <c r="V433" s="252"/>
      <c r="W433" s="253"/>
      <c r="X433" s="267"/>
      <c r="Y433" s="268"/>
      <c r="Z433" s="252"/>
      <c r="AA433" s="253"/>
      <c r="AB433" s="267"/>
      <c r="AC433" s="268"/>
      <c r="AD433" s="252"/>
      <c r="AE433" s="253"/>
      <c r="AF433" s="267"/>
      <c r="AG433" s="268"/>
      <c r="AH433" s="252"/>
      <c r="AI433" s="253"/>
      <c r="AJ433" s="267"/>
      <c r="AK433" s="268"/>
      <c r="AL433" s="252">
        <v>20</v>
      </c>
      <c r="AM433" s="253">
        <v>17282</v>
      </c>
      <c r="AN433" s="267">
        <v>20</v>
      </c>
      <c r="AO433" s="268">
        <v>20917</v>
      </c>
      <c r="AP433" s="255">
        <f t="shared" si="72"/>
        <v>20</v>
      </c>
      <c r="AQ433" s="256">
        <f t="shared" si="73"/>
        <v>167629</v>
      </c>
      <c r="AR433" s="257">
        <f t="shared" si="74"/>
        <v>20</v>
      </c>
      <c r="AS433" s="258">
        <f t="shared" si="75"/>
        <v>181499</v>
      </c>
      <c r="AT433" s="259">
        <v>5</v>
      </c>
      <c r="AU433" s="253">
        <v>16660</v>
      </c>
      <c r="AV433" s="267">
        <v>5</v>
      </c>
      <c r="AW433" s="268">
        <v>16660</v>
      </c>
      <c r="AX433" s="252">
        <v>5</v>
      </c>
      <c r="AY433" s="253">
        <v>23200</v>
      </c>
      <c r="AZ433" s="267">
        <v>5</v>
      </c>
      <c r="BA433" s="268">
        <v>26570</v>
      </c>
      <c r="BB433" s="252"/>
      <c r="BC433" s="253"/>
      <c r="BD433" s="267"/>
      <c r="BE433" s="268"/>
      <c r="BF433" s="252"/>
      <c r="BG433" s="253"/>
      <c r="BH433" s="267"/>
      <c r="BI433" s="268"/>
      <c r="BJ433" s="252"/>
      <c r="BK433" s="253"/>
      <c r="BL433" s="267"/>
      <c r="BM433" s="268"/>
      <c r="BN433" s="252"/>
      <c r="BO433" s="253"/>
      <c r="BP433" s="267"/>
      <c r="BQ433" s="268"/>
      <c r="BR433" s="252"/>
      <c r="BS433" s="253"/>
      <c r="BT433" s="267"/>
      <c r="BU433" s="268"/>
      <c r="BV433" s="252"/>
      <c r="BW433" s="253"/>
      <c r="BX433" s="267"/>
      <c r="BY433" s="268"/>
      <c r="BZ433" s="252">
        <v>5</v>
      </c>
      <c r="CA433" s="253">
        <v>4591</v>
      </c>
      <c r="CB433" s="267">
        <v>5</v>
      </c>
      <c r="CC433" s="268">
        <v>5095</v>
      </c>
      <c r="CD433" s="255">
        <f t="shared" si="76"/>
        <v>5</v>
      </c>
      <c r="CE433" s="256">
        <f t="shared" si="77"/>
        <v>44451</v>
      </c>
      <c r="CF433" s="257">
        <f t="shared" si="78"/>
        <v>5</v>
      </c>
      <c r="CG433" s="261">
        <f t="shared" si="79"/>
        <v>48325</v>
      </c>
    </row>
    <row r="434" spans="1:85" s="263" customFormat="1" ht="12.75" customHeight="1">
      <c r="A434" s="348" t="s">
        <v>42</v>
      </c>
      <c r="B434" s="438" t="s">
        <v>1042</v>
      </c>
      <c r="C434" s="521" t="s">
        <v>1263</v>
      </c>
      <c r="D434" s="524">
        <v>456560</v>
      </c>
      <c r="E434" s="351">
        <v>99</v>
      </c>
      <c r="F434" s="252">
        <v>4</v>
      </c>
      <c r="G434" s="253">
        <v>15893</v>
      </c>
      <c r="H434" s="267">
        <v>4</v>
      </c>
      <c r="I434" s="268">
        <v>15300</v>
      </c>
      <c r="J434" s="252">
        <v>3</v>
      </c>
      <c r="K434" s="253">
        <v>15435</v>
      </c>
      <c r="L434" s="267">
        <v>2</v>
      </c>
      <c r="M434" s="268">
        <v>10628</v>
      </c>
      <c r="N434" s="252"/>
      <c r="O434" s="253"/>
      <c r="P434" s="267"/>
      <c r="Q434" s="268"/>
      <c r="R434" s="252"/>
      <c r="S434" s="253"/>
      <c r="T434" s="267"/>
      <c r="U434" s="268"/>
      <c r="V434" s="252"/>
      <c r="W434" s="253"/>
      <c r="X434" s="267"/>
      <c r="Y434" s="268"/>
      <c r="Z434" s="252"/>
      <c r="AA434" s="253"/>
      <c r="AB434" s="267"/>
      <c r="AC434" s="268"/>
      <c r="AD434" s="252"/>
      <c r="AE434" s="253"/>
      <c r="AF434" s="267"/>
      <c r="AG434" s="268"/>
      <c r="AH434" s="252"/>
      <c r="AI434" s="253"/>
      <c r="AJ434" s="267"/>
      <c r="AK434" s="268"/>
      <c r="AL434" s="252">
        <v>4</v>
      </c>
      <c r="AM434" s="253">
        <v>29097</v>
      </c>
      <c r="AN434" s="267">
        <v>4</v>
      </c>
      <c r="AO434" s="268">
        <v>30277</v>
      </c>
      <c r="AP434" s="255">
        <f t="shared" si="72"/>
        <v>4</v>
      </c>
      <c r="AQ434" s="256">
        <f t="shared" si="73"/>
        <v>60425</v>
      </c>
      <c r="AR434" s="257">
        <f t="shared" si="74"/>
        <v>4</v>
      </c>
      <c r="AS434" s="258">
        <f t="shared" si="75"/>
        <v>56205</v>
      </c>
      <c r="AT434" s="259">
        <v>2</v>
      </c>
      <c r="AU434" s="253">
        <v>9564</v>
      </c>
      <c r="AV434" s="267">
        <v>2</v>
      </c>
      <c r="AW434" s="268">
        <v>9379</v>
      </c>
      <c r="AX434" s="252">
        <v>1</v>
      </c>
      <c r="AY434" s="253">
        <v>5112</v>
      </c>
      <c r="AZ434" s="267">
        <v>1</v>
      </c>
      <c r="BA434" s="268">
        <v>5314</v>
      </c>
      <c r="BB434" s="252"/>
      <c r="BC434" s="253"/>
      <c r="BD434" s="267"/>
      <c r="BE434" s="268"/>
      <c r="BF434" s="252"/>
      <c r="BG434" s="253"/>
      <c r="BH434" s="267"/>
      <c r="BI434" s="268"/>
      <c r="BJ434" s="252"/>
      <c r="BK434" s="253"/>
      <c r="BL434" s="267"/>
      <c r="BM434" s="268"/>
      <c r="BN434" s="252"/>
      <c r="BO434" s="253"/>
      <c r="BP434" s="267"/>
      <c r="BQ434" s="268"/>
      <c r="BR434" s="252"/>
      <c r="BS434" s="253"/>
      <c r="BT434" s="267"/>
      <c r="BU434" s="268"/>
      <c r="BV434" s="252"/>
      <c r="BW434" s="253"/>
      <c r="BX434" s="267"/>
      <c r="BY434" s="268"/>
      <c r="BZ434" s="252">
        <v>2</v>
      </c>
      <c r="CA434" s="253">
        <v>14326</v>
      </c>
      <c r="CB434" s="267">
        <v>2</v>
      </c>
      <c r="CC434" s="268">
        <v>14844</v>
      </c>
      <c r="CD434" s="255">
        <f t="shared" si="76"/>
        <v>2</v>
      </c>
      <c r="CE434" s="256">
        <f t="shared" si="77"/>
        <v>29002</v>
      </c>
      <c r="CF434" s="257">
        <f t="shared" si="78"/>
        <v>2</v>
      </c>
      <c r="CG434" s="261">
        <f t="shared" si="79"/>
        <v>29537</v>
      </c>
    </row>
    <row r="435" spans="1:85" s="263" customFormat="1" ht="12.75" customHeight="1">
      <c r="A435" s="439" t="s">
        <v>264</v>
      </c>
      <c r="B435" s="386" t="s">
        <v>265</v>
      </c>
      <c r="C435" s="386"/>
      <c r="D435" s="387">
        <v>217882</v>
      </c>
      <c r="E435" s="388">
        <v>1</v>
      </c>
      <c r="F435" s="252">
        <v>961</v>
      </c>
      <c r="G435" s="253">
        <v>9697322</v>
      </c>
      <c r="H435" s="267">
        <v>955</v>
      </c>
      <c r="I435" s="268">
        <v>9965010</v>
      </c>
      <c r="J435" s="252">
        <v>961</v>
      </c>
      <c r="K435" s="253">
        <v>5172506</v>
      </c>
      <c r="L435" s="267">
        <v>955</v>
      </c>
      <c r="M435" s="268">
        <v>5140211</v>
      </c>
      <c r="N435" s="252">
        <v>961</v>
      </c>
      <c r="O435" s="253">
        <v>37248</v>
      </c>
      <c r="P435" s="267">
        <v>955</v>
      </c>
      <c r="Q435" s="268">
        <v>37016</v>
      </c>
      <c r="R435" s="252">
        <v>961</v>
      </c>
      <c r="S435" s="253">
        <v>5515645</v>
      </c>
      <c r="T435" s="267">
        <v>955</v>
      </c>
      <c r="U435" s="268">
        <v>5481037</v>
      </c>
      <c r="V435" s="252">
        <v>961</v>
      </c>
      <c r="W435" s="253">
        <v>76811</v>
      </c>
      <c r="X435" s="267">
        <v>955</v>
      </c>
      <c r="Y435" s="268">
        <v>142464</v>
      </c>
      <c r="Z435" s="252">
        <v>961</v>
      </c>
      <c r="AA435" s="253">
        <v>3806</v>
      </c>
      <c r="AB435" s="267">
        <v>955</v>
      </c>
      <c r="AC435" s="268">
        <v>3782</v>
      </c>
      <c r="AD435" s="252">
        <v>961</v>
      </c>
      <c r="AE435" s="253">
        <v>677082</v>
      </c>
      <c r="AF435" s="267">
        <v>955</v>
      </c>
      <c r="AG435" s="268">
        <v>674831</v>
      </c>
      <c r="AH435" s="252"/>
      <c r="AI435" s="253"/>
      <c r="AJ435" s="267"/>
      <c r="AK435" s="268"/>
      <c r="AL435" s="252"/>
      <c r="AM435" s="253"/>
      <c r="AN435" s="267"/>
      <c r="AO435" s="268"/>
      <c r="AP435" s="255">
        <f t="shared" si="72"/>
        <v>961</v>
      </c>
      <c r="AQ435" s="256">
        <f t="shared" si="73"/>
        <v>21180420</v>
      </c>
      <c r="AR435" s="257">
        <f t="shared" si="74"/>
        <v>955</v>
      </c>
      <c r="AS435" s="258">
        <f t="shared" si="75"/>
        <v>21444351</v>
      </c>
      <c r="AT435" s="259">
        <v>91</v>
      </c>
      <c r="AU435" s="253">
        <v>1081527</v>
      </c>
      <c r="AV435" s="267">
        <v>88</v>
      </c>
      <c r="AW435" s="268">
        <v>1078692</v>
      </c>
      <c r="AX435" s="252">
        <v>91</v>
      </c>
      <c r="AY435" s="253">
        <v>489800</v>
      </c>
      <c r="AZ435" s="267">
        <v>88</v>
      </c>
      <c r="BA435" s="268">
        <v>473653</v>
      </c>
      <c r="BB435" s="252">
        <v>91</v>
      </c>
      <c r="BC435" s="253">
        <v>3527</v>
      </c>
      <c r="BD435" s="267">
        <v>88</v>
      </c>
      <c r="BE435" s="268">
        <v>3411</v>
      </c>
      <c r="BF435" s="252">
        <v>91</v>
      </c>
      <c r="BG435" s="253">
        <v>613868</v>
      </c>
      <c r="BH435" s="267">
        <v>88</v>
      </c>
      <c r="BI435" s="268">
        <v>593337</v>
      </c>
      <c r="BJ435" s="252">
        <v>91</v>
      </c>
      <c r="BK435" s="253">
        <v>8567</v>
      </c>
      <c r="BL435" s="267">
        <v>88</v>
      </c>
      <c r="BM435" s="268">
        <v>15421</v>
      </c>
      <c r="BN435" s="252">
        <v>91</v>
      </c>
      <c r="BO435" s="253">
        <v>360</v>
      </c>
      <c r="BP435" s="267">
        <v>88</v>
      </c>
      <c r="BQ435" s="268">
        <v>348</v>
      </c>
      <c r="BR435" s="252">
        <v>91</v>
      </c>
      <c r="BS435" s="253">
        <v>75514</v>
      </c>
      <c r="BT435" s="267">
        <v>88</v>
      </c>
      <c r="BU435" s="268">
        <v>73049</v>
      </c>
      <c r="BV435" s="252"/>
      <c r="BW435" s="253"/>
      <c r="BX435" s="267"/>
      <c r="BY435" s="268"/>
      <c r="BZ435" s="252"/>
      <c r="CA435" s="253"/>
      <c r="CB435" s="267"/>
      <c r="CC435" s="268"/>
      <c r="CD435" s="255">
        <f t="shared" si="76"/>
        <v>91</v>
      </c>
      <c r="CE435" s="256">
        <f t="shared" si="77"/>
        <v>2273163</v>
      </c>
      <c r="CF435" s="257">
        <f t="shared" si="78"/>
        <v>88</v>
      </c>
      <c r="CG435" s="261">
        <f t="shared" si="79"/>
        <v>2237911</v>
      </c>
    </row>
    <row r="436" spans="1:85" s="263" customFormat="1" ht="12.75" customHeight="1">
      <c r="A436" s="439" t="s">
        <v>264</v>
      </c>
      <c r="B436" s="386" t="s">
        <v>266</v>
      </c>
      <c r="C436" s="386"/>
      <c r="D436" s="387">
        <v>218663</v>
      </c>
      <c r="E436" s="388">
        <v>1</v>
      </c>
      <c r="F436" s="252">
        <v>1011</v>
      </c>
      <c r="G436" s="253">
        <v>10178547</v>
      </c>
      <c r="H436" s="267">
        <v>1022</v>
      </c>
      <c r="I436" s="268">
        <v>10826371</v>
      </c>
      <c r="J436" s="252">
        <v>1011</v>
      </c>
      <c r="K436" s="253">
        <v>5484655</v>
      </c>
      <c r="L436" s="267">
        <v>1022</v>
      </c>
      <c r="M436" s="268">
        <v>5544330</v>
      </c>
      <c r="N436" s="252"/>
      <c r="O436" s="253"/>
      <c r="P436" s="267"/>
      <c r="Q436" s="268"/>
      <c r="R436" s="252">
        <v>1011</v>
      </c>
      <c r="S436" s="253">
        <v>4704657</v>
      </c>
      <c r="T436" s="267">
        <v>1022</v>
      </c>
      <c r="U436" s="268">
        <v>4829840</v>
      </c>
      <c r="V436" s="252">
        <v>1011</v>
      </c>
      <c r="W436" s="253">
        <v>119842</v>
      </c>
      <c r="X436" s="267">
        <v>1022</v>
      </c>
      <c r="Y436" s="268">
        <v>123589</v>
      </c>
      <c r="Z436" s="252">
        <v>1011</v>
      </c>
      <c r="AA436" s="253">
        <v>119842</v>
      </c>
      <c r="AB436" s="267">
        <v>1022</v>
      </c>
      <c r="AC436" s="268">
        <v>123589</v>
      </c>
      <c r="AD436" s="252">
        <v>1011</v>
      </c>
      <c r="AE436" s="253">
        <v>838891</v>
      </c>
      <c r="AF436" s="267">
        <v>1022</v>
      </c>
      <c r="AG436" s="268">
        <v>906317</v>
      </c>
      <c r="AH436" s="252"/>
      <c r="AI436" s="253"/>
      <c r="AJ436" s="267"/>
      <c r="AK436" s="268"/>
      <c r="AL436" s="252"/>
      <c r="AM436" s="253"/>
      <c r="AN436" s="267"/>
      <c r="AO436" s="268"/>
      <c r="AP436" s="255">
        <f t="shared" si="72"/>
        <v>1011</v>
      </c>
      <c r="AQ436" s="256">
        <f t="shared" si="73"/>
        <v>21446434</v>
      </c>
      <c r="AR436" s="257">
        <f t="shared" si="74"/>
        <v>1022</v>
      </c>
      <c r="AS436" s="258">
        <f t="shared" si="75"/>
        <v>22354036</v>
      </c>
      <c r="AT436" s="259">
        <v>141</v>
      </c>
      <c r="AU436" s="253">
        <v>1841021</v>
      </c>
      <c r="AV436" s="267">
        <v>156</v>
      </c>
      <c r="AW436" s="268">
        <v>2112289</v>
      </c>
      <c r="AX436" s="252">
        <v>141</v>
      </c>
      <c r="AY436" s="253">
        <v>764922</v>
      </c>
      <c r="AZ436" s="267">
        <v>156</v>
      </c>
      <c r="BA436" s="268">
        <v>846297</v>
      </c>
      <c r="BB436" s="252"/>
      <c r="BC436" s="253"/>
      <c r="BD436" s="267"/>
      <c r="BE436" s="268"/>
      <c r="BF436" s="252">
        <v>141</v>
      </c>
      <c r="BG436" s="253">
        <v>786597</v>
      </c>
      <c r="BH436" s="267">
        <v>156</v>
      </c>
      <c r="BI436" s="268">
        <v>863022</v>
      </c>
      <c r="BJ436" s="252">
        <v>141</v>
      </c>
      <c r="BK436" s="253">
        <v>21676</v>
      </c>
      <c r="BL436" s="267">
        <v>156</v>
      </c>
      <c r="BM436" s="268">
        <v>24113</v>
      </c>
      <c r="BN436" s="252">
        <v>141</v>
      </c>
      <c r="BO436" s="253">
        <v>21676</v>
      </c>
      <c r="BP436" s="267">
        <v>156</v>
      </c>
      <c r="BQ436" s="268">
        <v>24113</v>
      </c>
      <c r="BR436" s="252">
        <v>141</v>
      </c>
      <c r="BS436" s="253">
        <v>151732</v>
      </c>
      <c r="BT436" s="267">
        <v>156</v>
      </c>
      <c r="BU436" s="268">
        <v>176828</v>
      </c>
      <c r="BV436" s="252"/>
      <c r="BW436" s="253"/>
      <c r="BX436" s="267"/>
      <c r="BY436" s="268"/>
      <c r="BZ436" s="252"/>
      <c r="CA436" s="253"/>
      <c r="CB436" s="267"/>
      <c r="CC436" s="268"/>
      <c r="CD436" s="255">
        <f t="shared" si="76"/>
        <v>141</v>
      </c>
      <c r="CE436" s="256">
        <f t="shared" si="77"/>
        <v>3587624</v>
      </c>
      <c r="CF436" s="257">
        <f t="shared" si="78"/>
        <v>156</v>
      </c>
      <c r="CG436" s="261">
        <f t="shared" si="79"/>
        <v>4046662</v>
      </c>
    </row>
    <row r="437" spans="1:85" s="263" customFormat="1" ht="12.75" customHeight="1">
      <c r="A437" s="439" t="s">
        <v>264</v>
      </c>
      <c r="B437" s="386" t="s">
        <v>267</v>
      </c>
      <c r="C437" s="386"/>
      <c r="D437" s="387">
        <v>217819</v>
      </c>
      <c r="E437" s="388">
        <v>3</v>
      </c>
      <c r="F437" s="252">
        <v>503</v>
      </c>
      <c r="G437" s="253">
        <v>4150094</v>
      </c>
      <c r="H437" s="267">
        <v>510</v>
      </c>
      <c r="I437" s="268">
        <v>4334406</v>
      </c>
      <c r="J437" s="252">
        <v>503</v>
      </c>
      <c r="K437" s="253">
        <v>3707794</v>
      </c>
      <c r="L437" s="267">
        <v>510</v>
      </c>
      <c r="M437" s="268">
        <v>4325738</v>
      </c>
      <c r="N437" s="252">
        <v>503</v>
      </c>
      <c r="O437" s="253">
        <v>19557</v>
      </c>
      <c r="P437" s="267">
        <v>510</v>
      </c>
      <c r="Q437" s="268">
        <v>19706</v>
      </c>
      <c r="R437" s="252">
        <v>503</v>
      </c>
      <c r="S437" s="253">
        <v>2475619</v>
      </c>
      <c r="T437" s="267">
        <v>510</v>
      </c>
      <c r="U437" s="268">
        <v>2507235</v>
      </c>
      <c r="V437" s="252">
        <v>503</v>
      </c>
      <c r="W437" s="253">
        <v>58636</v>
      </c>
      <c r="X437" s="267">
        <v>510</v>
      </c>
      <c r="Y437" s="268">
        <v>59375</v>
      </c>
      <c r="Z437" s="252">
        <v>503</v>
      </c>
      <c r="AA437" s="253">
        <v>48863</v>
      </c>
      <c r="AB437" s="267">
        <v>510</v>
      </c>
      <c r="AC437" s="268">
        <v>49480</v>
      </c>
      <c r="AD437" s="252">
        <v>503</v>
      </c>
      <c r="AE437" s="253">
        <v>387646</v>
      </c>
      <c r="AF437" s="267">
        <v>510</v>
      </c>
      <c r="AG437" s="268">
        <v>392538</v>
      </c>
      <c r="AH437" s="252"/>
      <c r="AI437" s="253"/>
      <c r="AJ437" s="267"/>
      <c r="AK437" s="268"/>
      <c r="AL437" s="252"/>
      <c r="AM437" s="253"/>
      <c r="AN437" s="267"/>
      <c r="AO437" s="268"/>
      <c r="AP437" s="255">
        <f t="shared" si="72"/>
        <v>503</v>
      </c>
      <c r="AQ437" s="256">
        <f t="shared" si="73"/>
        <v>10848209</v>
      </c>
      <c r="AR437" s="257">
        <f t="shared" si="74"/>
        <v>510</v>
      </c>
      <c r="AS437" s="258">
        <f t="shared" si="75"/>
        <v>11688478</v>
      </c>
      <c r="AT437" s="259">
        <v>1</v>
      </c>
      <c r="AU437" s="253">
        <v>5759</v>
      </c>
      <c r="AV437" s="267"/>
      <c r="AW437" s="268"/>
      <c r="AX437" s="252">
        <v>1</v>
      </c>
      <c r="AY437" s="253">
        <v>7371</v>
      </c>
      <c r="AZ437" s="267"/>
      <c r="BA437" s="268"/>
      <c r="BB437" s="252">
        <v>1</v>
      </c>
      <c r="BC437" s="253">
        <v>39</v>
      </c>
      <c r="BD437" s="267"/>
      <c r="BE437" s="268"/>
      <c r="BF437" s="252">
        <v>1</v>
      </c>
      <c r="BG437" s="253">
        <v>3458</v>
      </c>
      <c r="BH437" s="267"/>
      <c r="BI437" s="268"/>
      <c r="BJ437" s="252">
        <v>1</v>
      </c>
      <c r="BK437" s="253">
        <v>81</v>
      </c>
      <c r="BL437" s="267"/>
      <c r="BM437" s="268"/>
      <c r="BN437" s="252">
        <v>1</v>
      </c>
      <c r="BO437" s="253">
        <v>68</v>
      </c>
      <c r="BP437" s="267"/>
      <c r="BQ437" s="268"/>
      <c r="BR437" s="252">
        <v>1</v>
      </c>
      <c r="BS437" s="253">
        <v>538</v>
      </c>
      <c r="BT437" s="267"/>
      <c r="BU437" s="268"/>
      <c r="BV437" s="252"/>
      <c r="BW437" s="253"/>
      <c r="BX437" s="267"/>
      <c r="BY437" s="268"/>
      <c r="BZ437" s="252"/>
      <c r="CA437" s="253"/>
      <c r="CB437" s="267"/>
      <c r="CC437" s="268"/>
      <c r="CD437" s="255">
        <f t="shared" si="76"/>
        <v>1</v>
      </c>
      <c r="CE437" s="256">
        <f t="shared" si="77"/>
        <v>17314</v>
      </c>
      <c r="CF437" s="257">
        <f t="shared" si="78"/>
        <v>0</v>
      </c>
      <c r="CG437" s="261">
        <f t="shared" si="79"/>
        <v>0</v>
      </c>
    </row>
    <row r="438" spans="1:85" s="263" customFormat="1" ht="12.75" customHeight="1">
      <c r="A438" s="439" t="s">
        <v>264</v>
      </c>
      <c r="B438" s="386" t="s">
        <v>268</v>
      </c>
      <c r="C438" s="386"/>
      <c r="D438" s="387">
        <v>218964</v>
      </c>
      <c r="E438" s="388">
        <v>3</v>
      </c>
      <c r="F438" s="252">
        <v>275</v>
      </c>
      <c r="G438" s="253">
        <v>2203058</v>
      </c>
      <c r="H438" s="267">
        <v>281</v>
      </c>
      <c r="I438" s="268">
        <v>2370785</v>
      </c>
      <c r="J438" s="252">
        <v>275</v>
      </c>
      <c r="K438" s="253">
        <v>1238061</v>
      </c>
      <c r="L438" s="267">
        <v>281</v>
      </c>
      <c r="M438" s="268">
        <v>1271302</v>
      </c>
      <c r="N438" s="252">
        <v>275</v>
      </c>
      <c r="O438" s="253">
        <v>10659</v>
      </c>
      <c r="P438" s="267">
        <v>281</v>
      </c>
      <c r="Q438" s="268">
        <v>10892</v>
      </c>
      <c r="R438" s="252">
        <v>275</v>
      </c>
      <c r="S438" s="253">
        <v>1334394</v>
      </c>
      <c r="T438" s="267">
        <v>281</v>
      </c>
      <c r="U438" s="268">
        <v>1360370</v>
      </c>
      <c r="V438" s="252">
        <v>275</v>
      </c>
      <c r="W438" s="253">
        <v>17443</v>
      </c>
      <c r="X438" s="267">
        <v>281</v>
      </c>
      <c r="Y438" s="268">
        <v>17839</v>
      </c>
      <c r="Z438" s="252">
        <v>275</v>
      </c>
      <c r="AA438" s="253">
        <v>1155</v>
      </c>
      <c r="AB438" s="267">
        <v>281</v>
      </c>
      <c r="AC438" s="268">
        <v>1113</v>
      </c>
      <c r="AD438" s="252">
        <v>275</v>
      </c>
      <c r="AE438" s="253">
        <v>205828</v>
      </c>
      <c r="AF438" s="267">
        <v>281</v>
      </c>
      <c r="AG438" s="268">
        <v>210499</v>
      </c>
      <c r="AH438" s="252"/>
      <c r="AI438" s="253"/>
      <c r="AJ438" s="267"/>
      <c r="AK438" s="268"/>
      <c r="AL438" s="252"/>
      <c r="AM438" s="253"/>
      <c r="AN438" s="267"/>
      <c r="AO438" s="268"/>
      <c r="AP438" s="255">
        <f t="shared" si="72"/>
        <v>275</v>
      </c>
      <c r="AQ438" s="256">
        <f t="shared" si="73"/>
        <v>5010598</v>
      </c>
      <c r="AR438" s="257">
        <f t="shared" si="74"/>
        <v>281</v>
      </c>
      <c r="AS438" s="258">
        <f t="shared" si="75"/>
        <v>5242800</v>
      </c>
      <c r="AT438" s="259">
        <v>4</v>
      </c>
      <c r="AU438" s="253">
        <v>30692</v>
      </c>
      <c r="AV438" s="267">
        <v>5</v>
      </c>
      <c r="AW438" s="268">
        <v>46056</v>
      </c>
      <c r="AX438" s="252">
        <v>4</v>
      </c>
      <c r="AY438" s="253">
        <v>18008</v>
      </c>
      <c r="AZ438" s="267">
        <v>5</v>
      </c>
      <c r="BA438" s="268">
        <v>22621</v>
      </c>
      <c r="BB438" s="252">
        <v>4</v>
      </c>
      <c r="BC438" s="253">
        <v>155</v>
      </c>
      <c r="BD438" s="267">
        <v>5</v>
      </c>
      <c r="BE438" s="268">
        <v>194</v>
      </c>
      <c r="BF438" s="252">
        <v>4</v>
      </c>
      <c r="BG438" s="253">
        <v>18590</v>
      </c>
      <c r="BH438" s="267">
        <v>5</v>
      </c>
      <c r="BI438" s="268">
        <v>26511</v>
      </c>
      <c r="BJ438" s="252">
        <v>4</v>
      </c>
      <c r="BK438" s="253">
        <v>243</v>
      </c>
      <c r="BL438" s="267">
        <v>5</v>
      </c>
      <c r="BM438" s="268">
        <v>347</v>
      </c>
      <c r="BN438" s="252">
        <v>4</v>
      </c>
      <c r="BO438" s="253">
        <v>17</v>
      </c>
      <c r="BP438" s="267">
        <v>5</v>
      </c>
      <c r="BQ438" s="268">
        <v>20</v>
      </c>
      <c r="BR438" s="252">
        <v>4</v>
      </c>
      <c r="BS438" s="253">
        <v>2867</v>
      </c>
      <c r="BT438" s="267">
        <v>5</v>
      </c>
      <c r="BU438" s="268">
        <v>4089</v>
      </c>
      <c r="BV438" s="252"/>
      <c r="BW438" s="253"/>
      <c r="BX438" s="267"/>
      <c r="BY438" s="268"/>
      <c r="BZ438" s="252"/>
      <c r="CA438" s="253"/>
      <c r="CB438" s="267"/>
      <c r="CC438" s="268"/>
      <c r="CD438" s="255">
        <f t="shared" si="76"/>
        <v>4</v>
      </c>
      <c r="CE438" s="256">
        <f t="shared" si="77"/>
        <v>70572</v>
      </c>
      <c r="CF438" s="257">
        <f t="shared" si="78"/>
        <v>5</v>
      </c>
      <c r="CG438" s="261">
        <f t="shared" si="79"/>
        <v>99838</v>
      </c>
    </row>
    <row r="439" spans="1:85" s="263" customFormat="1" ht="12.75" customHeight="1">
      <c r="A439" s="439" t="s">
        <v>264</v>
      </c>
      <c r="B439" s="386" t="s">
        <v>269</v>
      </c>
      <c r="C439" s="386"/>
      <c r="D439" s="387">
        <v>217864</v>
      </c>
      <c r="E439" s="388">
        <v>4</v>
      </c>
      <c r="F439" s="252">
        <v>171</v>
      </c>
      <c r="G439" s="253">
        <v>1495864</v>
      </c>
      <c r="H439" s="267">
        <v>169</v>
      </c>
      <c r="I439" s="268">
        <v>1519230</v>
      </c>
      <c r="J439" s="252">
        <v>171</v>
      </c>
      <c r="K439" s="253">
        <v>920384</v>
      </c>
      <c r="L439" s="267">
        <v>169</v>
      </c>
      <c r="M439" s="268">
        <v>962793</v>
      </c>
      <c r="N439" s="252">
        <v>171</v>
      </c>
      <c r="O439" s="253">
        <v>6628</v>
      </c>
      <c r="P439" s="267">
        <v>169</v>
      </c>
      <c r="Q439" s="268">
        <v>6540</v>
      </c>
      <c r="R439" s="252">
        <v>171</v>
      </c>
      <c r="S439" s="253">
        <v>898223</v>
      </c>
      <c r="T439" s="267">
        <v>169</v>
      </c>
      <c r="U439" s="268">
        <v>884483</v>
      </c>
      <c r="V439" s="252">
        <v>171</v>
      </c>
      <c r="W439" s="253">
        <v>15264</v>
      </c>
      <c r="X439" s="267">
        <v>169</v>
      </c>
      <c r="Y439" s="268">
        <v>15030</v>
      </c>
      <c r="Z439" s="252">
        <v>171</v>
      </c>
      <c r="AA439" s="253">
        <v>17612</v>
      </c>
      <c r="AB439" s="267">
        <v>169</v>
      </c>
      <c r="AC439" s="268">
        <v>17343</v>
      </c>
      <c r="AD439" s="252">
        <v>171</v>
      </c>
      <c r="AE439" s="253">
        <v>159684</v>
      </c>
      <c r="AF439" s="267">
        <v>169</v>
      </c>
      <c r="AG439" s="268">
        <v>157242</v>
      </c>
      <c r="AH439" s="252"/>
      <c r="AI439" s="253"/>
      <c r="AJ439" s="267"/>
      <c r="AK439" s="268"/>
      <c r="AL439" s="252"/>
      <c r="AM439" s="253"/>
      <c r="AN439" s="267"/>
      <c r="AO439" s="268"/>
      <c r="AP439" s="255">
        <f t="shared" si="72"/>
        <v>171</v>
      </c>
      <c r="AQ439" s="256">
        <f t="shared" si="73"/>
        <v>3513659</v>
      </c>
      <c r="AR439" s="257">
        <f t="shared" si="74"/>
        <v>169</v>
      </c>
      <c r="AS439" s="258">
        <f t="shared" si="75"/>
        <v>3562661</v>
      </c>
      <c r="AT439" s="259">
        <v>1</v>
      </c>
      <c r="AU439" s="253">
        <v>8536</v>
      </c>
      <c r="AV439" s="267">
        <v>1</v>
      </c>
      <c r="AW439" s="268">
        <v>8804</v>
      </c>
      <c r="AX439" s="252">
        <v>1</v>
      </c>
      <c r="AY439" s="253">
        <v>5382</v>
      </c>
      <c r="AZ439" s="267">
        <v>1</v>
      </c>
      <c r="BA439" s="268">
        <v>5697</v>
      </c>
      <c r="BB439" s="252">
        <v>1</v>
      </c>
      <c r="BC439" s="253">
        <v>39</v>
      </c>
      <c r="BD439" s="267">
        <v>1</v>
      </c>
      <c r="BE439" s="268">
        <v>39</v>
      </c>
      <c r="BF439" s="252">
        <v>1</v>
      </c>
      <c r="BG439" s="253">
        <v>5126</v>
      </c>
      <c r="BH439" s="267">
        <v>1</v>
      </c>
      <c r="BI439" s="268">
        <v>5126</v>
      </c>
      <c r="BJ439" s="252">
        <v>1</v>
      </c>
      <c r="BK439" s="253">
        <v>87</v>
      </c>
      <c r="BL439" s="267">
        <v>1</v>
      </c>
      <c r="BM439" s="268">
        <v>87</v>
      </c>
      <c r="BN439" s="252">
        <v>1</v>
      </c>
      <c r="BO439" s="253">
        <v>101</v>
      </c>
      <c r="BP439" s="267">
        <v>1</v>
      </c>
      <c r="BQ439" s="268">
        <v>101</v>
      </c>
      <c r="BR439" s="252">
        <v>1</v>
      </c>
      <c r="BS439" s="253">
        <v>911</v>
      </c>
      <c r="BT439" s="267">
        <v>1</v>
      </c>
      <c r="BU439" s="268">
        <v>911</v>
      </c>
      <c r="BV439" s="252"/>
      <c r="BW439" s="253"/>
      <c r="BX439" s="267"/>
      <c r="BY439" s="268"/>
      <c r="BZ439" s="252"/>
      <c r="CA439" s="253"/>
      <c r="CB439" s="267"/>
      <c r="CC439" s="268"/>
      <c r="CD439" s="255">
        <f t="shared" si="76"/>
        <v>1</v>
      </c>
      <c r="CE439" s="256">
        <f t="shared" si="77"/>
        <v>20182</v>
      </c>
      <c r="CF439" s="257">
        <f t="shared" si="78"/>
        <v>1</v>
      </c>
      <c r="CG439" s="261">
        <f t="shared" si="79"/>
        <v>20765</v>
      </c>
    </row>
    <row r="440" spans="1:85" s="263" customFormat="1" ht="12.75" customHeight="1">
      <c r="A440" s="439" t="s">
        <v>264</v>
      </c>
      <c r="B440" s="386" t="s">
        <v>270</v>
      </c>
      <c r="C440" s="386"/>
      <c r="D440" s="387">
        <v>218724</v>
      </c>
      <c r="E440" s="388">
        <v>5</v>
      </c>
      <c r="F440" s="252">
        <v>273</v>
      </c>
      <c r="G440" s="253">
        <v>2046041</v>
      </c>
      <c r="H440" s="267">
        <v>301</v>
      </c>
      <c r="I440" s="268">
        <v>2313366</v>
      </c>
      <c r="J440" s="252">
        <v>273</v>
      </c>
      <c r="K440" s="253">
        <v>1417886</v>
      </c>
      <c r="L440" s="267">
        <v>301</v>
      </c>
      <c r="M440" s="268">
        <v>1633057</v>
      </c>
      <c r="N440" s="252"/>
      <c r="O440" s="253"/>
      <c r="P440" s="267"/>
      <c r="Q440" s="268"/>
      <c r="R440" s="252">
        <v>273</v>
      </c>
      <c r="S440" s="253">
        <v>1228588</v>
      </c>
      <c r="T440" s="267">
        <v>301</v>
      </c>
      <c r="U440" s="268">
        <v>1346823</v>
      </c>
      <c r="V440" s="252">
        <v>273</v>
      </c>
      <c r="W440" s="253">
        <v>32120</v>
      </c>
      <c r="X440" s="267">
        <v>301</v>
      </c>
      <c r="Y440" s="268">
        <v>35211</v>
      </c>
      <c r="Z440" s="252"/>
      <c r="AA440" s="253"/>
      <c r="AB440" s="267"/>
      <c r="AC440" s="268"/>
      <c r="AD440" s="252">
        <v>273</v>
      </c>
      <c r="AE440" s="253">
        <v>160600</v>
      </c>
      <c r="AF440" s="267">
        <v>301</v>
      </c>
      <c r="AG440" s="268">
        <v>176055</v>
      </c>
      <c r="AH440" s="252"/>
      <c r="AI440" s="253"/>
      <c r="AJ440" s="267"/>
      <c r="AK440" s="268"/>
      <c r="AL440" s="252"/>
      <c r="AM440" s="253"/>
      <c r="AN440" s="267"/>
      <c r="AO440" s="268"/>
      <c r="AP440" s="255">
        <f t="shared" si="72"/>
        <v>273</v>
      </c>
      <c r="AQ440" s="256">
        <f t="shared" si="73"/>
        <v>4885235</v>
      </c>
      <c r="AR440" s="257">
        <f t="shared" si="74"/>
        <v>301</v>
      </c>
      <c r="AS440" s="258">
        <f t="shared" si="75"/>
        <v>5504512</v>
      </c>
      <c r="AT440" s="259">
        <v>42</v>
      </c>
      <c r="AU440" s="253">
        <v>480793</v>
      </c>
      <c r="AV440" s="267">
        <v>45</v>
      </c>
      <c r="AW440" s="268">
        <v>499566</v>
      </c>
      <c r="AX440" s="252">
        <v>42</v>
      </c>
      <c r="AY440" s="253">
        <v>218136</v>
      </c>
      <c r="AZ440" s="267">
        <v>45</v>
      </c>
      <c r="BA440" s="268">
        <v>244145</v>
      </c>
      <c r="BB440" s="252"/>
      <c r="BC440" s="253"/>
      <c r="BD440" s="267"/>
      <c r="BE440" s="268"/>
      <c r="BF440" s="252">
        <v>42</v>
      </c>
      <c r="BG440" s="253">
        <v>288702</v>
      </c>
      <c r="BH440" s="267">
        <v>45</v>
      </c>
      <c r="BI440" s="268">
        <v>290843</v>
      </c>
      <c r="BJ440" s="252">
        <v>42</v>
      </c>
      <c r="BK440" s="253">
        <v>7548</v>
      </c>
      <c r="BL440" s="267">
        <v>45</v>
      </c>
      <c r="BM440" s="268">
        <v>7604</v>
      </c>
      <c r="BN440" s="252"/>
      <c r="BO440" s="253"/>
      <c r="BP440" s="267"/>
      <c r="BQ440" s="268"/>
      <c r="BR440" s="252">
        <v>42</v>
      </c>
      <c r="BS440" s="253">
        <v>37739</v>
      </c>
      <c r="BT440" s="267">
        <v>45</v>
      </c>
      <c r="BU440" s="268">
        <v>38019</v>
      </c>
      <c r="BV440" s="252"/>
      <c r="BW440" s="253"/>
      <c r="BX440" s="267"/>
      <c r="BY440" s="268"/>
      <c r="BZ440" s="252"/>
      <c r="CA440" s="253"/>
      <c r="CB440" s="267"/>
      <c r="CC440" s="268"/>
      <c r="CD440" s="255">
        <f t="shared" si="76"/>
        <v>42</v>
      </c>
      <c r="CE440" s="256">
        <f t="shared" si="77"/>
        <v>1032918</v>
      </c>
      <c r="CF440" s="257">
        <f t="shared" si="78"/>
        <v>45</v>
      </c>
      <c r="CG440" s="261">
        <f t="shared" si="79"/>
        <v>1080177</v>
      </c>
    </row>
    <row r="441" spans="1:85" s="263" customFormat="1" ht="12.75" customHeight="1">
      <c r="A441" s="439" t="s">
        <v>264</v>
      </c>
      <c r="B441" s="386" t="s">
        <v>271</v>
      </c>
      <c r="C441" s="386"/>
      <c r="D441" s="387">
        <v>218061</v>
      </c>
      <c r="E441" s="388">
        <v>5</v>
      </c>
      <c r="F441" s="252">
        <v>192</v>
      </c>
      <c r="G441" s="253">
        <v>1471225</v>
      </c>
      <c r="H441" s="267">
        <v>195</v>
      </c>
      <c r="I441" s="268">
        <v>1560250</v>
      </c>
      <c r="J441" s="252">
        <v>190</v>
      </c>
      <c r="K441" s="253">
        <v>867172</v>
      </c>
      <c r="L441" s="267">
        <v>194</v>
      </c>
      <c r="M441" s="268">
        <v>913988</v>
      </c>
      <c r="N441" s="252">
        <v>185</v>
      </c>
      <c r="O441" s="253">
        <v>7131</v>
      </c>
      <c r="P441" s="267">
        <v>191</v>
      </c>
      <c r="Q441" s="268">
        <v>9303</v>
      </c>
      <c r="R441" s="252">
        <v>192</v>
      </c>
      <c r="S441" s="253">
        <v>882674</v>
      </c>
      <c r="T441" s="267">
        <v>195</v>
      </c>
      <c r="U441" s="268">
        <v>907051</v>
      </c>
      <c r="V441" s="252">
        <v>192</v>
      </c>
      <c r="W441" s="253">
        <v>11812</v>
      </c>
      <c r="X441" s="267">
        <v>195</v>
      </c>
      <c r="Y441" s="268">
        <v>10876</v>
      </c>
      <c r="Z441" s="252">
        <v>190</v>
      </c>
      <c r="AA441" s="253">
        <v>20655</v>
      </c>
      <c r="AB441" s="267">
        <v>195</v>
      </c>
      <c r="AC441" s="268">
        <v>21236</v>
      </c>
      <c r="AD441" s="252">
        <v>192</v>
      </c>
      <c r="AE441" s="253">
        <v>127918</v>
      </c>
      <c r="AF441" s="267">
        <v>195</v>
      </c>
      <c r="AG441" s="268">
        <v>129061</v>
      </c>
      <c r="AH441" s="252">
        <v>2</v>
      </c>
      <c r="AI441" s="253">
        <v>200</v>
      </c>
      <c r="AJ441" s="267">
        <v>1</v>
      </c>
      <c r="AK441" s="268">
        <v>100</v>
      </c>
      <c r="AL441" s="252"/>
      <c r="AM441" s="253"/>
      <c r="AN441" s="267"/>
      <c r="AO441" s="268"/>
      <c r="AP441" s="255">
        <f t="shared" si="72"/>
        <v>192</v>
      </c>
      <c r="AQ441" s="256">
        <f t="shared" si="73"/>
        <v>3388787</v>
      </c>
      <c r="AR441" s="257">
        <f t="shared" si="74"/>
        <v>195</v>
      </c>
      <c r="AS441" s="258">
        <f t="shared" si="75"/>
        <v>3551865</v>
      </c>
      <c r="AT441" s="259">
        <v>7</v>
      </c>
      <c r="AU441" s="253">
        <v>80944</v>
      </c>
      <c r="AV441" s="267">
        <v>7</v>
      </c>
      <c r="AW441" s="268">
        <v>85246</v>
      </c>
      <c r="AX441" s="252">
        <v>7</v>
      </c>
      <c r="AY441" s="253">
        <v>38788</v>
      </c>
      <c r="AZ441" s="267">
        <v>7</v>
      </c>
      <c r="BA441" s="268">
        <v>42493</v>
      </c>
      <c r="BB441" s="252">
        <v>7</v>
      </c>
      <c r="BC441" s="253">
        <v>272</v>
      </c>
      <c r="BD441" s="267">
        <v>7</v>
      </c>
      <c r="BE441" s="268">
        <v>211</v>
      </c>
      <c r="BF441" s="252">
        <v>7</v>
      </c>
      <c r="BG441" s="253">
        <v>48605</v>
      </c>
      <c r="BH441" s="267">
        <v>7</v>
      </c>
      <c r="BI441" s="268">
        <v>49599</v>
      </c>
      <c r="BJ441" s="252">
        <v>7</v>
      </c>
      <c r="BK441" s="253">
        <v>651</v>
      </c>
      <c r="BL441" s="267">
        <v>7</v>
      </c>
      <c r="BM441" s="268">
        <v>595</v>
      </c>
      <c r="BN441" s="252">
        <v>7</v>
      </c>
      <c r="BO441" s="253">
        <v>1149</v>
      </c>
      <c r="BP441" s="267">
        <v>7</v>
      </c>
      <c r="BQ441" s="268">
        <v>1169</v>
      </c>
      <c r="BR441" s="252">
        <v>7</v>
      </c>
      <c r="BS441" s="253">
        <v>7094</v>
      </c>
      <c r="BT441" s="267">
        <v>7</v>
      </c>
      <c r="BU441" s="268">
        <v>7041</v>
      </c>
      <c r="BV441" s="252"/>
      <c r="BW441" s="253"/>
      <c r="BX441" s="267"/>
      <c r="BY441" s="268"/>
      <c r="BZ441" s="252"/>
      <c r="CA441" s="253"/>
      <c r="CB441" s="267"/>
      <c r="CC441" s="268"/>
      <c r="CD441" s="255">
        <f t="shared" si="76"/>
        <v>7</v>
      </c>
      <c r="CE441" s="256">
        <f t="shared" si="77"/>
        <v>177503</v>
      </c>
      <c r="CF441" s="257">
        <f t="shared" si="78"/>
        <v>7</v>
      </c>
      <c r="CG441" s="261">
        <f t="shared" si="79"/>
        <v>186354</v>
      </c>
    </row>
    <row r="442" spans="1:85" s="263" customFormat="1" ht="12.75" customHeight="1">
      <c r="A442" s="439" t="s">
        <v>264</v>
      </c>
      <c r="B442" s="386" t="s">
        <v>273</v>
      </c>
      <c r="C442" s="386"/>
      <c r="D442" s="387">
        <v>218733</v>
      </c>
      <c r="E442" s="388">
        <v>5</v>
      </c>
      <c r="F442" s="252">
        <v>200</v>
      </c>
      <c r="G442" s="253">
        <v>1020400</v>
      </c>
      <c r="H442" s="267">
        <v>140</v>
      </c>
      <c r="I442" s="268">
        <v>637789</v>
      </c>
      <c r="J442" s="252">
        <v>200</v>
      </c>
      <c r="K442" s="253">
        <v>551000</v>
      </c>
      <c r="L442" s="267">
        <v>140</v>
      </c>
      <c r="M442" s="268">
        <v>395650</v>
      </c>
      <c r="N442" s="252">
        <v>50</v>
      </c>
      <c r="O442" s="253">
        <v>968</v>
      </c>
      <c r="P442" s="267">
        <v>140</v>
      </c>
      <c r="Q442" s="268">
        <v>2987</v>
      </c>
      <c r="R442" s="252">
        <v>200</v>
      </c>
      <c r="S442" s="253">
        <v>595600</v>
      </c>
      <c r="T442" s="267">
        <v>140</v>
      </c>
      <c r="U442" s="268">
        <v>336999</v>
      </c>
      <c r="V442" s="252">
        <v>200</v>
      </c>
      <c r="W442" s="253">
        <v>112800</v>
      </c>
      <c r="X442" s="267">
        <v>140</v>
      </c>
      <c r="Y442" s="268">
        <v>88978</v>
      </c>
      <c r="Z442" s="252">
        <v>200</v>
      </c>
      <c r="AA442" s="253">
        <v>308000</v>
      </c>
      <c r="AB442" s="267">
        <v>140</v>
      </c>
      <c r="AC442" s="268">
        <v>189269</v>
      </c>
      <c r="AD442" s="252">
        <v>200</v>
      </c>
      <c r="AE442" s="253">
        <v>229000</v>
      </c>
      <c r="AF442" s="267">
        <v>140</v>
      </c>
      <c r="AG442" s="268">
        <v>195298</v>
      </c>
      <c r="AH442" s="252"/>
      <c r="AI442" s="253"/>
      <c r="AJ442" s="267"/>
      <c r="AK442" s="268"/>
      <c r="AL442" s="252"/>
      <c r="AM442" s="253"/>
      <c r="AN442" s="267"/>
      <c r="AO442" s="268"/>
      <c r="AP442" s="255">
        <f t="shared" si="72"/>
        <v>200</v>
      </c>
      <c r="AQ442" s="256">
        <f t="shared" si="73"/>
        <v>2817768</v>
      </c>
      <c r="AR442" s="257">
        <f t="shared" si="74"/>
        <v>140</v>
      </c>
      <c r="AS442" s="258">
        <f t="shared" si="75"/>
        <v>1846970</v>
      </c>
      <c r="AT442" s="259">
        <v>26</v>
      </c>
      <c r="AU442" s="253">
        <v>127842</v>
      </c>
      <c r="AV442" s="267">
        <v>27</v>
      </c>
      <c r="AW442" s="268">
        <v>137943</v>
      </c>
      <c r="AX442" s="252">
        <v>26</v>
      </c>
      <c r="AY442" s="253">
        <v>76882</v>
      </c>
      <c r="AZ442" s="267">
        <v>27</v>
      </c>
      <c r="BA442" s="268">
        <v>80703</v>
      </c>
      <c r="BB442" s="252">
        <v>26</v>
      </c>
      <c r="BC442" s="253">
        <v>500</v>
      </c>
      <c r="BD442" s="267">
        <v>27</v>
      </c>
      <c r="BE442" s="268">
        <v>594</v>
      </c>
      <c r="BF442" s="252">
        <v>26</v>
      </c>
      <c r="BG442" s="253">
        <v>69602</v>
      </c>
      <c r="BH442" s="267">
        <v>27</v>
      </c>
      <c r="BI442" s="268">
        <v>75222</v>
      </c>
      <c r="BJ442" s="252">
        <v>26</v>
      </c>
      <c r="BK442" s="253">
        <v>11934</v>
      </c>
      <c r="BL442" s="267">
        <v>27</v>
      </c>
      <c r="BM442" s="268">
        <v>14968</v>
      </c>
      <c r="BN442" s="252">
        <v>26</v>
      </c>
      <c r="BO442" s="253">
        <v>69420</v>
      </c>
      <c r="BP442" s="267">
        <v>27</v>
      </c>
      <c r="BQ442" s="268">
        <v>75303</v>
      </c>
      <c r="BR442" s="252">
        <v>26</v>
      </c>
      <c r="BS442" s="253">
        <v>30290</v>
      </c>
      <c r="BT442" s="267">
        <v>27</v>
      </c>
      <c r="BU442" s="268">
        <v>33993</v>
      </c>
      <c r="BV442" s="252"/>
      <c r="BW442" s="253"/>
      <c r="BX442" s="267"/>
      <c r="BY442" s="268"/>
      <c r="BZ442" s="252"/>
      <c r="CA442" s="253"/>
      <c r="CB442" s="267"/>
      <c r="CC442" s="268"/>
      <c r="CD442" s="255">
        <f t="shared" si="76"/>
        <v>26</v>
      </c>
      <c r="CE442" s="256">
        <f t="shared" si="77"/>
        <v>386470</v>
      </c>
      <c r="CF442" s="257">
        <f t="shared" si="78"/>
        <v>27</v>
      </c>
      <c r="CG442" s="261">
        <f t="shared" si="79"/>
        <v>418726</v>
      </c>
    </row>
    <row r="443" spans="1:85" s="263" customFormat="1" ht="12.75" customHeight="1">
      <c r="A443" s="439" t="s">
        <v>264</v>
      </c>
      <c r="B443" s="386" t="s">
        <v>272</v>
      </c>
      <c r="C443" s="498" t="s">
        <v>1193</v>
      </c>
      <c r="D443" s="387">
        <v>218229</v>
      </c>
      <c r="E443" s="388">
        <v>6</v>
      </c>
      <c r="F443" s="252">
        <v>115</v>
      </c>
      <c r="G443" s="253">
        <v>761377</v>
      </c>
      <c r="H443" s="267">
        <v>102</v>
      </c>
      <c r="I443" s="268">
        <v>698546</v>
      </c>
      <c r="J443" s="252">
        <v>115</v>
      </c>
      <c r="K443" s="253">
        <v>544295</v>
      </c>
      <c r="L443" s="267">
        <v>102</v>
      </c>
      <c r="M443" s="268">
        <v>476850</v>
      </c>
      <c r="N443" s="252">
        <v>115</v>
      </c>
      <c r="O443" s="253">
        <v>4485</v>
      </c>
      <c r="P443" s="267">
        <v>102</v>
      </c>
      <c r="Q443" s="268">
        <v>3978</v>
      </c>
      <c r="R443" s="252">
        <v>115</v>
      </c>
      <c r="S443" s="253">
        <v>457185</v>
      </c>
      <c r="T443" s="267">
        <v>102</v>
      </c>
      <c r="U443" s="268">
        <v>406688</v>
      </c>
      <c r="V443" s="252">
        <v>115</v>
      </c>
      <c r="W443" s="253">
        <v>17160</v>
      </c>
      <c r="X443" s="267">
        <v>102</v>
      </c>
      <c r="Y443" s="268">
        <v>9038</v>
      </c>
      <c r="Z443" s="252">
        <v>115</v>
      </c>
      <c r="AA443" s="253">
        <v>8964</v>
      </c>
      <c r="AB443" s="267">
        <v>102</v>
      </c>
      <c r="AC443" s="268">
        <v>7974</v>
      </c>
      <c r="AD443" s="252">
        <v>115</v>
      </c>
      <c r="AE443" s="253">
        <v>83070</v>
      </c>
      <c r="AF443" s="267">
        <v>102</v>
      </c>
      <c r="AG443" s="268">
        <v>73895</v>
      </c>
      <c r="AH443" s="252"/>
      <c r="AI443" s="253"/>
      <c r="AJ443" s="267"/>
      <c r="AK443" s="268"/>
      <c r="AL443" s="252"/>
      <c r="AM443" s="253"/>
      <c r="AN443" s="267"/>
      <c r="AO443" s="268"/>
      <c r="AP443" s="255">
        <f t="shared" si="72"/>
        <v>115</v>
      </c>
      <c r="AQ443" s="256">
        <f t="shared" si="73"/>
        <v>1876536</v>
      </c>
      <c r="AR443" s="257">
        <f t="shared" si="74"/>
        <v>102</v>
      </c>
      <c r="AS443" s="258">
        <f t="shared" si="75"/>
        <v>1676969</v>
      </c>
      <c r="AT443" s="259">
        <v>2</v>
      </c>
      <c r="AU443" s="253">
        <v>20500</v>
      </c>
      <c r="AV443" s="267">
        <v>24</v>
      </c>
      <c r="AW443" s="268">
        <v>155115</v>
      </c>
      <c r="AX443" s="252">
        <v>2</v>
      </c>
      <c r="AY443" s="253">
        <v>9466</v>
      </c>
      <c r="AZ443" s="267">
        <v>24</v>
      </c>
      <c r="BA443" s="268">
        <v>112200</v>
      </c>
      <c r="BB443" s="252">
        <v>2</v>
      </c>
      <c r="BC443" s="253">
        <v>78</v>
      </c>
      <c r="BD443" s="267">
        <v>24</v>
      </c>
      <c r="BE443" s="268">
        <v>936</v>
      </c>
      <c r="BF443" s="252">
        <v>2</v>
      </c>
      <c r="BG443" s="253">
        <v>12310</v>
      </c>
      <c r="BH443" s="267">
        <v>24</v>
      </c>
      <c r="BI443" s="268">
        <v>90307</v>
      </c>
      <c r="BJ443" s="252">
        <v>2</v>
      </c>
      <c r="BK443" s="253">
        <v>375</v>
      </c>
      <c r="BL443" s="267">
        <v>24</v>
      </c>
      <c r="BM443" s="268">
        <v>2007</v>
      </c>
      <c r="BN443" s="252">
        <v>2</v>
      </c>
      <c r="BO443" s="253">
        <v>242</v>
      </c>
      <c r="BP443" s="267">
        <v>24</v>
      </c>
      <c r="BQ443" s="268">
        <v>1771</v>
      </c>
      <c r="BR443" s="252">
        <v>2</v>
      </c>
      <c r="BS443" s="253">
        <v>2237</v>
      </c>
      <c r="BT443" s="267">
        <v>24</v>
      </c>
      <c r="BU443" s="268">
        <v>16409</v>
      </c>
      <c r="BV443" s="252"/>
      <c r="BW443" s="253"/>
      <c r="BX443" s="267"/>
      <c r="BY443" s="268"/>
      <c r="BZ443" s="252"/>
      <c r="CA443" s="253"/>
      <c r="CB443" s="267"/>
      <c r="CC443" s="268"/>
      <c r="CD443" s="255">
        <f t="shared" si="76"/>
        <v>2</v>
      </c>
      <c r="CE443" s="256">
        <f t="shared" si="77"/>
        <v>45208</v>
      </c>
      <c r="CF443" s="257">
        <f t="shared" si="78"/>
        <v>24</v>
      </c>
      <c r="CG443" s="261">
        <f t="shared" si="79"/>
        <v>378745</v>
      </c>
    </row>
    <row r="444" spans="1:85" s="263" customFormat="1" ht="12.75" customHeight="1">
      <c r="A444" s="439" t="s">
        <v>264</v>
      </c>
      <c r="B444" s="386" t="s">
        <v>274</v>
      </c>
      <c r="C444" s="386"/>
      <c r="D444" s="387">
        <v>218645</v>
      </c>
      <c r="E444" s="388">
        <v>6</v>
      </c>
      <c r="F444" s="252">
        <v>132</v>
      </c>
      <c r="G444" s="253">
        <v>914749</v>
      </c>
      <c r="H444" s="267">
        <v>130</v>
      </c>
      <c r="I444" s="268">
        <v>933089</v>
      </c>
      <c r="J444" s="252">
        <v>132</v>
      </c>
      <c r="K444" s="253">
        <v>716097</v>
      </c>
      <c r="L444" s="267">
        <v>130</v>
      </c>
      <c r="M444" s="268">
        <v>705247</v>
      </c>
      <c r="N444" s="252"/>
      <c r="O444" s="253"/>
      <c r="P444" s="267"/>
      <c r="Q444" s="268"/>
      <c r="R444" s="252">
        <v>132</v>
      </c>
      <c r="S444" s="253">
        <v>445168</v>
      </c>
      <c r="T444" s="267">
        <v>130</v>
      </c>
      <c r="U444" s="268">
        <v>440270</v>
      </c>
      <c r="V444" s="252">
        <v>132</v>
      </c>
      <c r="W444" s="253">
        <v>10770</v>
      </c>
      <c r="X444" s="267">
        <v>130</v>
      </c>
      <c r="Y444" s="268">
        <v>10652</v>
      </c>
      <c r="Z444" s="252">
        <v>132</v>
      </c>
      <c r="AA444" s="253">
        <v>10770</v>
      </c>
      <c r="AB444" s="267">
        <v>130</v>
      </c>
      <c r="AC444" s="268">
        <v>10652</v>
      </c>
      <c r="AD444" s="252">
        <v>132</v>
      </c>
      <c r="AE444" s="253">
        <v>75391</v>
      </c>
      <c r="AF444" s="267">
        <v>130</v>
      </c>
      <c r="AG444" s="268">
        <v>78112</v>
      </c>
      <c r="AH444" s="252"/>
      <c r="AI444" s="253"/>
      <c r="AJ444" s="267"/>
      <c r="AK444" s="268"/>
      <c r="AL444" s="252"/>
      <c r="AM444" s="253"/>
      <c r="AN444" s="267"/>
      <c r="AO444" s="268"/>
      <c r="AP444" s="255">
        <f t="shared" si="72"/>
        <v>132</v>
      </c>
      <c r="AQ444" s="256">
        <f t="shared" si="73"/>
        <v>2172945</v>
      </c>
      <c r="AR444" s="257">
        <f t="shared" si="74"/>
        <v>130</v>
      </c>
      <c r="AS444" s="258">
        <f t="shared" si="75"/>
        <v>2178022</v>
      </c>
      <c r="AT444" s="259">
        <v>16</v>
      </c>
      <c r="AU444" s="253">
        <v>152142</v>
      </c>
      <c r="AV444" s="267">
        <v>20</v>
      </c>
      <c r="AW444" s="268">
        <v>193263</v>
      </c>
      <c r="AX444" s="252">
        <v>16</v>
      </c>
      <c r="AY444" s="253">
        <v>86800</v>
      </c>
      <c r="AZ444" s="267">
        <v>20</v>
      </c>
      <c r="BA444" s="268">
        <v>108500</v>
      </c>
      <c r="BB444" s="252"/>
      <c r="BC444" s="253"/>
      <c r="BD444" s="267"/>
      <c r="BE444" s="268"/>
      <c r="BF444" s="252">
        <v>16</v>
      </c>
      <c r="BG444" s="253">
        <v>74041</v>
      </c>
      <c r="BH444" s="267">
        <v>20</v>
      </c>
      <c r="BI444" s="268">
        <v>90787</v>
      </c>
      <c r="BJ444" s="252">
        <v>16</v>
      </c>
      <c r="BK444" s="253">
        <v>1791</v>
      </c>
      <c r="BL444" s="267">
        <v>20</v>
      </c>
      <c r="BM444" s="268">
        <v>2206</v>
      </c>
      <c r="BN444" s="252">
        <v>16</v>
      </c>
      <c r="BO444" s="253">
        <v>1791</v>
      </c>
      <c r="BP444" s="267">
        <v>20</v>
      </c>
      <c r="BQ444" s="268">
        <v>2206</v>
      </c>
      <c r="BR444" s="252">
        <v>16</v>
      </c>
      <c r="BS444" s="253">
        <v>12539</v>
      </c>
      <c r="BT444" s="267">
        <v>20</v>
      </c>
      <c r="BU444" s="268">
        <v>16179</v>
      </c>
      <c r="BV444" s="252"/>
      <c r="BW444" s="253"/>
      <c r="BX444" s="267"/>
      <c r="BY444" s="268"/>
      <c r="BZ444" s="252"/>
      <c r="CA444" s="253"/>
      <c r="CB444" s="267"/>
      <c r="CC444" s="268"/>
      <c r="CD444" s="255">
        <f t="shared" si="76"/>
        <v>16</v>
      </c>
      <c r="CE444" s="256">
        <f t="shared" si="77"/>
        <v>329104</v>
      </c>
      <c r="CF444" s="257">
        <f t="shared" si="78"/>
        <v>20</v>
      </c>
      <c r="CG444" s="261">
        <f t="shared" si="79"/>
        <v>413141</v>
      </c>
    </row>
    <row r="445" spans="1:85" s="263" customFormat="1" ht="12.75" customHeight="1">
      <c r="A445" s="439" t="s">
        <v>264</v>
      </c>
      <c r="B445" s="386" t="s">
        <v>275</v>
      </c>
      <c r="C445" s="386"/>
      <c r="D445" s="387">
        <v>218742</v>
      </c>
      <c r="E445" s="388">
        <v>6</v>
      </c>
      <c r="F445" s="252">
        <v>187</v>
      </c>
      <c r="G445" s="253">
        <v>1277089</v>
      </c>
      <c r="H445" s="267">
        <v>188</v>
      </c>
      <c r="I445" s="268">
        <v>1343654</v>
      </c>
      <c r="J445" s="252">
        <v>187</v>
      </c>
      <c r="K445" s="253">
        <v>1014471</v>
      </c>
      <c r="L445" s="267">
        <v>188</v>
      </c>
      <c r="M445" s="268">
        <v>1019896</v>
      </c>
      <c r="N445" s="252"/>
      <c r="O445" s="253"/>
      <c r="P445" s="267"/>
      <c r="Q445" s="268"/>
      <c r="R445" s="252">
        <v>187</v>
      </c>
      <c r="S445" s="253">
        <v>621503</v>
      </c>
      <c r="T445" s="267">
        <v>188</v>
      </c>
      <c r="U445" s="268">
        <v>633992</v>
      </c>
      <c r="V445" s="252">
        <v>187</v>
      </c>
      <c r="W445" s="253">
        <v>15036</v>
      </c>
      <c r="X445" s="267">
        <v>188</v>
      </c>
      <c r="Y445" s="268">
        <v>15339</v>
      </c>
      <c r="Z445" s="252">
        <v>187</v>
      </c>
      <c r="AA445" s="253">
        <v>15036</v>
      </c>
      <c r="AB445" s="267">
        <v>188</v>
      </c>
      <c r="AC445" s="268">
        <v>15339</v>
      </c>
      <c r="AD445" s="252">
        <v>187</v>
      </c>
      <c r="AE445" s="253">
        <v>105255</v>
      </c>
      <c r="AF445" s="267">
        <v>188</v>
      </c>
      <c r="AG445" s="268">
        <v>112482</v>
      </c>
      <c r="AH445" s="252"/>
      <c r="AI445" s="253"/>
      <c r="AJ445" s="267"/>
      <c r="AK445" s="268"/>
      <c r="AL445" s="252"/>
      <c r="AM445" s="253"/>
      <c r="AN445" s="267"/>
      <c r="AO445" s="268"/>
      <c r="AP445" s="255">
        <f t="shared" si="72"/>
        <v>187</v>
      </c>
      <c r="AQ445" s="256">
        <f t="shared" si="73"/>
        <v>3048390</v>
      </c>
      <c r="AR445" s="257">
        <f t="shared" si="74"/>
        <v>188</v>
      </c>
      <c r="AS445" s="258">
        <f t="shared" si="75"/>
        <v>3140702</v>
      </c>
      <c r="AT445" s="259">
        <v>19</v>
      </c>
      <c r="AU445" s="253">
        <v>195555</v>
      </c>
      <c r="AV445" s="267">
        <v>18</v>
      </c>
      <c r="AW445" s="268">
        <v>193421</v>
      </c>
      <c r="AX445" s="252">
        <v>19</v>
      </c>
      <c r="AY445" s="253">
        <v>103075</v>
      </c>
      <c r="AZ445" s="267">
        <v>18</v>
      </c>
      <c r="BA445" s="268">
        <v>97650</v>
      </c>
      <c r="BB445" s="252"/>
      <c r="BC445" s="253"/>
      <c r="BD445" s="267"/>
      <c r="BE445" s="268"/>
      <c r="BF445" s="252">
        <v>19</v>
      </c>
      <c r="BG445" s="253">
        <v>94151</v>
      </c>
      <c r="BH445" s="267">
        <v>18</v>
      </c>
      <c r="BI445" s="268">
        <v>90247</v>
      </c>
      <c r="BJ445" s="252">
        <v>19</v>
      </c>
      <c r="BK445" s="253">
        <v>2302</v>
      </c>
      <c r="BL445" s="267">
        <v>18</v>
      </c>
      <c r="BM445" s="268">
        <v>2208</v>
      </c>
      <c r="BN445" s="252">
        <v>19</v>
      </c>
      <c r="BO445" s="253">
        <v>2302</v>
      </c>
      <c r="BP445" s="267">
        <v>18</v>
      </c>
      <c r="BQ445" s="268">
        <v>2208</v>
      </c>
      <c r="BR445" s="252">
        <v>19</v>
      </c>
      <c r="BS445" s="253">
        <v>16117</v>
      </c>
      <c r="BT445" s="267">
        <v>18</v>
      </c>
      <c r="BU445" s="268">
        <v>16192</v>
      </c>
      <c r="BV445" s="252"/>
      <c r="BW445" s="253"/>
      <c r="BX445" s="267"/>
      <c r="BY445" s="268"/>
      <c r="BZ445" s="252"/>
      <c r="CA445" s="253"/>
      <c r="CB445" s="267"/>
      <c r="CC445" s="268"/>
      <c r="CD445" s="255">
        <f t="shared" si="76"/>
        <v>19</v>
      </c>
      <c r="CE445" s="256">
        <f t="shared" si="77"/>
        <v>413502</v>
      </c>
      <c r="CF445" s="257">
        <f t="shared" si="78"/>
        <v>18</v>
      </c>
      <c r="CG445" s="261">
        <f t="shared" si="79"/>
        <v>401926</v>
      </c>
    </row>
    <row r="446" spans="1:85" s="263" customFormat="1" ht="12.75" customHeight="1">
      <c r="A446" s="439" t="s">
        <v>264</v>
      </c>
      <c r="B446" s="392" t="s">
        <v>276</v>
      </c>
      <c r="C446" s="392"/>
      <c r="D446" s="387">
        <v>218654</v>
      </c>
      <c r="E446" s="388">
        <v>7</v>
      </c>
      <c r="F446" s="252">
        <v>48</v>
      </c>
      <c r="G446" s="253">
        <v>326403</v>
      </c>
      <c r="H446" s="267">
        <v>50</v>
      </c>
      <c r="I446" s="268">
        <v>357352</v>
      </c>
      <c r="J446" s="252">
        <v>48</v>
      </c>
      <c r="K446" s="253">
        <v>260399</v>
      </c>
      <c r="L446" s="267">
        <v>50</v>
      </c>
      <c r="M446" s="268">
        <v>271249</v>
      </c>
      <c r="N446" s="252"/>
      <c r="O446" s="253"/>
      <c r="P446" s="267"/>
      <c r="Q446" s="268"/>
      <c r="R446" s="252">
        <v>48</v>
      </c>
      <c r="S446" s="253">
        <v>158846</v>
      </c>
      <c r="T446" s="267">
        <v>50</v>
      </c>
      <c r="U446" s="268">
        <v>168614</v>
      </c>
      <c r="V446" s="252">
        <v>48</v>
      </c>
      <c r="W446" s="253">
        <v>3843</v>
      </c>
      <c r="X446" s="267">
        <v>50</v>
      </c>
      <c r="Y446" s="268">
        <v>4079</v>
      </c>
      <c r="Z446" s="252">
        <v>48</v>
      </c>
      <c r="AA446" s="253">
        <v>3843</v>
      </c>
      <c r="AB446" s="267">
        <v>50</v>
      </c>
      <c r="AC446" s="268">
        <v>4079</v>
      </c>
      <c r="AD446" s="252">
        <v>48</v>
      </c>
      <c r="AE446" s="253">
        <v>26901</v>
      </c>
      <c r="AF446" s="267">
        <v>50</v>
      </c>
      <c r="AG446" s="268">
        <v>29915</v>
      </c>
      <c r="AH446" s="252"/>
      <c r="AI446" s="253"/>
      <c r="AJ446" s="267"/>
      <c r="AK446" s="268"/>
      <c r="AL446" s="252"/>
      <c r="AM446" s="253"/>
      <c r="AN446" s="267"/>
      <c r="AO446" s="268"/>
      <c r="AP446" s="255">
        <f t="shared" si="72"/>
        <v>48</v>
      </c>
      <c r="AQ446" s="256">
        <f t="shared" si="73"/>
        <v>780235</v>
      </c>
      <c r="AR446" s="257">
        <f t="shared" si="74"/>
        <v>50</v>
      </c>
      <c r="AS446" s="258">
        <f t="shared" si="75"/>
        <v>835288</v>
      </c>
      <c r="AT446" s="259">
        <v>9</v>
      </c>
      <c r="AU446" s="253">
        <v>95257</v>
      </c>
      <c r="AV446" s="267">
        <v>9</v>
      </c>
      <c r="AW446" s="268">
        <v>97579</v>
      </c>
      <c r="AX446" s="252">
        <v>9</v>
      </c>
      <c r="AY446" s="253">
        <v>48825</v>
      </c>
      <c r="AZ446" s="267">
        <v>9</v>
      </c>
      <c r="BA446" s="268">
        <v>48825</v>
      </c>
      <c r="BB446" s="252"/>
      <c r="BC446" s="253"/>
      <c r="BD446" s="267"/>
      <c r="BE446" s="268"/>
      <c r="BF446" s="252">
        <v>9</v>
      </c>
      <c r="BG446" s="253">
        <v>46098</v>
      </c>
      <c r="BH446" s="267">
        <v>9</v>
      </c>
      <c r="BI446" s="268">
        <v>45783</v>
      </c>
      <c r="BJ446" s="252">
        <v>9</v>
      </c>
      <c r="BK446" s="253">
        <v>1122</v>
      </c>
      <c r="BL446" s="267">
        <v>9</v>
      </c>
      <c r="BM446" s="268">
        <v>1114</v>
      </c>
      <c r="BN446" s="252">
        <v>9</v>
      </c>
      <c r="BO446" s="253">
        <v>1122</v>
      </c>
      <c r="BP446" s="267">
        <v>9</v>
      </c>
      <c r="BQ446" s="268">
        <v>1114</v>
      </c>
      <c r="BR446" s="252">
        <v>9</v>
      </c>
      <c r="BS446" s="253">
        <v>7851</v>
      </c>
      <c r="BT446" s="267">
        <v>9</v>
      </c>
      <c r="BU446" s="268">
        <v>8169</v>
      </c>
      <c r="BV446" s="252"/>
      <c r="BW446" s="253"/>
      <c r="BX446" s="267"/>
      <c r="BY446" s="268"/>
      <c r="BZ446" s="252"/>
      <c r="CA446" s="253"/>
      <c r="CB446" s="267"/>
      <c r="CC446" s="268"/>
      <c r="CD446" s="255">
        <f t="shared" si="76"/>
        <v>9</v>
      </c>
      <c r="CE446" s="256">
        <f t="shared" si="77"/>
        <v>200275</v>
      </c>
      <c r="CF446" s="257">
        <f t="shared" si="78"/>
        <v>9</v>
      </c>
      <c r="CG446" s="261">
        <f t="shared" si="79"/>
        <v>202584</v>
      </c>
    </row>
    <row r="447" spans="1:85" s="263" customFormat="1" ht="12.75" customHeight="1">
      <c r="A447" s="439" t="s">
        <v>264</v>
      </c>
      <c r="B447" s="386" t="s">
        <v>277</v>
      </c>
      <c r="C447" s="386"/>
      <c r="D447" s="387">
        <v>218113</v>
      </c>
      <c r="E447" s="388">
        <v>8</v>
      </c>
      <c r="F447" s="252">
        <v>330</v>
      </c>
      <c r="G447" s="253">
        <v>1925135</v>
      </c>
      <c r="H447" s="267">
        <v>347</v>
      </c>
      <c r="I447" s="268">
        <v>2112692</v>
      </c>
      <c r="J447" s="252">
        <v>330</v>
      </c>
      <c r="K447" s="253">
        <v>1306800</v>
      </c>
      <c r="L447" s="267">
        <v>347</v>
      </c>
      <c r="M447" s="268">
        <v>1575647</v>
      </c>
      <c r="N447" s="252">
        <v>330</v>
      </c>
      <c r="O447" s="253">
        <v>9593</v>
      </c>
      <c r="P447" s="267">
        <v>347</v>
      </c>
      <c r="Q447" s="268">
        <v>10087</v>
      </c>
      <c r="R447" s="252">
        <v>330</v>
      </c>
      <c r="S447" s="253">
        <v>1142536</v>
      </c>
      <c r="T447" s="267">
        <v>347</v>
      </c>
      <c r="U447" s="268">
        <v>1216110</v>
      </c>
      <c r="V447" s="252">
        <v>330</v>
      </c>
      <c r="W447" s="253">
        <v>35844</v>
      </c>
      <c r="X447" s="267">
        <v>347</v>
      </c>
      <c r="Y447" s="268">
        <v>38152</v>
      </c>
      <c r="Z447" s="252">
        <v>330</v>
      </c>
      <c r="AA447" s="253">
        <v>966</v>
      </c>
      <c r="AB447" s="267">
        <v>347</v>
      </c>
      <c r="AC447" s="268">
        <v>1030</v>
      </c>
      <c r="AD447" s="252">
        <v>330</v>
      </c>
      <c r="AE447" s="253">
        <v>125455</v>
      </c>
      <c r="AF447" s="267">
        <v>347</v>
      </c>
      <c r="AG447" s="268">
        <v>133533</v>
      </c>
      <c r="AH447" s="252"/>
      <c r="AI447" s="253"/>
      <c r="AJ447" s="267"/>
      <c r="AK447" s="268"/>
      <c r="AL447" s="252"/>
      <c r="AM447" s="253"/>
      <c r="AN447" s="267"/>
      <c r="AO447" s="268"/>
      <c r="AP447" s="255">
        <f t="shared" si="72"/>
        <v>330</v>
      </c>
      <c r="AQ447" s="256">
        <f t="shared" si="73"/>
        <v>4546329</v>
      </c>
      <c r="AR447" s="257">
        <f t="shared" si="74"/>
        <v>347</v>
      </c>
      <c r="AS447" s="258">
        <f t="shared" si="75"/>
        <v>5087251</v>
      </c>
      <c r="AT447" s="259"/>
      <c r="AU447" s="253"/>
      <c r="AV447" s="267"/>
      <c r="AW447" s="268"/>
      <c r="AX447" s="252"/>
      <c r="AY447" s="253"/>
      <c r="AZ447" s="267"/>
      <c r="BA447" s="268"/>
      <c r="BB447" s="252"/>
      <c r="BC447" s="253"/>
      <c r="BD447" s="267"/>
      <c r="BE447" s="268"/>
      <c r="BF447" s="252"/>
      <c r="BG447" s="253"/>
      <c r="BH447" s="267"/>
      <c r="BI447" s="268"/>
      <c r="BJ447" s="252"/>
      <c r="BK447" s="253"/>
      <c r="BL447" s="267"/>
      <c r="BM447" s="268"/>
      <c r="BN447" s="252"/>
      <c r="BO447" s="253"/>
      <c r="BP447" s="267"/>
      <c r="BQ447" s="268"/>
      <c r="BR447" s="252"/>
      <c r="BS447" s="253"/>
      <c r="BT447" s="267"/>
      <c r="BU447" s="268"/>
      <c r="BV447" s="252"/>
      <c r="BW447" s="253"/>
      <c r="BX447" s="267"/>
      <c r="BY447" s="268"/>
      <c r="BZ447" s="252"/>
      <c r="CA447" s="253"/>
      <c r="CB447" s="267"/>
      <c r="CC447" s="268"/>
      <c r="CD447" s="255">
        <f t="shared" si="76"/>
        <v>0</v>
      </c>
      <c r="CE447" s="256">
        <f t="shared" si="77"/>
        <v>0</v>
      </c>
      <c r="CF447" s="257">
        <f t="shared" si="78"/>
        <v>0</v>
      </c>
      <c r="CG447" s="261">
        <f t="shared" si="79"/>
        <v>0</v>
      </c>
    </row>
    <row r="448" spans="1:85" s="263" customFormat="1" ht="12.75" customHeight="1">
      <c r="A448" s="439" t="s">
        <v>264</v>
      </c>
      <c r="B448" s="386" t="s">
        <v>278</v>
      </c>
      <c r="C448" s="386"/>
      <c r="D448" s="387">
        <v>218353</v>
      </c>
      <c r="E448" s="388">
        <v>8</v>
      </c>
      <c r="F448" s="252">
        <v>216</v>
      </c>
      <c r="G448" s="253">
        <v>1367972</v>
      </c>
      <c r="H448" s="267">
        <v>215</v>
      </c>
      <c r="I448" s="268">
        <v>1395905</v>
      </c>
      <c r="J448" s="252">
        <v>216</v>
      </c>
      <c r="K448" s="253">
        <v>1171843</v>
      </c>
      <c r="L448" s="267">
        <v>215</v>
      </c>
      <c r="M448" s="268">
        <v>1166418</v>
      </c>
      <c r="N448" s="252"/>
      <c r="O448" s="253"/>
      <c r="P448" s="267"/>
      <c r="Q448" s="268"/>
      <c r="R448" s="252">
        <v>216</v>
      </c>
      <c r="S448" s="253">
        <v>657985</v>
      </c>
      <c r="T448" s="267">
        <v>215</v>
      </c>
      <c r="U448" s="268">
        <v>803512</v>
      </c>
      <c r="V448" s="252">
        <v>216</v>
      </c>
      <c r="W448" s="253">
        <v>25470</v>
      </c>
      <c r="X448" s="267">
        <v>215</v>
      </c>
      <c r="Y448" s="268">
        <v>25208</v>
      </c>
      <c r="Z448" s="252">
        <v>216</v>
      </c>
      <c r="AA448" s="253">
        <v>17626</v>
      </c>
      <c r="AB448" s="267">
        <v>215</v>
      </c>
      <c r="AC448" s="268">
        <v>17544</v>
      </c>
      <c r="AD448" s="252">
        <v>216</v>
      </c>
      <c r="AE448" s="253">
        <v>58370</v>
      </c>
      <c r="AF448" s="267">
        <v>215</v>
      </c>
      <c r="AG448" s="268">
        <v>57769</v>
      </c>
      <c r="AH448" s="252"/>
      <c r="AI448" s="253"/>
      <c r="AJ448" s="267"/>
      <c r="AK448" s="268"/>
      <c r="AL448" s="252"/>
      <c r="AM448" s="253"/>
      <c r="AN448" s="267"/>
      <c r="AO448" s="268"/>
      <c r="AP448" s="255">
        <f t="shared" si="72"/>
        <v>216</v>
      </c>
      <c r="AQ448" s="256">
        <f t="shared" si="73"/>
        <v>3299266</v>
      </c>
      <c r="AR448" s="257">
        <f t="shared" si="74"/>
        <v>215</v>
      </c>
      <c r="AS448" s="258">
        <f t="shared" si="75"/>
        <v>3466356</v>
      </c>
      <c r="AT448" s="259"/>
      <c r="AU448" s="253"/>
      <c r="AV448" s="267"/>
      <c r="AW448" s="268"/>
      <c r="AX448" s="252"/>
      <c r="AY448" s="253"/>
      <c r="AZ448" s="267"/>
      <c r="BA448" s="268"/>
      <c r="BB448" s="252"/>
      <c r="BC448" s="253"/>
      <c r="BD448" s="267"/>
      <c r="BE448" s="268"/>
      <c r="BF448" s="252"/>
      <c r="BG448" s="253"/>
      <c r="BH448" s="267"/>
      <c r="BI448" s="268"/>
      <c r="BJ448" s="252"/>
      <c r="BK448" s="253"/>
      <c r="BL448" s="267"/>
      <c r="BM448" s="268"/>
      <c r="BN448" s="252"/>
      <c r="BO448" s="253"/>
      <c r="BP448" s="267"/>
      <c r="BQ448" s="268"/>
      <c r="BR448" s="252"/>
      <c r="BS448" s="253"/>
      <c r="BT448" s="267"/>
      <c r="BU448" s="268"/>
      <c r="BV448" s="252"/>
      <c r="BW448" s="253"/>
      <c r="BX448" s="267"/>
      <c r="BY448" s="268"/>
      <c r="BZ448" s="252"/>
      <c r="CA448" s="253"/>
      <c r="CB448" s="267"/>
      <c r="CC448" s="268"/>
      <c r="CD448" s="255">
        <f t="shared" si="76"/>
        <v>0</v>
      </c>
      <c r="CE448" s="256">
        <f t="shared" si="77"/>
        <v>0</v>
      </c>
      <c r="CF448" s="257">
        <f t="shared" si="78"/>
        <v>0</v>
      </c>
      <c r="CG448" s="261">
        <f t="shared" si="79"/>
        <v>0</v>
      </c>
    </row>
    <row r="449" spans="1:85" s="263" customFormat="1" ht="12.75" customHeight="1">
      <c r="A449" s="439" t="s">
        <v>264</v>
      </c>
      <c r="B449" s="386" t="s">
        <v>279</v>
      </c>
      <c r="C449" s="386"/>
      <c r="D449" s="387">
        <v>218894</v>
      </c>
      <c r="E449" s="388">
        <v>8</v>
      </c>
      <c r="F449" s="252">
        <v>299</v>
      </c>
      <c r="G449" s="253">
        <v>1817322</v>
      </c>
      <c r="H449" s="267">
        <v>304</v>
      </c>
      <c r="I449" s="268">
        <v>1908443</v>
      </c>
      <c r="J449" s="252">
        <v>255</v>
      </c>
      <c r="K449" s="253">
        <v>1170192</v>
      </c>
      <c r="L449" s="267">
        <v>302</v>
      </c>
      <c r="M449" s="268">
        <v>1273257</v>
      </c>
      <c r="N449" s="252"/>
      <c r="O449" s="253"/>
      <c r="P449" s="267"/>
      <c r="Q449" s="268"/>
      <c r="R449" s="252">
        <v>299</v>
      </c>
      <c r="S449" s="253">
        <v>1078551</v>
      </c>
      <c r="T449" s="267">
        <v>304</v>
      </c>
      <c r="U449" s="268">
        <v>1098539</v>
      </c>
      <c r="V449" s="252">
        <v>299</v>
      </c>
      <c r="W449" s="253">
        <v>33836</v>
      </c>
      <c r="X449" s="267">
        <v>304</v>
      </c>
      <c r="Y449" s="268">
        <v>34464</v>
      </c>
      <c r="Z449" s="252">
        <v>299</v>
      </c>
      <c r="AA449" s="253">
        <v>21148</v>
      </c>
      <c r="AB449" s="267">
        <v>304</v>
      </c>
      <c r="AC449" s="268">
        <v>21540</v>
      </c>
      <c r="AD449" s="252">
        <v>299</v>
      </c>
      <c r="AE449" s="253">
        <v>118429</v>
      </c>
      <c r="AF449" s="267">
        <v>304</v>
      </c>
      <c r="AG449" s="268">
        <v>120624</v>
      </c>
      <c r="AH449" s="252"/>
      <c r="AI449" s="253"/>
      <c r="AJ449" s="267"/>
      <c r="AK449" s="268"/>
      <c r="AL449" s="252"/>
      <c r="AM449" s="253"/>
      <c r="AN449" s="267"/>
      <c r="AO449" s="268"/>
      <c r="AP449" s="255">
        <f t="shared" si="72"/>
        <v>299</v>
      </c>
      <c r="AQ449" s="256">
        <f t="shared" si="73"/>
        <v>4239478</v>
      </c>
      <c r="AR449" s="257">
        <f t="shared" si="74"/>
        <v>304</v>
      </c>
      <c r="AS449" s="258">
        <f t="shared" si="75"/>
        <v>4456867</v>
      </c>
      <c r="AT449" s="259"/>
      <c r="AU449" s="253"/>
      <c r="AV449" s="267"/>
      <c r="AW449" s="268"/>
      <c r="AX449" s="252"/>
      <c r="AY449" s="253"/>
      <c r="AZ449" s="267"/>
      <c r="BA449" s="268"/>
      <c r="BB449" s="252"/>
      <c r="BC449" s="253"/>
      <c r="BD449" s="267"/>
      <c r="BE449" s="268"/>
      <c r="BF449" s="252"/>
      <c r="BG449" s="253"/>
      <c r="BH449" s="267"/>
      <c r="BI449" s="268"/>
      <c r="BJ449" s="252"/>
      <c r="BK449" s="253"/>
      <c r="BL449" s="267"/>
      <c r="BM449" s="268"/>
      <c r="BN449" s="252"/>
      <c r="BO449" s="253"/>
      <c r="BP449" s="267"/>
      <c r="BQ449" s="268"/>
      <c r="BR449" s="252"/>
      <c r="BS449" s="253"/>
      <c r="BT449" s="267"/>
      <c r="BU449" s="268"/>
      <c r="BV449" s="252"/>
      <c r="BW449" s="253"/>
      <c r="BX449" s="267"/>
      <c r="BY449" s="268"/>
      <c r="BZ449" s="252"/>
      <c r="CA449" s="253"/>
      <c r="CB449" s="267"/>
      <c r="CC449" s="268"/>
      <c r="CD449" s="255">
        <f t="shared" si="76"/>
        <v>0</v>
      </c>
      <c r="CE449" s="256">
        <f t="shared" si="77"/>
        <v>0</v>
      </c>
      <c r="CF449" s="257">
        <f t="shared" si="78"/>
        <v>0</v>
      </c>
      <c r="CG449" s="261">
        <f t="shared" si="79"/>
        <v>0</v>
      </c>
    </row>
    <row r="450" spans="1:85" s="263" customFormat="1" ht="12.75" customHeight="1">
      <c r="A450" s="439" t="s">
        <v>264</v>
      </c>
      <c r="B450" s="393" t="s">
        <v>280</v>
      </c>
      <c r="C450" s="393"/>
      <c r="D450" s="387">
        <v>217615</v>
      </c>
      <c r="E450" s="388">
        <v>9</v>
      </c>
      <c r="F450" s="252">
        <v>55</v>
      </c>
      <c r="G450" s="253">
        <v>338662</v>
      </c>
      <c r="H450" s="267">
        <v>55</v>
      </c>
      <c r="I450" s="268">
        <v>347825</v>
      </c>
      <c r="J450" s="252">
        <v>46</v>
      </c>
      <c r="K450" s="253">
        <v>162522</v>
      </c>
      <c r="L450" s="267">
        <v>48</v>
      </c>
      <c r="M450" s="268">
        <v>170571</v>
      </c>
      <c r="N450" s="252"/>
      <c r="O450" s="253"/>
      <c r="P450" s="267"/>
      <c r="Q450" s="268"/>
      <c r="R450" s="252">
        <v>55</v>
      </c>
      <c r="S450" s="253">
        <v>200990</v>
      </c>
      <c r="T450" s="267">
        <v>55</v>
      </c>
      <c r="U450" s="268">
        <v>200223</v>
      </c>
      <c r="V450" s="252">
        <v>55</v>
      </c>
      <c r="W450" s="253">
        <v>6306</v>
      </c>
      <c r="X450" s="267">
        <v>55</v>
      </c>
      <c r="Y450" s="268">
        <v>6282</v>
      </c>
      <c r="Z450" s="252">
        <v>44</v>
      </c>
      <c r="AA450" s="253">
        <v>157</v>
      </c>
      <c r="AB450" s="267">
        <v>47</v>
      </c>
      <c r="AC450" s="268">
        <v>167</v>
      </c>
      <c r="AD450" s="252">
        <v>55</v>
      </c>
      <c r="AE450" s="253">
        <v>28900</v>
      </c>
      <c r="AF450" s="267">
        <v>55</v>
      </c>
      <c r="AG450" s="268">
        <v>28790</v>
      </c>
      <c r="AH450" s="252"/>
      <c r="AI450" s="253"/>
      <c r="AJ450" s="267"/>
      <c r="AK450" s="268"/>
      <c r="AL450" s="252"/>
      <c r="AM450" s="253"/>
      <c r="AN450" s="267"/>
      <c r="AO450" s="268"/>
      <c r="AP450" s="255">
        <f t="shared" si="72"/>
        <v>55</v>
      </c>
      <c r="AQ450" s="256">
        <f t="shared" si="73"/>
        <v>737537</v>
      </c>
      <c r="AR450" s="257">
        <f t="shared" si="74"/>
        <v>55</v>
      </c>
      <c r="AS450" s="258">
        <f t="shared" si="75"/>
        <v>753858</v>
      </c>
      <c r="AT450" s="259"/>
      <c r="AU450" s="253"/>
      <c r="AV450" s="267"/>
      <c r="AW450" s="268"/>
      <c r="AX450" s="252"/>
      <c r="AY450" s="253"/>
      <c r="AZ450" s="267"/>
      <c r="BA450" s="268"/>
      <c r="BB450" s="252"/>
      <c r="BC450" s="253"/>
      <c r="BD450" s="267"/>
      <c r="BE450" s="268"/>
      <c r="BF450" s="252"/>
      <c r="BG450" s="253"/>
      <c r="BH450" s="267"/>
      <c r="BI450" s="268"/>
      <c r="BJ450" s="252"/>
      <c r="BK450" s="253"/>
      <c r="BL450" s="267"/>
      <c r="BM450" s="268"/>
      <c r="BN450" s="252"/>
      <c r="BO450" s="253"/>
      <c r="BP450" s="267"/>
      <c r="BQ450" s="268"/>
      <c r="BR450" s="252"/>
      <c r="BS450" s="253"/>
      <c r="BT450" s="267"/>
      <c r="BU450" s="268"/>
      <c r="BV450" s="252"/>
      <c r="BW450" s="253"/>
      <c r="BX450" s="267"/>
      <c r="BY450" s="268"/>
      <c r="BZ450" s="252"/>
      <c r="CA450" s="253"/>
      <c r="CB450" s="267"/>
      <c r="CC450" s="268"/>
      <c r="CD450" s="255">
        <f t="shared" si="76"/>
        <v>0</v>
      </c>
      <c r="CE450" s="256">
        <f t="shared" si="77"/>
        <v>0</v>
      </c>
      <c r="CF450" s="257">
        <f t="shared" si="78"/>
        <v>0</v>
      </c>
      <c r="CG450" s="261">
        <f t="shared" si="79"/>
        <v>0</v>
      </c>
    </row>
    <row r="451" spans="1:85" s="263" customFormat="1" ht="12.75" customHeight="1">
      <c r="A451" s="439" t="s">
        <v>264</v>
      </c>
      <c r="B451" s="386" t="s">
        <v>281</v>
      </c>
      <c r="C451" s="386"/>
      <c r="D451" s="387">
        <v>218858</v>
      </c>
      <c r="E451" s="388">
        <v>9</v>
      </c>
      <c r="F451" s="252">
        <v>88</v>
      </c>
      <c r="G451" s="253">
        <v>506870</v>
      </c>
      <c r="H451" s="267">
        <v>92</v>
      </c>
      <c r="I451" s="268">
        <v>547442</v>
      </c>
      <c r="J451" s="252">
        <v>88</v>
      </c>
      <c r="K451" s="253">
        <v>352007</v>
      </c>
      <c r="L451" s="267">
        <v>85</v>
      </c>
      <c r="M451" s="268">
        <v>362869</v>
      </c>
      <c r="N451" s="252">
        <v>73</v>
      </c>
      <c r="O451" s="253">
        <v>5659</v>
      </c>
      <c r="P451" s="267">
        <v>74</v>
      </c>
      <c r="Q451" s="268">
        <v>5736</v>
      </c>
      <c r="R451" s="252">
        <v>88</v>
      </c>
      <c r="S451" s="253">
        <v>243801</v>
      </c>
      <c r="T451" s="267">
        <v>92</v>
      </c>
      <c r="U451" s="268">
        <v>225390</v>
      </c>
      <c r="V451" s="252">
        <v>88</v>
      </c>
      <c r="W451" s="253">
        <v>9437</v>
      </c>
      <c r="X451" s="267">
        <v>92</v>
      </c>
      <c r="Y451" s="268">
        <v>9884</v>
      </c>
      <c r="Z451" s="252">
        <v>73</v>
      </c>
      <c r="AA451" s="253">
        <v>578</v>
      </c>
      <c r="AB451" s="267">
        <v>74</v>
      </c>
      <c r="AC451" s="268">
        <v>586</v>
      </c>
      <c r="AD451" s="252">
        <v>88</v>
      </c>
      <c r="AE451" s="253">
        <v>33031</v>
      </c>
      <c r="AF451" s="267">
        <v>92</v>
      </c>
      <c r="AG451" s="268">
        <v>34603</v>
      </c>
      <c r="AH451" s="252"/>
      <c r="AI451" s="253"/>
      <c r="AJ451" s="267"/>
      <c r="AK451" s="268"/>
      <c r="AL451" s="252"/>
      <c r="AM451" s="253"/>
      <c r="AN451" s="267"/>
      <c r="AO451" s="268"/>
      <c r="AP451" s="255">
        <f t="shared" si="72"/>
        <v>88</v>
      </c>
      <c r="AQ451" s="256">
        <f t="shared" si="73"/>
        <v>1151383</v>
      </c>
      <c r="AR451" s="257">
        <f t="shared" si="74"/>
        <v>92</v>
      </c>
      <c r="AS451" s="258">
        <f t="shared" si="75"/>
        <v>1186510</v>
      </c>
      <c r="AT451" s="259"/>
      <c r="AU451" s="253"/>
      <c r="AV451" s="267"/>
      <c r="AW451" s="268"/>
      <c r="AX451" s="252"/>
      <c r="AY451" s="253"/>
      <c r="AZ451" s="267"/>
      <c r="BA451" s="268"/>
      <c r="BB451" s="252"/>
      <c r="BC451" s="253"/>
      <c r="BD451" s="267"/>
      <c r="BE451" s="268"/>
      <c r="BF451" s="252"/>
      <c r="BG451" s="253"/>
      <c r="BH451" s="267"/>
      <c r="BI451" s="268"/>
      <c r="BJ451" s="252"/>
      <c r="BK451" s="253"/>
      <c r="BL451" s="267"/>
      <c r="BM451" s="268"/>
      <c r="BN451" s="252"/>
      <c r="BO451" s="253"/>
      <c r="BP451" s="267"/>
      <c r="BQ451" s="268"/>
      <c r="BR451" s="252"/>
      <c r="BS451" s="253"/>
      <c r="BT451" s="267"/>
      <c r="BU451" s="268"/>
      <c r="BV451" s="252"/>
      <c r="BW451" s="253"/>
      <c r="BX451" s="267"/>
      <c r="BY451" s="268"/>
      <c r="BZ451" s="252"/>
      <c r="CA451" s="253"/>
      <c r="CB451" s="267"/>
      <c r="CC451" s="268"/>
      <c r="CD451" s="255">
        <f t="shared" si="76"/>
        <v>0</v>
      </c>
      <c r="CE451" s="256">
        <f t="shared" si="77"/>
        <v>0</v>
      </c>
      <c r="CF451" s="257">
        <f t="shared" si="78"/>
        <v>0</v>
      </c>
      <c r="CG451" s="261">
        <f t="shared" si="79"/>
        <v>0</v>
      </c>
    </row>
    <row r="452" spans="1:85" s="263" customFormat="1" ht="12.75" customHeight="1">
      <c r="A452" s="439" t="s">
        <v>264</v>
      </c>
      <c r="B452" s="525" t="s">
        <v>282</v>
      </c>
      <c r="C452" s="526" t="s">
        <v>1264</v>
      </c>
      <c r="D452" s="387">
        <v>218025</v>
      </c>
      <c r="E452" s="388">
        <v>9</v>
      </c>
      <c r="F452" s="252">
        <v>99</v>
      </c>
      <c r="G452" s="253">
        <v>632248</v>
      </c>
      <c r="H452" s="267">
        <v>96</v>
      </c>
      <c r="I452" s="268">
        <v>612104</v>
      </c>
      <c r="J452" s="252">
        <v>99</v>
      </c>
      <c r="K452" s="253">
        <v>327698</v>
      </c>
      <c r="L452" s="267">
        <v>96</v>
      </c>
      <c r="M452" s="268">
        <v>317779</v>
      </c>
      <c r="N452" s="252"/>
      <c r="O452" s="253"/>
      <c r="P452" s="267"/>
      <c r="Q452" s="268"/>
      <c r="R452" s="252">
        <v>99</v>
      </c>
      <c r="S452" s="253">
        <v>375191</v>
      </c>
      <c r="T452" s="267">
        <v>96</v>
      </c>
      <c r="U452" s="268">
        <v>352340</v>
      </c>
      <c r="V452" s="252">
        <v>99</v>
      </c>
      <c r="W452" s="253">
        <v>11772</v>
      </c>
      <c r="X452" s="267">
        <v>96</v>
      </c>
      <c r="Y452" s="268">
        <v>11054</v>
      </c>
      <c r="Z452" s="252">
        <v>99</v>
      </c>
      <c r="AA452" s="253">
        <v>6808</v>
      </c>
      <c r="AB452" s="267">
        <v>96</v>
      </c>
      <c r="AC452" s="268">
        <v>6601</v>
      </c>
      <c r="AD452" s="252">
        <v>99</v>
      </c>
      <c r="AE452" s="253">
        <v>41202</v>
      </c>
      <c r="AF452" s="267">
        <v>96</v>
      </c>
      <c r="AG452" s="268">
        <v>38688</v>
      </c>
      <c r="AH452" s="252"/>
      <c r="AI452" s="253"/>
      <c r="AJ452" s="267"/>
      <c r="AK452" s="268"/>
      <c r="AL452" s="252"/>
      <c r="AM452" s="253"/>
      <c r="AN452" s="267"/>
      <c r="AO452" s="268"/>
      <c r="AP452" s="255">
        <f t="shared" si="72"/>
        <v>99</v>
      </c>
      <c r="AQ452" s="256">
        <f t="shared" si="73"/>
        <v>1394919</v>
      </c>
      <c r="AR452" s="257">
        <f t="shared" si="74"/>
        <v>96</v>
      </c>
      <c r="AS452" s="258">
        <f t="shared" si="75"/>
        <v>1338566</v>
      </c>
      <c r="AT452" s="259"/>
      <c r="AU452" s="253"/>
      <c r="AV452" s="267"/>
      <c r="AW452" s="268"/>
      <c r="AX452" s="252"/>
      <c r="AY452" s="253"/>
      <c r="AZ452" s="267"/>
      <c r="BA452" s="268"/>
      <c r="BB452" s="252"/>
      <c r="BC452" s="253"/>
      <c r="BD452" s="267"/>
      <c r="BE452" s="268"/>
      <c r="BF452" s="252"/>
      <c r="BG452" s="253"/>
      <c r="BH452" s="267"/>
      <c r="BI452" s="268"/>
      <c r="BJ452" s="252"/>
      <c r="BK452" s="253"/>
      <c r="BL452" s="267"/>
      <c r="BM452" s="268"/>
      <c r="BN452" s="252"/>
      <c r="BO452" s="253"/>
      <c r="BP452" s="267"/>
      <c r="BQ452" s="268"/>
      <c r="BR452" s="252"/>
      <c r="BS452" s="253"/>
      <c r="BT452" s="267"/>
      <c r="BU452" s="268"/>
      <c r="BV452" s="252"/>
      <c r="BW452" s="253"/>
      <c r="BX452" s="267"/>
      <c r="BY452" s="268"/>
      <c r="BZ452" s="252"/>
      <c r="CA452" s="253"/>
      <c r="CB452" s="267"/>
      <c r="CC452" s="268"/>
      <c r="CD452" s="255">
        <f t="shared" si="76"/>
        <v>0</v>
      </c>
      <c r="CE452" s="256">
        <f t="shared" si="77"/>
        <v>0</v>
      </c>
      <c r="CF452" s="257">
        <f t="shared" si="78"/>
        <v>0</v>
      </c>
      <c r="CG452" s="261">
        <f t="shared" si="79"/>
        <v>0</v>
      </c>
    </row>
    <row r="453" spans="1:85" s="263" customFormat="1" ht="12.75" customHeight="1">
      <c r="A453" s="439" t="s">
        <v>264</v>
      </c>
      <c r="B453" s="525" t="s">
        <v>283</v>
      </c>
      <c r="C453" s="526" t="s">
        <v>1265</v>
      </c>
      <c r="D453" s="387">
        <v>218140</v>
      </c>
      <c r="E453" s="388">
        <v>9</v>
      </c>
      <c r="F453" s="252">
        <v>134</v>
      </c>
      <c r="G453" s="253">
        <v>837469</v>
      </c>
      <c r="H453" s="267">
        <v>141</v>
      </c>
      <c r="I453" s="268">
        <v>903952</v>
      </c>
      <c r="J453" s="252">
        <v>134</v>
      </c>
      <c r="K453" s="253">
        <v>721252</v>
      </c>
      <c r="L453" s="267">
        <v>141</v>
      </c>
      <c r="M453" s="268">
        <v>758946</v>
      </c>
      <c r="N453" s="252">
        <v>134</v>
      </c>
      <c r="O453" s="253">
        <v>5194</v>
      </c>
      <c r="P453" s="267">
        <v>141</v>
      </c>
      <c r="Q453" s="268">
        <v>5465</v>
      </c>
      <c r="R453" s="252">
        <v>134</v>
      </c>
      <c r="S453" s="253">
        <v>502876</v>
      </c>
      <c r="T453" s="267">
        <v>141</v>
      </c>
      <c r="U453" s="268">
        <v>526274</v>
      </c>
      <c r="V453" s="252">
        <v>134</v>
      </c>
      <c r="W453" s="253">
        <v>17748</v>
      </c>
      <c r="X453" s="267">
        <v>141</v>
      </c>
      <c r="Y453" s="268">
        <v>18574</v>
      </c>
      <c r="Z453" s="252">
        <v>134</v>
      </c>
      <c r="AA453" s="253">
        <v>10391</v>
      </c>
      <c r="AB453" s="267">
        <v>141</v>
      </c>
      <c r="AC453" s="268">
        <v>10877</v>
      </c>
      <c r="AD453" s="252">
        <v>134</v>
      </c>
      <c r="AE453" s="253">
        <v>65735</v>
      </c>
      <c r="AF453" s="267">
        <v>141</v>
      </c>
      <c r="AG453" s="268">
        <v>68794</v>
      </c>
      <c r="AH453" s="252"/>
      <c r="AI453" s="253"/>
      <c r="AJ453" s="267"/>
      <c r="AK453" s="268"/>
      <c r="AL453" s="252"/>
      <c r="AM453" s="253"/>
      <c r="AN453" s="267"/>
      <c r="AO453" s="268"/>
      <c r="AP453" s="255">
        <f t="shared" si="72"/>
        <v>134</v>
      </c>
      <c r="AQ453" s="256">
        <f t="shared" si="73"/>
        <v>2160665</v>
      </c>
      <c r="AR453" s="257">
        <f t="shared" si="74"/>
        <v>141</v>
      </c>
      <c r="AS453" s="258">
        <f t="shared" si="75"/>
        <v>2292882</v>
      </c>
      <c r="AT453" s="259"/>
      <c r="AU453" s="253"/>
      <c r="AV453" s="267"/>
      <c r="AW453" s="268"/>
      <c r="AX453" s="252"/>
      <c r="AY453" s="253"/>
      <c r="AZ453" s="267"/>
      <c r="BA453" s="268"/>
      <c r="BB453" s="252"/>
      <c r="BC453" s="253"/>
      <c r="BD453" s="267"/>
      <c r="BE453" s="268"/>
      <c r="BF453" s="252"/>
      <c r="BG453" s="253"/>
      <c r="BH453" s="267"/>
      <c r="BI453" s="268"/>
      <c r="BJ453" s="252"/>
      <c r="BK453" s="253"/>
      <c r="BL453" s="267"/>
      <c r="BM453" s="268"/>
      <c r="BN453" s="252"/>
      <c r="BO453" s="253"/>
      <c r="BP453" s="267"/>
      <c r="BQ453" s="268"/>
      <c r="BR453" s="252"/>
      <c r="BS453" s="253"/>
      <c r="BT453" s="267"/>
      <c r="BU453" s="268"/>
      <c r="BV453" s="252"/>
      <c r="BW453" s="253"/>
      <c r="BX453" s="267"/>
      <c r="BY453" s="268"/>
      <c r="BZ453" s="252"/>
      <c r="CA453" s="253"/>
      <c r="CB453" s="267"/>
      <c r="CC453" s="268"/>
      <c r="CD453" s="255">
        <f t="shared" si="76"/>
        <v>0</v>
      </c>
      <c r="CE453" s="256">
        <f t="shared" si="77"/>
        <v>0</v>
      </c>
      <c r="CF453" s="257">
        <f t="shared" si="78"/>
        <v>0</v>
      </c>
      <c r="CG453" s="261">
        <f t="shared" si="79"/>
        <v>0</v>
      </c>
    </row>
    <row r="454" spans="1:85" s="263" customFormat="1" ht="12.75" customHeight="1">
      <c r="A454" s="439" t="s">
        <v>264</v>
      </c>
      <c r="B454" s="386" t="s">
        <v>284</v>
      </c>
      <c r="C454" s="386"/>
      <c r="D454" s="387">
        <v>218487</v>
      </c>
      <c r="E454" s="388">
        <v>9</v>
      </c>
      <c r="F454" s="252">
        <v>75</v>
      </c>
      <c r="G454" s="253">
        <v>421787</v>
      </c>
      <c r="H454" s="267">
        <v>75</v>
      </c>
      <c r="I454" s="268">
        <v>429157</v>
      </c>
      <c r="J454" s="252">
        <v>72</v>
      </c>
      <c r="K454" s="253">
        <v>289929</v>
      </c>
      <c r="L454" s="267">
        <v>70</v>
      </c>
      <c r="M454" s="268">
        <v>287209</v>
      </c>
      <c r="N454" s="252">
        <v>62</v>
      </c>
      <c r="O454" s="253">
        <v>2403</v>
      </c>
      <c r="P454" s="267">
        <v>61</v>
      </c>
      <c r="Q454" s="268">
        <v>2364</v>
      </c>
      <c r="R454" s="252">
        <v>75</v>
      </c>
      <c r="S454" s="253">
        <v>250323</v>
      </c>
      <c r="T454" s="267">
        <v>75</v>
      </c>
      <c r="U454" s="268">
        <v>247032</v>
      </c>
      <c r="V454" s="252">
        <v>75</v>
      </c>
      <c r="W454" s="253">
        <v>7296</v>
      </c>
      <c r="X454" s="267">
        <v>75</v>
      </c>
      <c r="Y454" s="268">
        <v>7362</v>
      </c>
      <c r="Z454" s="252">
        <v>62</v>
      </c>
      <c r="AA454" s="253">
        <v>246</v>
      </c>
      <c r="AB454" s="267">
        <v>61</v>
      </c>
      <c r="AC454" s="268">
        <v>241</v>
      </c>
      <c r="AD454" s="252">
        <v>75</v>
      </c>
      <c r="AE454" s="253">
        <v>26832</v>
      </c>
      <c r="AF454" s="267">
        <v>75</v>
      </c>
      <c r="AG454" s="268">
        <v>26479</v>
      </c>
      <c r="AH454" s="252"/>
      <c r="AI454" s="253"/>
      <c r="AJ454" s="267"/>
      <c r="AK454" s="268"/>
      <c r="AL454" s="252"/>
      <c r="AM454" s="253"/>
      <c r="AN454" s="267"/>
      <c r="AO454" s="268"/>
      <c r="AP454" s="255">
        <f t="shared" si="72"/>
        <v>75</v>
      </c>
      <c r="AQ454" s="256">
        <f t="shared" si="73"/>
        <v>998816</v>
      </c>
      <c r="AR454" s="257">
        <f t="shared" si="74"/>
        <v>75</v>
      </c>
      <c r="AS454" s="258">
        <f t="shared" si="75"/>
        <v>999844</v>
      </c>
      <c r="AT454" s="259"/>
      <c r="AU454" s="253"/>
      <c r="AV454" s="267"/>
      <c r="AW454" s="268"/>
      <c r="AX454" s="252"/>
      <c r="AY454" s="253"/>
      <c r="AZ454" s="267"/>
      <c r="BA454" s="268"/>
      <c r="BB454" s="252"/>
      <c r="BC454" s="253"/>
      <c r="BD454" s="267"/>
      <c r="BE454" s="268"/>
      <c r="BF454" s="252"/>
      <c r="BG454" s="253"/>
      <c r="BH454" s="267"/>
      <c r="BI454" s="268"/>
      <c r="BJ454" s="252"/>
      <c r="BK454" s="253"/>
      <c r="BL454" s="267"/>
      <c r="BM454" s="268"/>
      <c r="BN454" s="252"/>
      <c r="BO454" s="253"/>
      <c r="BP454" s="267"/>
      <c r="BQ454" s="268"/>
      <c r="BR454" s="252"/>
      <c r="BS454" s="253"/>
      <c r="BT454" s="267"/>
      <c r="BU454" s="268"/>
      <c r="BV454" s="252"/>
      <c r="BW454" s="253"/>
      <c r="BX454" s="267"/>
      <c r="BY454" s="268"/>
      <c r="BZ454" s="252"/>
      <c r="CA454" s="253"/>
      <c r="CB454" s="267"/>
      <c r="CC454" s="268"/>
      <c r="CD454" s="255">
        <f t="shared" si="76"/>
        <v>0</v>
      </c>
      <c r="CE454" s="256">
        <f t="shared" si="77"/>
        <v>0</v>
      </c>
      <c r="CF454" s="257">
        <f t="shared" si="78"/>
        <v>0</v>
      </c>
      <c r="CG454" s="261">
        <f t="shared" si="79"/>
        <v>0</v>
      </c>
    </row>
    <row r="455" spans="1:85" s="263" customFormat="1" ht="12.75" customHeight="1">
      <c r="A455" s="439" t="s">
        <v>264</v>
      </c>
      <c r="B455" s="525" t="s">
        <v>285</v>
      </c>
      <c r="C455" s="526" t="s">
        <v>1264</v>
      </c>
      <c r="D455" s="387">
        <v>218520</v>
      </c>
      <c r="E455" s="388">
        <v>9</v>
      </c>
      <c r="F455" s="252">
        <v>119</v>
      </c>
      <c r="G455" s="253">
        <v>660062</v>
      </c>
      <c r="H455" s="267">
        <v>121</v>
      </c>
      <c r="I455" s="268">
        <v>701924</v>
      </c>
      <c r="J455" s="252">
        <v>116</v>
      </c>
      <c r="K455" s="253">
        <v>389544</v>
      </c>
      <c r="L455" s="267">
        <v>118</v>
      </c>
      <c r="M455" s="268">
        <v>406144</v>
      </c>
      <c r="N455" s="252">
        <v>113</v>
      </c>
      <c r="O455" s="253">
        <v>3285</v>
      </c>
      <c r="P455" s="267">
        <v>115</v>
      </c>
      <c r="Q455" s="268">
        <v>3343</v>
      </c>
      <c r="R455" s="252">
        <v>119</v>
      </c>
      <c r="S455" s="253">
        <v>391736</v>
      </c>
      <c r="T455" s="267">
        <v>121</v>
      </c>
      <c r="U455" s="268">
        <v>404042</v>
      </c>
      <c r="V455" s="252">
        <v>119</v>
      </c>
      <c r="W455" s="253">
        <v>14338</v>
      </c>
      <c r="X455" s="267">
        <v>121</v>
      </c>
      <c r="Y455" s="268">
        <v>12042</v>
      </c>
      <c r="Z455" s="252">
        <v>113</v>
      </c>
      <c r="AA455" s="253">
        <v>336</v>
      </c>
      <c r="AB455" s="267">
        <v>115</v>
      </c>
      <c r="AC455" s="268">
        <v>342</v>
      </c>
      <c r="AD455" s="252">
        <v>119</v>
      </c>
      <c r="AE455" s="253">
        <v>41990</v>
      </c>
      <c r="AF455" s="267">
        <v>121</v>
      </c>
      <c r="AG455" s="268">
        <v>43309</v>
      </c>
      <c r="AH455" s="252"/>
      <c r="AI455" s="253"/>
      <c r="AJ455" s="267"/>
      <c r="AK455" s="268"/>
      <c r="AL455" s="252"/>
      <c r="AM455" s="253"/>
      <c r="AN455" s="267"/>
      <c r="AO455" s="268"/>
      <c r="AP455" s="255">
        <f t="shared" si="72"/>
        <v>119</v>
      </c>
      <c r="AQ455" s="256">
        <f t="shared" si="73"/>
        <v>1501291</v>
      </c>
      <c r="AR455" s="257">
        <f t="shared" si="74"/>
        <v>121</v>
      </c>
      <c r="AS455" s="258">
        <f t="shared" si="75"/>
        <v>1571146</v>
      </c>
      <c r="AT455" s="259"/>
      <c r="AU455" s="253"/>
      <c r="AV455" s="267"/>
      <c r="AW455" s="268"/>
      <c r="AX455" s="252"/>
      <c r="AY455" s="253"/>
      <c r="AZ455" s="267"/>
      <c r="BA455" s="268"/>
      <c r="BB455" s="252"/>
      <c r="BC455" s="253"/>
      <c r="BD455" s="267"/>
      <c r="BE455" s="268"/>
      <c r="BF455" s="252"/>
      <c r="BG455" s="253"/>
      <c r="BH455" s="267"/>
      <c r="BI455" s="268"/>
      <c r="BJ455" s="252"/>
      <c r="BK455" s="253"/>
      <c r="BL455" s="267"/>
      <c r="BM455" s="268"/>
      <c r="BN455" s="252"/>
      <c r="BO455" s="253"/>
      <c r="BP455" s="267"/>
      <c r="BQ455" s="268"/>
      <c r="BR455" s="252"/>
      <c r="BS455" s="253"/>
      <c r="BT455" s="267"/>
      <c r="BU455" s="268"/>
      <c r="BV455" s="252"/>
      <c r="BW455" s="253"/>
      <c r="BX455" s="267"/>
      <c r="BY455" s="268"/>
      <c r="BZ455" s="252"/>
      <c r="CA455" s="253"/>
      <c r="CB455" s="267"/>
      <c r="CC455" s="268"/>
      <c r="CD455" s="255">
        <f t="shared" si="76"/>
        <v>0</v>
      </c>
      <c r="CE455" s="256">
        <f t="shared" si="77"/>
        <v>0</v>
      </c>
      <c r="CF455" s="257">
        <f t="shared" si="78"/>
        <v>0</v>
      </c>
      <c r="CG455" s="261">
        <f t="shared" si="79"/>
        <v>0</v>
      </c>
    </row>
    <row r="456" spans="1:85" s="263" customFormat="1" ht="12.75" customHeight="1">
      <c r="A456" s="439" t="s">
        <v>264</v>
      </c>
      <c r="B456" s="525" t="s">
        <v>1043</v>
      </c>
      <c r="C456" s="526" t="s">
        <v>1264</v>
      </c>
      <c r="D456" s="387">
        <v>218830</v>
      </c>
      <c r="E456" s="388">
        <v>9</v>
      </c>
      <c r="F456" s="252">
        <v>111</v>
      </c>
      <c r="G456" s="253">
        <v>467855</v>
      </c>
      <c r="H456" s="267">
        <v>119</v>
      </c>
      <c r="I456" s="268">
        <v>493378</v>
      </c>
      <c r="J456" s="252">
        <v>111</v>
      </c>
      <c r="K456" s="253">
        <v>451648</v>
      </c>
      <c r="L456" s="267">
        <v>119</v>
      </c>
      <c r="M456" s="268">
        <v>480386</v>
      </c>
      <c r="N456" s="252">
        <v>111</v>
      </c>
      <c r="O456" s="253">
        <v>3227</v>
      </c>
      <c r="P456" s="267">
        <v>119</v>
      </c>
      <c r="Q456" s="268">
        <v>3459</v>
      </c>
      <c r="R456" s="252">
        <v>111</v>
      </c>
      <c r="S456" s="253">
        <v>387348</v>
      </c>
      <c r="T456" s="267">
        <v>119</v>
      </c>
      <c r="U456" s="268">
        <v>408478</v>
      </c>
      <c r="V456" s="252">
        <v>111</v>
      </c>
      <c r="W456" s="253">
        <v>11544</v>
      </c>
      <c r="X456" s="267">
        <v>119</v>
      </c>
      <c r="Y456" s="268">
        <v>12174</v>
      </c>
      <c r="Z456" s="252">
        <v>111</v>
      </c>
      <c r="AA456" s="253">
        <v>330</v>
      </c>
      <c r="AB456" s="267">
        <v>119</v>
      </c>
      <c r="AC456" s="268">
        <v>353</v>
      </c>
      <c r="AD456" s="252">
        <v>111</v>
      </c>
      <c r="AE456" s="253">
        <v>90128</v>
      </c>
      <c r="AF456" s="267">
        <v>119</v>
      </c>
      <c r="AG456" s="268">
        <v>126548</v>
      </c>
      <c r="AH456" s="252"/>
      <c r="AI456" s="253"/>
      <c r="AJ456" s="267"/>
      <c r="AK456" s="268"/>
      <c r="AL456" s="252"/>
      <c r="AM456" s="253"/>
      <c r="AN456" s="267"/>
      <c r="AO456" s="268"/>
      <c r="AP456" s="255">
        <f t="shared" si="72"/>
        <v>111</v>
      </c>
      <c r="AQ456" s="256">
        <f t="shared" si="73"/>
        <v>1412080</v>
      </c>
      <c r="AR456" s="257">
        <f t="shared" si="74"/>
        <v>119</v>
      </c>
      <c r="AS456" s="258">
        <f t="shared" si="75"/>
        <v>1524776</v>
      </c>
      <c r="AT456" s="259"/>
      <c r="AU456" s="253"/>
      <c r="AV456" s="267"/>
      <c r="AW456" s="268"/>
      <c r="AX456" s="252"/>
      <c r="AY456" s="253"/>
      <c r="AZ456" s="267"/>
      <c r="BA456" s="268"/>
      <c r="BB456" s="252"/>
      <c r="BC456" s="253"/>
      <c r="BD456" s="267"/>
      <c r="BE456" s="268"/>
      <c r="BF456" s="252"/>
      <c r="BG456" s="253"/>
      <c r="BH456" s="267"/>
      <c r="BI456" s="268"/>
      <c r="BJ456" s="252"/>
      <c r="BK456" s="253"/>
      <c r="BL456" s="267"/>
      <c r="BM456" s="268"/>
      <c r="BN456" s="252"/>
      <c r="BO456" s="253"/>
      <c r="BP456" s="267"/>
      <c r="BQ456" s="268"/>
      <c r="BR456" s="252"/>
      <c r="BS456" s="253"/>
      <c r="BT456" s="267"/>
      <c r="BU456" s="268"/>
      <c r="BV456" s="252"/>
      <c r="BW456" s="253"/>
      <c r="BX456" s="267"/>
      <c r="BY456" s="268"/>
      <c r="BZ456" s="252"/>
      <c r="CA456" s="253"/>
      <c r="CB456" s="267"/>
      <c r="CC456" s="268"/>
      <c r="CD456" s="255">
        <f t="shared" si="76"/>
        <v>0</v>
      </c>
      <c r="CE456" s="256">
        <f t="shared" si="77"/>
        <v>0</v>
      </c>
      <c r="CF456" s="257">
        <f t="shared" si="78"/>
        <v>0</v>
      </c>
      <c r="CG456" s="261">
        <f t="shared" si="79"/>
        <v>0</v>
      </c>
    </row>
    <row r="457" spans="1:85" s="263" customFormat="1" ht="12.75" customHeight="1">
      <c r="A457" s="439" t="s">
        <v>264</v>
      </c>
      <c r="B457" s="525" t="s">
        <v>286</v>
      </c>
      <c r="C457" s="526" t="s">
        <v>1265</v>
      </c>
      <c r="D457" s="387">
        <v>218885</v>
      </c>
      <c r="E457" s="388">
        <v>9</v>
      </c>
      <c r="F457" s="252">
        <v>122</v>
      </c>
      <c r="G457" s="253">
        <v>693070</v>
      </c>
      <c r="H457" s="267">
        <v>130</v>
      </c>
      <c r="I457" s="268">
        <v>706291</v>
      </c>
      <c r="J457" s="252">
        <v>119</v>
      </c>
      <c r="K457" s="253">
        <v>555672</v>
      </c>
      <c r="L457" s="267">
        <v>119</v>
      </c>
      <c r="M457" s="268">
        <v>556472</v>
      </c>
      <c r="N457" s="252"/>
      <c r="O457" s="253"/>
      <c r="P457" s="267"/>
      <c r="Q457" s="268"/>
      <c r="R457" s="252">
        <v>122</v>
      </c>
      <c r="S457" s="253">
        <v>409000</v>
      </c>
      <c r="T457" s="267">
        <v>130</v>
      </c>
      <c r="U457" s="268">
        <v>431063</v>
      </c>
      <c r="V457" s="252">
        <v>122</v>
      </c>
      <c r="W457" s="253">
        <v>44410</v>
      </c>
      <c r="X457" s="267">
        <v>130</v>
      </c>
      <c r="Y457" s="268">
        <v>47332</v>
      </c>
      <c r="Z457" s="252">
        <v>119</v>
      </c>
      <c r="AA457" s="253">
        <v>386</v>
      </c>
      <c r="AB457" s="267">
        <v>119</v>
      </c>
      <c r="AC457" s="268">
        <v>423</v>
      </c>
      <c r="AD457" s="252">
        <v>122</v>
      </c>
      <c r="AE457" s="253">
        <v>12831</v>
      </c>
      <c r="AF457" s="267">
        <v>130</v>
      </c>
      <c r="AG457" s="268">
        <v>13523</v>
      </c>
      <c r="AH457" s="252"/>
      <c r="AI457" s="253"/>
      <c r="AJ457" s="267"/>
      <c r="AK457" s="268"/>
      <c r="AL457" s="252"/>
      <c r="AM457" s="253"/>
      <c r="AN457" s="267"/>
      <c r="AO457" s="268"/>
      <c r="AP457" s="255">
        <f t="shared" si="72"/>
        <v>122</v>
      </c>
      <c r="AQ457" s="256">
        <f t="shared" si="73"/>
        <v>1715369</v>
      </c>
      <c r="AR457" s="257">
        <f t="shared" si="74"/>
        <v>130</v>
      </c>
      <c r="AS457" s="258">
        <f t="shared" si="75"/>
        <v>1755104</v>
      </c>
      <c r="AT457" s="259"/>
      <c r="AU457" s="253"/>
      <c r="AV457" s="267"/>
      <c r="AW457" s="268"/>
      <c r="AX457" s="252"/>
      <c r="AY457" s="253"/>
      <c r="AZ457" s="267"/>
      <c r="BA457" s="268"/>
      <c r="BB457" s="252"/>
      <c r="BC457" s="253"/>
      <c r="BD457" s="267"/>
      <c r="BE457" s="268"/>
      <c r="BF457" s="252"/>
      <c r="BG457" s="253"/>
      <c r="BH457" s="267"/>
      <c r="BI457" s="268"/>
      <c r="BJ457" s="252"/>
      <c r="BK457" s="253"/>
      <c r="BL457" s="267"/>
      <c r="BM457" s="268"/>
      <c r="BN457" s="252"/>
      <c r="BO457" s="253"/>
      <c r="BP457" s="267"/>
      <c r="BQ457" s="268"/>
      <c r="BR457" s="252"/>
      <c r="BS457" s="253"/>
      <c r="BT457" s="267"/>
      <c r="BU457" s="268"/>
      <c r="BV457" s="252"/>
      <c r="BW457" s="253"/>
      <c r="BX457" s="267"/>
      <c r="BY457" s="268"/>
      <c r="BZ457" s="252"/>
      <c r="CA457" s="253"/>
      <c r="CB457" s="267"/>
      <c r="CC457" s="268"/>
      <c r="CD457" s="255">
        <f t="shared" si="76"/>
        <v>0</v>
      </c>
      <c r="CE457" s="256">
        <f t="shared" si="77"/>
        <v>0</v>
      </c>
      <c r="CF457" s="257">
        <f t="shared" si="78"/>
        <v>0</v>
      </c>
      <c r="CG457" s="261">
        <f t="shared" si="79"/>
        <v>0</v>
      </c>
    </row>
    <row r="458" spans="1:85" s="263" customFormat="1" ht="12.75" customHeight="1">
      <c r="A458" s="439" t="s">
        <v>264</v>
      </c>
      <c r="B458" s="525" t="s">
        <v>287</v>
      </c>
      <c r="C458" s="526" t="s">
        <v>1264</v>
      </c>
      <c r="D458" s="387">
        <v>218991</v>
      </c>
      <c r="E458" s="388">
        <v>9</v>
      </c>
      <c r="F458" s="252">
        <v>124</v>
      </c>
      <c r="G458" s="253">
        <v>552624</v>
      </c>
      <c r="H458" s="267">
        <v>122</v>
      </c>
      <c r="I458" s="268">
        <v>674246</v>
      </c>
      <c r="J458" s="252">
        <v>108</v>
      </c>
      <c r="K458" s="253">
        <v>239199</v>
      </c>
      <c r="L458" s="267">
        <v>122</v>
      </c>
      <c r="M458" s="268">
        <v>443574</v>
      </c>
      <c r="N458" s="252"/>
      <c r="O458" s="253"/>
      <c r="P458" s="267">
        <v>109</v>
      </c>
      <c r="Q458" s="268">
        <v>3159</v>
      </c>
      <c r="R458" s="252">
        <v>124</v>
      </c>
      <c r="S458" s="253">
        <v>543862</v>
      </c>
      <c r="T458" s="267">
        <v>122</v>
      </c>
      <c r="U458" s="268">
        <v>442773</v>
      </c>
      <c r="V458" s="252">
        <v>124</v>
      </c>
      <c r="W458" s="253">
        <v>11953</v>
      </c>
      <c r="X458" s="267">
        <v>122</v>
      </c>
      <c r="Y458" s="268">
        <v>13196</v>
      </c>
      <c r="Z458" s="252">
        <v>124</v>
      </c>
      <c r="AA458" s="253">
        <v>368</v>
      </c>
      <c r="AB458" s="267">
        <v>122</v>
      </c>
      <c r="AC458" s="268">
        <v>373</v>
      </c>
      <c r="AD458" s="252">
        <v>124</v>
      </c>
      <c r="AE458" s="253">
        <v>49007</v>
      </c>
      <c r="AF458" s="267">
        <v>122</v>
      </c>
      <c r="AG458" s="268">
        <v>47460</v>
      </c>
      <c r="AH458" s="252"/>
      <c r="AI458" s="253"/>
      <c r="AJ458" s="267"/>
      <c r="AK458" s="268"/>
      <c r="AL458" s="252"/>
      <c r="AM458" s="253"/>
      <c r="AN458" s="267"/>
      <c r="AO458" s="268"/>
      <c r="AP458" s="255">
        <f t="shared" si="72"/>
        <v>124</v>
      </c>
      <c r="AQ458" s="256">
        <f t="shared" si="73"/>
        <v>1397013</v>
      </c>
      <c r="AR458" s="257">
        <f t="shared" si="74"/>
        <v>122</v>
      </c>
      <c r="AS458" s="258">
        <f t="shared" si="75"/>
        <v>1624781</v>
      </c>
      <c r="AT458" s="259"/>
      <c r="AU458" s="253"/>
      <c r="AV458" s="267"/>
      <c r="AW458" s="268"/>
      <c r="AX458" s="252"/>
      <c r="AY458" s="253"/>
      <c r="AZ458" s="267"/>
      <c r="BA458" s="268"/>
      <c r="BB458" s="252"/>
      <c r="BC458" s="253"/>
      <c r="BD458" s="267"/>
      <c r="BE458" s="268"/>
      <c r="BF458" s="252"/>
      <c r="BG458" s="253"/>
      <c r="BH458" s="267"/>
      <c r="BI458" s="268"/>
      <c r="BJ458" s="252"/>
      <c r="BK458" s="253"/>
      <c r="BL458" s="267"/>
      <c r="BM458" s="268"/>
      <c r="BN458" s="252"/>
      <c r="BO458" s="253"/>
      <c r="BP458" s="267"/>
      <c r="BQ458" s="268"/>
      <c r="BR458" s="252"/>
      <c r="BS458" s="253"/>
      <c r="BT458" s="267"/>
      <c r="BU458" s="268"/>
      <c r="BV458" s="252"/>
      <c r="BW458" s="253"/>
      <c r="BX458" s="267"/>
      <c r="BY458" s="268"/>
      <c r="BZ458" s="252"/>
      <c r="CA458" s="253"/>
      <c r="CB458" s="267"/>
      <c r="CC458" s="268"/>
      <c r="CD458" s="255">
        <f t="shared" si="76"/>
        <v>0</v>
      </c>
      <c r="CE458" s="256">
        <f t="shared" si="77"/>
        <v>0</v>
      </c>
      <c r="CF458" s="257">
        <f t="shared" si="78"/>
        <v>0</v>
      </c>
      <c r="CG458" s="261">
        <f t="shared" si="79"/>
        <v>0</v>
      </c>
    </row>
    <row r="459" spans="1:85" s="263" customFormat="1" ht="12.75" customHeight="1">
      <c r="A459" s="439" t="s">
        <v>264</v>
      </c>
      <c r="B459" s="386" t="s">
        <v>288</v>
      </c>
      <c r="C459" s="386"/>
      <c r="D459" s="387">
        <v>217989</v>
      </c>
      <c r="E459" s="388">
        <v>10</v>
      </c>
      <c r="F459" s="252">
        <v>33</v>
      </c>
      <c r="G459" s="253">
        <v>169283</v>
      </c>
      <c r="H459" s="267">
        <v>35</v>
      </c>
      <c r="I459" s="268">
        <v>181688</v>
      </c>
      <c r="J459" s="252">
        <v>31</v>
      </c>
      <c r="K459" s="253">
        <v>109445</v>
      </c>
      <c r="L459" s="267">
        <v>35</v>
      </c>
      <c r="M459" s="268">
        <v>129450</v>
      </c>
      <c r="N459" s="252"/>
      <c r="O459" s="253"/>
      <c r="P459" s="267"/>
      <c r="Q459" s="268"/>
      <c r="R459" s="252">
        <v>33</v>
      </c>
      <c r="S459" s="253">
        <v>100096</v>
      </c>
      <c r="T459" s="267">
        <v>35</v>
      </c>
      <c r="U459" s="268">
        <v>104583</v>
      </c>
      <c r="V459" s="252">
        <v>5</v>
      </c>
      <c r="W459" s="253">
        <v>486</v>
      </c>
      <c r="X459" s="267">
        <v>5</v>
      </c>
      <c r="Y459" s="268">
        <v>486</v>
      </c>
      <c r="Z459" s="252">
        <v>33</v>
      </c>
      <c r="AA459" s="253">
        <v>1962</v>
      </c>
      <c r="AB459" s="267">
        <v>35</v>
      </c>
      <c r="AC459" s="268">
        <v>2050</v>
      </c>
      <c r="AD459" s="252">
        <v>5</v>
      </c>
      <c r="AE459" s="253">
        <v>1702</v>
      </c>
      <c r="AF459" s="267">
        <v>5</v>
      </c>
      <c r="AG459" s="268">
        <v>1702</v>
      </c>
      <c r="AH459" s="252"/>
      <c r="AI459" s="253"/>
      <c r="AJ459" s="267"/>
      <c r="AK459" s="268"/>
      <c r="AL459" s="252"/>
      <c r="AM459" s="253"/>
      <c r="AN459" s="267"/>
      <c r="AO459" s="268"/>
      <c r="AP459" s="255">
        <f t="shared" si="72"/>
        <v>33</v>
      </c>
      <c r="AQ459" s="256">
        <f t="shared" si="73"/>
        <v>382974</v>
      </c>
      <c r="AR459" s="257">
        <f t="shared" si="74"/>
        <v>35</v>
      </c>
      <c r="AS459" s="258">
        <f t="shared" si="75"/>
        <v>419959</v>
      </c>
      <c r="AT459" s="259"/>
      <c r="AU459" s="253"/>
      <c r="AV459" s="267"/>
      <c r="AW459" s="268"/>
      <c r="AX459" s="252"/>
      <c r="AY459" s="253"/>
      <c r="AZ459" s="267"/>
      <c r="BA459" s="268"/>
      <c r="BB459" s="252"/>
      <c r="BC459" s="253"/>
      <c r="BD459" s="267"/>
      <c r="BE459" s="268"/>
      <c r="BF459" s="252"/>
      <c r="BG459" s="253"/>
      <c r="BH459" s="267"/>
      <c r="BI459" s="268"/>
      <c r="BJ459" s="252"/>
      <c r="BK459" s="253"/>
      <c r="BL459" s="267"/>
      <c r="BM459" s="268"/>
      <c r="BN459" s="252"/>
      <c r="BO459" s="253"/>
      <c r="BP459" s="267"/>
      <c r="BQ459" s="268"/>
      <c r="BR459" s="252"/>
      <c r="BS459" s="253"/>
      <c r="BT459" s="267"/>
      <c r="BU459" s="268"/>
      <c r="BV459" s="252"/>
      <c r="BW459" s="253"/>
      <c r="BX459" s="267"/>
      <c r="BY459" s="268"/>
      <c r="BZ459" s="252"/>
      <c r="CA459" s="253"/>
      <c r="CB459" s="267"/>
      <c r="CC459" s="268"/>
      <c r="CD459" s="255">
        <f t="shared" si="76"/>
        <v>0</v>
      </c>
      <c r="CE459" s="256">
        <f t="shared" si="77"/>
        <v>0</v>
      </c>
      <c r="CF459" s="257">
        <f t="shared" si="78"/>
        <v>0</v>
      </c>
      <c r="CG459" s="261">
        <f t="shared" si="79"/>
        <v>0</v>
      </c>
    </row>
    <row r="460" spans="1:85" s="263" customFormat="1" ht="12.75" customHeight="1">
      <c r="A460" s="439" t="s">
        <v>264</v>
      </c>
      <c r="B460" s="386" t="s">
        <v>289</v>
      </c>
      <c r="C460" s="386"/>
      <c r="D460" s="387">
        <v>217837</v>
      </c>
      <c r="E460" s="388">
        <v>10</v>
      </c>
      <c r="F460" s="252">
        <v>30</v>
      </c>
      <c r="G460" s="253">
        <v>138435</v>
      </c>
      <c r="H460" s="267">
        <v>28</v>
      </c>
      <c r="I460" s="268">
        <v>131565</v>
      </c>
      <c r="J460" s="252">
        <v>30</v>
      </c>
      <c r="K460" s="253">
        <v>102614</v>
      </c>
      <c r="L460" s="267">
        <v>26</v>
      </c>
      <c r="M460" s="268">
        <v>90652</v>
      </c>
      <c r="N460" s="252"/>
      <c r="O460" s="253"/>
      <c r="P460" s="267"/>
      <c r="Q460" s="268"/>
      <c r="R460" s="252">
        <v>30</v>
      </c>
      <c r="S460" s="253">
        <v>77696</v>
      </c>
      <c r="T460" s="267">
        <v>28</v>
      </c>
      <c r="U460" s="268">
        <v>75731</v>
      </c>
      <c r="V460" s="252">
        <v>30</v>
      </c>
      <c r="W460" s="253">
        <v>2871</v>
      </c>
      <c r="X460" s="267">
        <v>28</v>
      </c>
      <c r="Y460" s="268">
        <v>2673</v>
      </c>
      <c r="Z460" s="252"/>
      <c r="AA460" s="253"/>
      <c r="AB460" s="267">
        <v>28</v>
      </c>
      <c r="AC460" s="268">
        <v>897</v>
      </c>
      <c r="AD460" s="252">
        <v>30</v>
      </c>
      <c r="AE460" s="253">
        <v>6380</v>
      </c>
      <c r="AF460" s="267">
        <v>28</v>
      </c>
      <c r="AG460" s="268">
        <v>5940</v>
      </c>
      <c r="AH460" s="252"/>
      <c r="AI460" s="253"/>
      <c r="AJ460" s="267"/>
      <c r="AK460" s="268"/>
      <c r="AL460" s="252"/>
      <c r="AM460" s="253"/>
      <c r="AN460" s="267"/>
      <c r="AO460" s="268"/>
      <c r="AP460" s="255">
        <f t="shared" si="72"/>
        <v>30</v>
      </c>
      <c r="AQ460" s="256">
        <f t="shared" si="73"/>
        <v>327996</v>
      </c>
      <c r="AR460" s="257">
        <f t="shared" si="74"/>
        <v>28</v>
      </c>
      <c r="AS460" s="258">
        <f t="shared" si="75"/>
        <v>307458</v>
      </c>
      <c r="AT460" s="259"/>
      <c r="AU460" s="253"/>
      <c r="AV460" s="267"/>
      <c r="AW460" s="268"/>
      <c r="AX460" s="252"/>
      <c r="AY460" s="253"/>
      <c r="AZ460" s="267"/>
      <c r="BA460" s="268"/>
      <c r="BB460" s="252"/>
      <c r="BC460" s="253"/>
      <c r="BD460" s="267"/>
      <c r="BE460" s="268"/>
      <c r="BF460" s="252"/>
      <c r="BG460" s="253"/>
      <c r="BH460" s="267"/>
      <c r="BI460" s="268"/>
      <c r="BJ460" s="252"/>
      <c r="BK460" s="253"/>
      <c r="BL460" s="267"/>
      <c r="BM460" s="268"/>
      <c r="BN460" s="252"/>
      <c r="BO460" s="253"/>
      <c r="BP460" s="267"/>
      <c r="BQ460" s="268"/>
      <c r="BR460" s="252"/>
      <c r="BS460" s="253"/>
      <c r="BT460" s="267"/>
      <c r="BU460" s="268"/>
      <c r="BV460" s="252"/>
      <c r="BW460" s="253"/>
      <c r="BX460" s="267"/>
      <c r="BY460" s="268"/>
      <c r="BZ460" s="252"/>
      <c r="CA460" s="253"/>
      <c r="CB460" s="267"/>
      <c r="CC460" s="268"/>
      <c r="CD460" s="255">
        <f t="shared" si="76"/>
        <v>0</v>
      </c>
      <c r="CE460" s="256">
        <f t="shared" si="77"/>
        <v>0</v>
      </c>
      <c r="CF460" s="257">
        <f t="shared" si="78"/>
        <v>0</v>
      </c>
      <c r="CG460" s="261">
        <f t="shared" si="79"/>
        <v>0</v>
      </c>
    </row>
    <row r="461" spans="1:85" s="263" customFormat="1" ht="12.75" customHeight="1">
      <c r="A461" s="439" t="s">
        <v>264</v>
      </c>
      <c r="B461" s="386" t="s">
        <v>290</v>
      </c>
      <c r="C461" s="386"/>
      <c r="D461" s="387">
        <v>217712</v>
      </c>
      <c r="E461" s="388">
        <v>10</v>
      </c>
      <c r="F461" s="252">
        <v>46</v>
      </c>
      <c r="G461" s="253">
        <v>303593</v>
      </c>
      <c r="H461" s="267">
        <v>48</v>
      </c>
      <c r="I461" s="268">
        <v>310945</v>
      </c>
      <c r="J461" s="252">
        <v>48</v>
      </c>
      <c r="K461" s="253">
        <v>179465</v>
      </c>
      <c r="L461" s="267">
        <v>48</v>
      </c>
      <c r="M461" s="268">
        <v>158653</v>
      </c>
      <c r="N461" s="252"/>
      <c r="O461" s="253"/>
      <c r="P461" s="267"/>
      <c r="Q461" s="268"/>
      <c r="R461" s="252">
        <v>48</v>
      </c>
      <c r="S461" s="253">
        <v>182299</v>
      </c>
      <c r="T461" s="267">
        <v>48</v>
      </c>
      <c r="U461" s="268">
        <v>181265</v>
      </c>
      <c r="V461" s="252">
        <v>48</v>
      </c>
      <c r="W461" s="253">
        <v>5719</v>
      </c>
      <c r="X461" s="267">
        <v>48</v>
      </c>
      <c r="Y461" s="268">
        <v>5686</v>
      </c>
      <c r="Z461" s="252">
        <v>48</v>
      </c>
      <c r="AA461" s="253">
        <v>3575</v>
      </c>
      <c r="AB461" s="267">
        <v>48</v>
      </c>
      <c r="AC461" s="268">
        <v>3554</v>
      </c>
      <c r="AD461" s="252">
        <v>48</v>
      </c>
      <c r="AE461" s="253">
        <v>20017</v>
      </c>
      <c r="AF461" s="267">
        <v>48</v>
      </c>
      <c r="AG461" s="268">
        <v>19904</v>
      </c>
      <c r="AH461" s="252"/>
      <c r="AI461" s="253"/>
      <c r="AJ461" s="267"/>
      <c r="AK461" s="268"/>
      <c r="AL461" s="252"/>
      <c r="AM461" s="253"/>
      <c r="AN461" s="267"/>
      <c r="AO461" s="268"/>
      <c r="AP461" s="255">
        <f t="shared" si="72"/>
        <v>48</v>
      </c>
      <c r="AQ461" s="256">
        <f t="shared" si="73"/>
        <v>694668</v>
      </c>
      <c r="AR461" s="257">
        <f t="shared" si="74"/>
        <v>48</v>
      </c>
      <c r="AS461" s="258">
        <f t="shared" si="75"/>
        <v>680007</v>
      </c>
      <c r="AT461" s="259"/>
      <c r="AU461" s="253"/>
      <c r="AV461" s="267"/>
      <c r="AW461" s="268"/>
      <c r="AX461" s="252"/>
      <c r="AY461" s="253"/>
      <c r="AZ461" s="267"/>
      <c r="BA461" s="268"/>
      <c r="BB461" s="252"/>
      <c r="BC461" s="253"/>
      <c r="BD461" s="267"/>
      <c r="BE461" s="268"/>
      <c r="BF461" s="252"/>
      <c r="BG461" s="253"/>
      <c r="BH461" s="267"/>
      <c r="BI461" s="268"/>
      <c r="BJ461" s="252"/>
      <c r="BK461" s="253"/>
      <c r="BL461" s="267"/>
      <c r="BM461" s="268"/>
      <c r="BN461" s="252"/>
      <c r="BO461" s="253"/>
      <c r="BP461" s="267"/>
      <c r="BQ461" s="268"/>
      <c r="BR461" s="252"/>
      <c r="BS461" s="253"/>
      <c r="BT461" s="267"/>
      <c r="BU461" s="268"/>
      <c r="BV461" s="252"/>
      <c r="BW461" s="253"/>
      <c r="BX461" s="267"/>
      <c r="BY461" s="268"/>
      <c r="BZ461" s="252"/>
      <c r="CA461" s="253"/>
      <c r="CB461" s="267"/>
      <c r="CC461" s="268"/>
      <c r="CD461" s="255">
        <f t="shared" si="76"/>
        <v>0</v>
      </c>
      <c r="CE461" s="256">
        <f t="shared" si="77"/>
        <v>0</v>
      </c>
      <c r="CF461" s="257">
        <f t="shared" si="78"/>
        <v>0</v>
      </c>
      <c r="CG461" s="261">
        <f t="shared" si="79"/>
        <v>0</v>
      </c>
    </row>
    <row r="462" spans="1:85" s="263" customFormat="1" ht="12.75" customHeight="1">
      <c r="A462" s="439" t="s">
        <v>264</v>
      </c>
      <c r="B462" s="386" t="s">
        <v>291</v>
      </c>
      <c r="C462" s="386"/>
      <c r="D462" s="387">
        <v>218672</v>
      </c>
      <c r="E462" s="388">
        <v>10</v>
      </c>
      <c r="F462" s="252">
        <v>44</v>
      </c>
      <c r="G462" s="253">
        <v>273695</v>
      </c>
      <c r="H462" s="267">
        <v>42</v>
      </c>
      <c r="I462" s="268">
        <v>273237</v>
      </c>
      <c r="J462" s="252">
        <v>44</v>
      </c>
      <c r="K462" s="253">
        <v>238699</v>
      </c>
      <c r="L462" s="267">
        <v>42</v>
      </c>
      <c r="M462" s="268">
        <v>227849</v>
      </c>
      <c r="N462" s="252"/>
      <c r="O462" s="253"/>
      <c r="P462" s="267"/>
      <c r="Q462" s="268"/>
      <c r="R462" s="252">
        <v>44</v>
      </c>
      <c r="S462" s="253">
        <v>133195</v>
      </c>
      <c r="T462" s="267">
        <v>42</v>
      </c>
      <c r="U462" s="268">
        <v>128925</v>
      </c>
      <c r="V462" s="252">
        <v>44</v>
      </c>
      <c r="W462" s="253">
        <v>3222</v>
      </c>
      <c r="X462" s="267">
        <v>42</v>
      </c>
      <c r="Y462" s="268">
        <v>3119</v>
      </c>
      <c r="Z462" s="252">
        <v>44</v>
      </c>
      <c r="AA462" s="253">
        <v>3222</v>
      </c>
      <c r="AB462" s="267">
        <v>42</v>
      </c>
      <c r="AC462" s="268">
        <v>3119</v>
      </c>
      <c r="AD462" s="252">
        <v>44</v>
      </c>
      <c r="AE462" s="253">
        <v>22557</v>
      </c>
      <c r="AF462" s="267">
        <v>42</v>
      </c>
      <c r="AG462" s="268">
        <v>22874</v>
      </c>
      <c r="AH462" s="252"/>
      <c r="AI462" s="253"/>
      <c r="AJ462" s="267"/>
      <c r="AK462" s="268"/>
      <c r="AL462" s="252"/>
      <c r="AM462" s="253"/>
      <c r="AN462" s="267"/>
      <c r="AO462" s="268"/>
      <c r="AP462" s="255">
        <f t="shared" si="72"/>
        <v>44</v>
      </c>
      <c r="AQ462" s="256">
        <f t="shared" si="73"/>
        <v>674590</v>
      </c>
      <c r="AR462" s="257">
        <f t="shared" si="74"/>
        <v>42</v>
      </c>
      <c r="AS462" s="258">
        <f t="shared" si="75"/>
        <v>659123</v>
      </c>
      <c r="AT462" s="259">
        <v>2</v>
      </c>
      <c r="AU462" s="253">
        <v>14263</v>
      </c>
      <c r="AV462" s="267">
        <v>4</v>
      </c>
      <c r="AW462" s="268">
        <v>33646</v>
      </c>
      <c r="AX462" s="252">
        <v>2</v>
      </c>
      <c r="AY462" s="253">
        <v>10850</v>
      </c>
      <c r="AZ462" s="267">
        <v>4</v>
      </c>
      <c r="BA462" s="268">
        <v>21700</v>
      </c>
      <c r="BB462" s="252"/>
      <c r="BC462" s="253"/>
      <c r="BD462" s="267"/>
      <c r="BE462" s="268"/>
      <c r="BF462" s="252">
        <v>2</v>
      </c>
      <c r="BG462" s="253">
        <v>6941</v>
      </c>
      <c r="BH462" s="267">
        <v>4</v>
      </c>
      <c r="BI462" s="268">
        <v>15875</v>
      </c>
      <c r="BJ462" s="252">
        <v>2</v>
      </c>
      <c r="BK462" s="253">
        <v>168</v>
      </c>
      <c r="BL462" s="267">
        <v>4</v>
      </c>
      <c r="BM462" s="268">
        <v>384</v>
      </c>
      <c r="BN462" s="252">
        <v>2</v>
      </c>
      <c r="BO462" s="253">
        <v>168</v>
      </c>
      <c r="BP462" s="267">
        <v>4</v>
      </c>
      <c r="BQ462" s="268">
        <v>384</v>
      </c>
      <c r="BR462" s="252">
        <v>2</v>
      </c>
      <c r="BS462" s="253">
        <v>1176</v>
      </c>
      <c r="BT462" s="267">
        <v>4</v>
      </c>
      <c r="BU462" s="268">
        <v>2817</v>
      </c>
      <c r="BV462" s="252"/>
      <c r="BW462" s="253"/>
      <c r="BX462" s="267"/>
      <c r="BY462" s="268"/>
      <c r="BZ462" s="252"/>
      <c r="CA462" s="253"/>
      <c r="CB462" s="267"/>
      <c r="CC462" s="268"/>
      <c r="CD462" s="255">
        <f t="shared" si="76"/>
        <v>2</v>
      </c>
      <c r="CE462" s="256">
        <f t="shared" si="77"/>
        <v>33566</v>
      </c>
      <c r="CF462" s="257">
        <f t="shared" si="78"/>
        <v>4</v>
      </c>
      <c r="CG462" s="261">
        <f t="shared" si="79"/>
        <v>74806</v>
      </c>
    </row>
    <row r="463" spans="1:85" s="263" customFormat="1" ht="12.75" customHeight="1">
      <c r="A463" s="439" t="s">
        <v>264</v>
      </c>
      <c r="B463" s="386" t="s">
        <v>292</v>
      </c>
      <c r="C463" s="386"/>
      <c r="D463" s="387">
        <v>218681</v>
      </c>
      <c r="E463" s="388">
        <v>10</v>
      </c>
      <c r="F463" s="252">
        <v>15</v>
      </c>
      <c r="G463" s="253">
        <v>86759</v>
      </c>
      <c r="H463" s="267">
        <v>17</v>
      </c>
      <c r="I463" s="268">
        <v>102230</v>
      </c>
      <c r="J463" s="252">
        <v>15</v>
      </c>
      <c r="K463" s="253">
        <v>81375</v>
      </c>
      <c r="L463" s="267">
        <v>17</v>
      </c>
      <c r="M463" s="268">
        <v>92225</v>
      </c>
      <c r="N463" s="252"/>
      <c r="O463" s="253"/>
      <c r="P463" s="267"/>
      <c r="Q463" s="268"/>
      <c r="R463" s="252">
        <v>15</v>
      </c>
      <c r="S463" s="253">
        <v>42222</v>
      </c>
      <c r="T463" s="267">
        <v>17</v>
      </c>
      <c r="U463" s="268">
        <v>48237</v>
      </c>
      <c r="V463" s="252">
        <v>15</v>
      </c>
      <c r="W463" s="253">
        <v>1022</v>
      </c>
      <c r="X463" s="267">
        <v>17</v>
      </c>
      <c r="Y463" s="268">
        <v>1167</v>
      </c>
      <c r="Z463" s="252">
        <v>15</v>
      </c>
      <c r="AA463" s="253">
        <v>1022</v>
      </c>
      <c r="AB463" s="267">
        <v>17</v>
      </c>
      <c r="AC463" s="268">
        <v>1167</v>
      </c>
      <c r="AD463" s="252">
        <v>15</v>
      </c>
      <c r="AE463" s="253">
        <v>7151</v>
      </c>
      <c r="AF463" s="267">
        <v>17</v>
      </c>
      <c r="AG463" s="268">
        <v>8558</v>
      </c>
      <c r="AH463" s="252"/>
      <c r="AI463" s="253"/>
      <c r="AJ463" s="267"/>
      <c r="AK463" s="268"/>
      <c r="AL463" s="252"/>
      <c r="AM463" s="253"/>
      <c r="AN463" s="267"/>
      <c r="AO463" s="268"/>
      <c r="AP463" s="255">
        <f t="shared" si="72"/>
        <v>15</v>
      </c>
      <c r="AQ463" s="256">
        <f t="shared" si="73"/>
        <v>219551</v>
      </c>
      <c r="AR463" s="257">
        <f t="shared" si="74"/>
        <v>17</v>
      </c>
      <c r="AS463" s="258">
        <f t="shared" si="75"/>
        <v>253584</v>
      </c>
      <c r="AT463" s="259">
        <v>2</v>
      </c>
      <c r="AU463" s="253">
        <v>16271</v>
      </c>
      <c r="AV463" s="267">
        <v>2</v>
      </c>
      <c r="AW463" s="268">
        <v>10893</v>
      </c>
      <c r="AX463" s="252">
        <v>2</v>
      </c>
      <c r="AY463" s="253">
        <v>10850</v>
      </c>
      <c r="AZ463" s="267">
        <v>2</v>
      </c>
      <c r="BA463" s="268">
        <v>10850</v>
      </c>
      <c r="BB463" s="252"/>
      <c r="BC463" s="253"/>
      <c r="BD463" s="267"/>
      <c r="BE463" s="268"/>
      <c r="BF463" s="252">
        <v>2</v>
      </c>
      <c r="BG463" s="253">
        <v>7919</v>
      </c>
      <c r="BH463" s="267">
        <v>2</v>
      </c>
      <c r="BI463" s="268">
        <v>5140</v>
      </c>
      <c r="BJ463" s="252">
        <v>2</v>
      </c>
      <c r="BK463" s="253">
        <v>192</v>
      </c>
      <c r="BL463" s="267">
        <v>2</v>
      </c>
      <c r="BM463" s="268">
        <v>124</v>
      </c>
      <c r="BN463" s="252">
        <v>2</v>
      </c>
      <c r="BO463" s="253">
        <v>192</v>
      </c>
      <c r="BP463" s="267">
        <v>2</v>
      </c>
      <c r="BQ463" s="268">
        <v>124</v>
      </c>
      <c r="BR463" s="252">
        <v>2</v>
      </c>
      <c r="BS463" s="253">
        <v>1341</v>
      </c>
      <c r="BT463" s="267">
        <v>2</v>
      </c>
      <c r="BU463" s="268">
        <v>912</v>
      </c>
      <c r="BV463" s="252"/>
      <c r="BW463" s="253"/>
      <c r="BX463" s="267"/>
      <c r="BY463" s="268"/>
      <c r="BZ463" s="252"/>
      <c r="CA463" s="253"/>
      <c r="CB463" s="267"/>
      <c r="CC463" s="268"/>
      <c r="CD463" s="255">
        <f t="shared" si="76"/>
        <v>2</v>
      </c>
      <c r="CE463" s="256">
        <f t="shared" si="77"/>
        <v>36765</v>
      </c>
      <c r="CF463" s="257">
        <f t="shared" si="78"/>
        <v>2</v>
      </c>
      <c r="CG463" s="261">
        <f t="shared" si="79"/>
        <v>28043</v>
      </c>
    </row>
    <row r="464" spans="1:85" s="263" customFormat="1" ht="12.75" customHeight="1">
      <c r="A464" s="439" t="s">
        <v>264</v>
      </c>
      <c r="B464" s="386" t="s">
        <v>293</v>
      </c>
      <c r="C464" s="386"/>
      <c r="D464" s="387">
        <v>218690</v>
      </c>
      <c r="E464" s="388">
        <v>10</v>
      </c>
      <c r="F464" s="252">
        <v>47</v>
      </c>
      <c r="G464" s="253">
        <v>289341</v>
      </c>
      <c r="H464" s="267">
        <v>46</v>
      </c>
      <c r="I464" s="268">
        <v>289655</v>
      </c>
      <c r="J464" s="252">
        <v>47</v>
      </c>
      <c r="K464" s="253">
        <v>254974</v>
      </c>
      <c r="L464" s="267">
        <v>46</v>
      </c>
      <c r="M464" s="268">
        <v>249549</v>
      </c>
      <c r="N464" s="252"/>
      <c r="O464" s="253"/>
      <c r="P464" s="267"/>
      <c r="Q464" s="268"/>
      <c r="R464" s="252">
        <v>47</v>
      </c>
      <c r="S464" s="253">
        <v>140810</v>
      </c>
      <c r="T464" s="267">
        <v>46</v>
      </c>
      <c r="U464" s="268">
        <v>136671</v>
      </c>
      <c r="V464" s="252">
        <v>47</v>
      </c>
      <c r="W464" s="253">
        <v>3407</v>
      </c>
      <c r="X464" s="267">
        <v>46</v>
      </c>
      <c r="Y464" s="268">
        <v>3307</v>
      </c>
      <c r="Z464" s="252">
        <v>47</v>
      </c>
      <c r="AA464" s="253">
        <v>3407</v>
      </c>
      <c r="AB464" s="267">
        <v>46</v>
      </c>
      <c r="AC464" s="268">
        <v>3307</v>
      </c>
      <c r="AD464" s="252">
        <v>47</v>
      </c>
      <c r="AE464" s="253">
        <v>23847</v>
      </c>
      <c r="AF464" s="267">
        <v>46</v>
      </c>
      <c r="AG464" s="268">
        <v>24248</v>
      </c>
      <c r="AH464" s="252"/>
      <c r="AI464" s="253"/>
      <c r="AJ464" s="267"/>
      <c r="AK464" s="268"/>
      <c r="AL464" s="252"/>
      <c r="AM464" s="253"/>
      <c r="AN464" s="267"/>
      <c r="AO464" s="268"/>
      <c r="AP464" s="255">
        <f t="shared" si="72"/>
        <v>47</v>
      </c>
      <c r="AQ464" s="256">
        <f t="shared" si="73"/>
        <v>715786</v>
      </c>
      <c r="AR464" s="257">
        <f t="shared" si="74"/>
        <v>46</v>
      </c>
      <c r="AS464" s="258">
        <f t="shared" si="75"/>
        <v>706737</v>
      </c>
      <c r="AT464" s="259">
        <v>4</v>
      </c>
      <c r="AU464" s="253">
        <v>42389</v>
      </c>
      <c r="AV464" s="267">
        <v>4</v>
      </c>
      <c r="AW464" s="268">
        <v>43720</v>
      </c>
      <c r="AX464" s="252">
        <v>4</v>
      </c>
      <c r="AY464" s="253">
        <v>21700</v>
      </c>
      <c r="AZ464" s="267">
        <v>4</v>
      </c>
      <c r="BA464" s="268">
        <v>21700</v>
      </c>
      <c r="BB464" s="252"/>
      <c r="BC464" s="253"/>
      <c r="BD464" s="267"/>
      <c r="BE464" s="268"/>
      <c r="BF464" s="252">
        <v>4</v>
      </c>
      <c r="BG464" s="253">
        <v>20629</v>
      </c>
      <c r="BH464" s="267">
        <v>4</v>
      </c>
      <c r="BI464" s="268">
        <v>20629</v>
      </c>
      <c r="BJ464" s="252">
        <v>4</v>
      </c>
      <c r="BK464" s="253">
        <v>499</v>
      </c>
      <c r="BL464" s="267">
        <v>4</v>
      </c>
      <c r="BM464" s="268">
        <v>499</v>
      </c>
      <c r="BN464" s="252">
        <v>4</v>
      </c>
      <c r="BO464" s="253">
        <v>499</v>
      </c>
      <c r="BP464" s="267">
        <v>4</v>
      </c>
      <c r="BQ464" s="268">
        <v>499</v>
      </c>
      <c r="BR464" s="252">
        <v>4</v>
      </c>
      <c r="BS464" s="253">
        <v>3494</v>
      </c>
      <c r="BT464" s="267">
        <v>4</v>
      </c>
      <c r="BU464" s="268">
        <v>3660</v>
      </c>
      <c r="BV464" s="252"/>
      <c r="BW464" s="253"/>
      <c r="BX464" s="267"/>
      <c r="BY464" s="268"/>
      <c r="BZ464" s="252"/>
      <c r="CA464" s="253"/>
      <c r="CB464" s="267"/>
      <c r="CC464" s="268"/>
      <c r="CD464" s="255">
        <f t="shared" si="76"/>
        <v>4</v>
      </c>
      <c r="CE464" s="256">
        <f t="shared" si="77"/>
        <v>89210</v>
      </c>
      <c r="CF464" s="257">
        <f t="shared" si="78"/>
        <v>4</v>
      </c>
      <c r="CG464" s="261">
        <f t="shared" si="79"/>
        <v>90707</v>
      </c>
    </row>
    <row r="465" spans="1:85" s="263" customFormat="1" ht="12.75" customHeight="1">
      <c r="A465" s="439" t="s">
        <v>264</v>
      </c>
      <c r="B465" s="386" t="s">
        <v>294</v>
      </c>
      <c r="C465" s="386"/>
      <c r="D465" s="387">
        <v>218706</v>
      </c>
      <c r="E465" s="388">
        <v>10</v>
      </c>
      <c r="F465" s="252">
        <v>7</v>
      </c>
      <c r="G465" s="253">
        <v>41662</v>
      </c>
      <c r="H465" s="267">
        <v>10</v>
      </c>
      <c r="I465" s="268">
        <v>66918</v>
      </c>
      <c r="J465" s="252">
        <v>7</v>
      </c>
      <c r="K465" s="253">
        <v>37975</v>
      </c>
      <c r="L465" s="267">
        <v>10</v>
      </c>
      <c r="M465" s="268">
        <v>54250</v>
      </c>
      <c r="N465" s="252"/>
      <c r="O465" s="253"/>
      <c r="P465" s="267"/>
      <c r="Q465" s="268"/>
      <c r="R465" s="252">
        <v>7</v>
      </c>
      <c r="S465" s="253">
        <v>20275</v>
      </c>
      <c r="T465" s="267">
        <v>10</v>
      </c>
      <c r="U465" s="268">
        <v>31574</v>
      </c>
      <c r="V465" s="252">
        <v>7</v>
      </c>
      <c r="W465" s="253">
        <v>491</v>
      </c>
      <c r="X465" s="267">
        <v>10</v>
      </c>
      <c r="Y465" s="268">
        <v>764</v>
      </c>
      <c r="Z465" s="252">
        <v>7</v>
      </c>
      <c r="AA465" s="253">
        <v>491</v>
      </c>
      <c r="AB465" s="267">
        <v>10</v>
      </c>
      <c r="AC465" s="268">
        <v>764</v>
      </c>
      <c r="AD465" s="252">
        <v>7</v>
      </c>
      <c r="AE465" s="253">
        <v>3434</v>
      </c>
      <c r="AF465" s="267">
        <v>10</v>
      </c>
      <c r="AG465" s="268">
        <v>5602</v>
      </c>
      <c r="AH465" s="252"/>
      <c r="AI465" s="253"/>
      <c r="AJ465" s="267"/>
      <c r="AK465" s="268"/>
      <c r="AL465" s="252"/>
      <c r="AM465" s="253"/>
      <c r="AN465" s="267"/>
      <c r="AO465" s="268"/>
      <c r="AP465" s="255">
        <f t="shared" si="72"/>
        <v>7</v>
      </c>
      <c r="AQ465" s="256">
        <f t="shared" si="73"/>
        <v>104328</v>
      </c>
      <c r="AR465" s="257">
        <f t="shared" si="74"/>
        <v>10</v>
      </c>
      <c r="AS465" s="258">
        <f t="shared" si="75"/>
        <v>159872</v>
      </c>
      <c r="AT465" s="259"/>
      <c r="AU465" s="253"/>
      <c r="AV465" s="267"/>
      <c r="AW465" s="268"/>
      <c r="AX465" s="252"/>
      <c r="AY465" s="253"/>
      <c r="AZ465" s="267"/>
      <c r="BA465" s="268"/>
      <c r="BB465" s="252"/>
      <c r="BC465" s="253"/>
      <c r="BD465" s="267"/>
      <c r="BE465" s="268"/>
      <c r="BF465" s="252"/>
      <c r="BG465" s="253"/>
      <c r="BH465" s="267"/>
      <c r="BI465" s="268"/>
      <c r="BJ465" s="252"/>
      <c r="BK465" s="253"/>
      <c r="BL465" s="267"/>
      <c r="BM465" s="268"/>
      <c r="BN465" s="252"/>
      <c r="BO465" s="253"/>
      <c r="BP465" s="267"/>
      <c r="BQ465" s="268"/>
      <c r="BR465" s="252"/>
      <c r="BS465" s="253"/>
      <c r="BT465" s="267"/>
      <c r="BU465" s="268"/>
      <c r="BV465" s="252"/>
      <c r="BW465" s="253"/>
      <c r="BX465" s="267"/>
      <c r="BY465" s="268"/>
      <c r="BZ465" s="252"/>
      <c r="CA465" s="253"/>
      <c r="CB465" s="267"/>
      <c r="CC465" s="268"/>
      <c r="CD465" s="255">
        <f t="shared" si="76"/>
        <v>0</v>
      </c>
      <c r="CE465" s="256">
        <f t="shared" si="77"/>
        <v>0</v>
      </c>
      <c r="CF465" s="257">
        <f t="shared" si="78"/>
        <v>0</v>
      </c>
      <c r="CG465" s="261">
        <f t="shared" si="79"/>
        <v>0</v>
      </c>
    </row>
    <row r="466" spans="1:85" s="263" customFormat="1" ht="12.75" customHeight="1">
      <c r="A466" s="439" t="s">
        <v>264</v>
      </c>
      <c r="B466" s="386" t="s">
        <v>295</v>
      </c>
      <c r="C466" s="386"/>
      <c r="D466" s="387">
        <v>218955</v>
      </c>
      <c r="E466" s="388">
        <v>10</v>
      </c>
      <c r="F466" s="252">
        <v>18</v>
      </c>
      <c r="G466" s="253">
        <v>80180</v>
      </c>
      <c r="H466" s="267">
        <v>18</v>
      </c>
      <c r="I466" s="268">
        <v>113699</v>
      </c>
      <c r="J466" s="252">
        <v>18</v>
      </c>
      <c r="K466" s="253">
        <v>77880</v>
      </c>
      <c r="L466" s="267">
        <v>18</v>
      </c>
      <c r="M466" s="268">
        <v>85212</v>
      </c>
      <c r="N466" s="252"/>
      <c r="O466" s="253"/>
      <c r="P466" s="267"/>
      <c r="Q466" s="268"/>
      <c r="R466" s="252">
        <v>18</v>
      </c>
      <c r="S466" s="253">
        <v>47586</v>
      </c>
      <c r="T466" s="267">
        <v>18</v>
      </c>
      <c r="U466" s="268">
        <v>64998</v>
      </c>
      <c r="V466" s="252">
        <v>18</v>
      </c>
      <c r="W466" s="253">
        <v>24881</v>
      </c>
      <c r="X466" s="267">
        <v>18</v>
      </c>
      <c r="Y466" s="268">
        <v>33984</v>
      </c>
      <c r="Z466" s="252">
        <v>18</v>
      </c>
      <c r="AA466" s="253">
        <v>933</v>
      </c>
      <c r="AB466" s="267">
        <v>18</v>
      </c>
      <c r="AC466" s="268">
        <v>1314</v>
      </c>
      <c r="AD466" s="252">
        <v>18</v>
      </c>
      <c r="AE466" s="253">
        <v>5225</v>
      </c>
      <c r="AF466" s="267">
        <v>18</v>
      </c>
      <c r="AG466" s="268">
        <v>7128</v>
      </c>
      <c r="AH466" s="252"/>
      <c r="AI466" s="253"/>
      <c r="AJ466" s="267"/>
      <c r="AK466" s="268"/>
      <c r="AL466" s="252"/>
      <c r="AM466" s="253"/>
      <c r="AN466" s="267"/>
      <c r="AO466" s="268"/>
      <c r="AP466" s="255">
        <f t="shared" si="72"/>
        <v>18</v>
      </c>
      <c r="AQ466" s="256">
        <f t="shared" si="73"/>
        <v>236685</v>
      </c>
      <c r="AR466" s="257">
        <f t="shared" si="74"/>
        <v>18</v>
      </c>
      <c r="AS466" s="258">
        <f t="shared" si="75"/>
        <v>306335</v>
      </c>
      <c r="AT466" s="259"/>
      <c r="AU466" s="253"/>
      <c r="AV466" s="267"/>
      <c r="AW466" s="268"/>
      <c r="AX466" s="252"/>
      <c r="AY466" s="253"/>
      <c r="AZ466" s="267"/>
      <c r="BA466" s="268"/>
      <c r="BB466" s="252"/>
      <c r="BC466" s="253"/>
      <c r="BD466" s="267"/>
      <c r="BE466" s="268"/>
      <c r="BF466" s="252"/>
      <c r="BG466" s="253"/>
      <c r="BH466" s="267"/>
      <c r="BI466" s="268"/>
      <c r="BJ466" s="252"/>
      <c r="BK466" s="253"/>
      <c r="BL466" s="267"/>
      <c r="BM466" s="268"/>
      <c r="BN466" s="252"/>
      <c r="BO466" s="253"/>
      <c r="BP466" s="267"/>
      <c r="BQ466" s="268"/>
      <c r="BR466" s="252"/>
      <c r="BS466" s="253"/>
      <c r="BT466" s="267"/>
      <c r="BU466" s="268"/>
      <c r="BV466" s="252"/>
      <c r="BW466" s="253"/>
      <c r="BX466" s="267"/>
      <c r="BY466" s="268"/>
      <c r="BZ466" s="252"/>
      <c r="CA466" s="253"/>
      <c r="CB466" s="267"/>
      <c r="CC466" s="268"/>
      <c r="CD466" s="255">
        <f t="shared" si="76"/>
        <v>0</v>
      </c>
      <c r="CE466" s="256">
        <f t="shared" si="77"/>
        <v>0</v>
      </c>
      <c r="CF466" s="257">
        <f t="shared" si="78"/>
        <v>0</v>
      </c>
      <c r="CG466" s="261">
        <f t="shared" si="79"/>
        <v>0</v>
      </c>
    </row>
    <row r="467" spans="1:85" s="263" customFormat="1" ht="12.75" customHeight="1">
      <c r="A467" s="440" t="s">
        <v>296</v>
      </c>
      <c r="B467" s="441" t="s">
        <v>298</v>
      </c>
      <c r="C467" s="441"/>
      <c r="D467" s="442">
        <v>220862</v>
      </c>
      <c r="E467" s="443">
        <v>1</v>
      </c>
      <c r="F467" s="252">
        <v>774</v>
      </c>
      <c r="G467" s="253">
        <v>6120508</v>
      </c>
      <c r="H467" s="267">
        <f>628+147</f>
        <v>775</v>
      </c>
      <c r="I467" s="268">
        <f>4550793+1612724</f>
        <v>6163517</v>
      </c>
      <c r="J467" s="252">
        <v>731</v>
      </c>
      <c r="K467" s="253">
        <v>6669294</v>
      </c>
      <c r="L467" s="267">
        <v>726</v>
      </c>
      <c r="M467" s="268">
        <v>6794215</v>
      </c>
      <c r="N467" s="252"/>
      <c r="O467" s="253"/>
      <c r="P467" s="267">
        <v>0</v>
      </c>
      <c r="Q467" s="268">
        <v>0</v>
      </c>
      <c r="R467" s="252">
        <v>784</v>
      </c>
      <c r="S467" s="253">
        <v>3633669</v>
      </c>
      <c r="T467" s="267">
        <v>781</v>
      </c>
      <c r="U467" s="268">
        <v>3627818</v>
      </c>
      <c r="V467" s="252"/>
      <c r="W467" s="253"/>
      <c r="X467" s="267">
        <v>0</v>
      </c>
      <c r="Y467" s="268">
        <v>0</v>
      </c>
      <c r="Z467" s="252">
        <v>786</v>
      </c>
      <c r="AA467" s="253">
        <v>44603</v>
      </c>
      <c r="AB467" s="267">
        <v>781</v>
      </c>
      <c r="AC467" s="268">
        <v>43968</v>
      </c>
      <c r="AD467" s="252"/>
      <c r="AE467" s="253"/>
      <c r="AF467" s="267">
        <v>0</v>
      </c>
      <c r="AG467" s="268">
        <v>0</v>
      </c>
      <c r="AH467" s="252"/>
      <c r="AI467" s="253"/>
      <c r="AJ467" s="267">
        <v>0</v>
      </c>
      <c r="AK467" s="268">
        <v>0</v>
      </c>
      <c r="AL467" s="252">
        <v>544</v>
      </c>
      <c r="AM467" s="253">
        <v>313800</v>
      </c>
      <c r="AN467" s="267">
        <v>544</v>
      </c>
      <c r="AO467" s="268">
        <v>314940</v>
      </c>
      <c r="AP467" s="255">
        <f t="shared" si="72"/>
        <v>786</v>
      </c>
      <c r="AQ467" s="256">
        <f t="shared" si="73"/>
        <v>16781874</v>
      </c>
      <c r="AR467" s="257">
        <f t="shared" si="74"/>
        <v>781</v>
      </c>
      <c r="AS467" s="258">
        <f t="shared" si="75"/>
        <v>16944458</v>
      </c>
      <c r="AT467" s="259">
        <v>71</v>
      </c>
      <c r="AU467" s="253">
        <v>656595</v>
      </c>
      <c r="AV467" s="267">
        <f>55+18</f>
        <v>73</v>
      </c>
      <c r="AW467" s="268">
        <f>533600+170805</f>
        <v>704405</v>
      </c>
      <c r="AX467" s="252">
        <v>66</v>
      </c>
      <c r="AY467" s="253">
        <v>606094</v>
      </c>
      <c r="AZ467" s="267">
        <v>70</v>
      </c>
      <c r="BA467" s="268">
        <v>661877</v>
      </c>
      <c r="BB467" s="252"/>
      <c r="BC467" s="253"/>
      <c r="BD467" s="267"/>
      <c r="BE467" s="268"/>
      <c r="BF467" s="252">
        <v>70</v>
      </c>
      <c r="BG467" s="253">
        <v>332359</v>
      </c>
      <c r="BH467" s="267">
        <v>73</v>
      </c>
      <c r="BI467" s="268">
        <v>352803</v>
      </c>
      <c r="BJ467" s="252"/>
      <c r="BK467" s="253"/>
      <c r="BL467" s="267"/>
      <c r="BM467" s="268"/>
      <c r="BN467" s="252">
        <v>70</v>
      </c>
      <c r="BO467" s="253">
        <v>4044</v>
      </c>
      <c r="BP467" s="267">
        <v>74</v>
      </c>
      <c r="BQ467" s="268">
        <v>4282</v>
      </c>
      <c r="BR467" s="252"/>
      <c r="BS467" s="253"/>
      <c r="BT467" s="267"/>
      <c r="BU467" s="268"/>
      <c r="BV467" s="252"/>
      <c r="BW467" s="253"/>
      <c r="BX467" s="267"/>
      <c r="BY467" s="268"/>
      <c r="BZ467" s="252">
        <v>47</v>
      </c>
      <c r="CA467" s="253">
        <v>27600</v>
      </c>
      <c r="CB467" s="267">
        <v>46</v>
      </c>
      <c r="CC467" s="268">
        <v>26820</v>
      </c>
      <c r="CD467" s="255">
        <f t="shared" si="76"/>
        <v>71</v>
      </c>
      <c r="CE467" s="256">
        <f t="shared" si="77"/>
        <v>1626692</v>
      </c>
      <c r="CF467" s="257">
        <f t="shared" si="78"/>
        <v>74</v>
      </c>
      <c r="CG467" s="261">
        <f t="shared" si="79"/>
        <v>1750187</v>
      </c>
    </row>
    <row r="468" spans="1:85" s="263" customFormat="1" ht="12.75" customHeight="1">
      <c r="A468" s="440" t="s">
        <v>296</v>
      </c>
      <c r="B468" s="441" t="s">
        <v>297</v>
      </c>
      <c r="C468" s="441"/>
      <c r="D468" s="442">
        <v>221759</v>
      </c>
      <c r="E468" s="443">
        <v>1</v>
      </c>
      <c r="F468" s="252">
        <v>1122</v>
      </c>
      <c r="G468" s="253">
        <v>10838439</v>
      </c>
      <c r="H468" s="267">
        <v>1128</v>
      </c>
      <c r="I468" s="268">
        <v>11100479</v>
      </c>
      <c r="J468" s="252">
        <v>1080</v>
      </c>
      <c r="K468" s="253">
        <v>9962111</v>
      </c>
      <c r="L468" s="267">
        <v>1087</v>
      </c>
      <c r="M468" s="268">
        <v>10308724</v>
      </c>
      <c r="N468" s="252"/>
      <c r="O468" s="253"/>
      <c r="P468" s="267"/>
      <c r="Q468" s="268"/>
      <c r="R468" s="252">
        <v>1131</v>
      </c>
      <c r="S468" s="253">
        <v>6387826</v>
      </c>
      <c r="T468" s="267">
        <v>1147</v>
      </c>
      <c r="U468" s="268">
        <v>5154097</v>
      </c>
      <c r="V468" s="252">
        <v>1136</v>
      </c>
      <c r="W468" s="253">
        <v>31398</v>
      </c>
      <c r="X468" s="267">
        <v>1150</v>
      </c>
      <c r="Y468" s="268">
        <v>41931</v>
      </c>
      <c r="Z468" s="252">
        <v>1133</v>
      </c>
      <c r="AA468" s="253">
        <v>65081</v>
      </c>
      <c r="AB468" s="267">
        <v>1145</v>
      </c>
      <c r="AC468" s="268">
        <v>65602</v>
      </c>
      <c r="AD468" s="252">
        <v>1136</v>
      </c>
      <c r="AE468" s="253">
        <v>220870</v>
      </c>
      <c r="AF468" s="267">
        <v>1150</v>
      </c>
      <c r="AG468" s="268">
        <v>178717</v>
      </c>
      <c r="AH468" s="252"/>
      <c r="AI468" s="253"/>
      <c r="AJ468" s="267"/>
      <c r="AK468" s="268"/>
      <c r="AL468" s="252"/>
      <c r="AM468" s="253"/>
      <c r="AN468" s="267"/>
      <c r="AO468" s="268"/>
      <c r="AP468" s="255">
        <f t="shared" si="72"/>
        <v>1136</v>
      </c>
      <c r="AQ468" s="256">
        <f t="shared" si="73"/>
        <v>27505725</v>
      </c>
      <c r="AR468" s="257">
        <f t="shared" si="74"/>
        <v>1150</v>
      </c>
      <c r="AS468" s="258">
        <f t="shared" si="75"/>
        <v>26849550</v>
      </c>
      <c r="AT468" s="259">
        <v>394</v>
      </c>
      <c r="AU468" s="253">
        <v>4993190</v>
      </c>
      <c r="AV468" s="267">
        <v>445</v>
      </c>
      <c r="AW468" s="268">
        <v>5969054</v>
      </c>
      <c r="AX468" s="252">
        <v>379</v>
      </c>
      <c r="AY468" s="253">
        <v>3619200</v>
      </c>
      <c r="AZ468" s="267">
        <v>420</v>
      </c>
      <c r="BA468" s="268">
        <v>4066327</v>
      </c>
      <c r="BB468" s="252"/>
      <c r="BC468" s="253"/>
      <c r="BD468" s="267"/>
      <c r="BE468" s="268"/>
      <c r="BF468" s="252">
        <v>400</v>
      </c>
      <c r="BG468" s="253">
        <v>2953966</v>
      </c>
      <c r="BH468" s="267">
        <v>455</v>
      </c>
      <c r="BI468" s="268">
        <v>2657648</v>
      </c>
      <c r="BJ468" s="252">
        <v>400</v>
      </c>
      <c r="BK468" s="253">
        <v>13474</v>
      </c>
      <c r="BL468" s="267">
        <v>459</v>
      </c>
      <c r="BM468" s="268">
        <v>21954</v>
      </c>
      <c r="BN468" s="252">
        <v>400</v>
      </c>
      <c r="BO468" s="253">
        <v>23422</v>
      </c>
      <c r="BP468" s="267">
        <v>448</v>
      </c>
      <c r="BQ468" s="268">
        <v>26028</v>
      </c>
      <c r="BR468" s="252">
        <v>400</v>
      </c>
      <c r="BS468" s="253">
        <v>108588</v>
      </c>
      <c r="BT468" s="267">
        <v>459</v>
      </c>
      <c r="BU468" s="268">
        <v>100972</v>
      </c>
      <c r="BV468" s="252"/>
      <c r="BW468" s="253"/>
      <c r="BX468" s="267"/>
      <c r="BY468" s="268"/>
      <c r="BZ468" s="252"/>
      <c r="CA468" s="253"/>
      <c r="CB468" s="267"/>
      <c r="CC468" s="268"/>
      <c r="CD468" s="255">
        <f t="shared" si="76"/>
        <v>400</v>
      </c>
      <c r="CE468" s="256">
        <f t="shared" si="77"/>
        <v>11711840</v>
      </c>
      <c r="CF468" s="257">
        <f t="shared" si="78"/>
        <v>459</v>
      </c>
      <c r="CG468" s="261">
        <f t="shared" si="79"/>
        <v>12841983</v>
      </c>
    </row>
    <row r="469" spans="1:85" s="263" customFormat="1" ht="12.75" customHeight="1">
      <c r="A469" s="440" t="s">
        <v>296</v>
      </c>
      <c r="B469" s="441" t="s">
        <v>299</v>
      </c>
      <c r="C469" s="441"/>
      <c r="D469" s="442">
        <v>220075</v>
      </c>
      <c r="E469" s="443">
        <v>3</v>
      </c>
      <c r="F469" s="252">
        <v>420</v>
      </c>
      <c r="G469" s="253">
        <v>2705496</v>
      </c>
      <c r="H469" s="267">
        <v>422</v>
      </c>
      <c r="I469" s="268">
        <v>2754288</v>
      </c>
      <c r="J469" s="252">
        <v>393</v>
      </c>
      <c r="K469" s="253">
        <v>3468600</v>
      </c>
      <c r="L469" s="267">
        <v>392</v>
      </c>
      <c r="M469" s="268">
        <v>3588780</v>
      </c>
      <c r="N469" s="252"/>
      <c r="O469" s="253"/>
      <c r="P469" s="267"/>
      <c r="Q469" s="268"/>
      <c r="R469" s="252">
        <v>424</v>
      </c>
      <c r="S469" s="253">
        <v>1754544</v>
      </c>
      <c r="T469" s="267">
        <v>423</v>
      </c>
      <c r="U469" s="268">
        <v>1725888</v>
      </c>
      <c r="V469" s="252"/>
      <c r="W469" s="253"/>
      <c r="X469" s="267">
        <v>0</v>
      </c>
      <c r="Y469" s="268">
        <v>0</v>
      </c>
      <c r="Z469" s="252">
        <v>424</v>
      </c>
      <c r="AA469" s="253">
        <v>22596</v>
      </c>
      <c r="AB469" s="267">
        <v>423</v>
      </c>
      <c r="AC469" s="268">
        <v>22476</v>
      </c>
      <c r="AD469" s="252"/>
      <c r="AE469" s="253"/>
      <c r="AF469" s="267"/>
      <c r="AG469" s="268"/>
      <c r="AH469" s="252"/>
      <c r="AI469" s="253"/>
      <c r="AJ469" s="267"/>
      <c r="AK469" s="268"/>
      <c r="AL469" s="252">
        <v>315</v>
      </c>
      <c r="AM469" s="253">
        <v>177780</v>
      </c>
      <c r="AN469" s="267">
        <v>317</v>
      </c>
      <c r="AO469" s="268">
        <v>181800</v>
      </c>
      <c r="AP469" s="255">
        <f t="shared" si="72"/>
        <v>424</v>
      </c>
      <c r="AQ469" s="256">
        <f t="shared" si="73"/>
        <v>8129016</v>
      </c>
      <c r="AR469" s="257">
        <f t="shared" si="74"/>
        <v>423</v>
      </c>
      <c r="AS469" s="258">
        <f t="shared" si="75"/>
        <v>8273232</v>
      </c>
      <c r="AT469" s="259">
        <v>90</v>
      </c>
      <c r="AU469" s="253">
        <v>836724</v>
      </c>
      <c r="AV469" s="267">
        <v>94</v>
      </c>
      <c r="AW469" s="268">
        <v>942216</v>
      </c>
      <c r="AX469" s="252">
        <v>83</v>
      </c>
      <c r="AY469" s="253">
        <v>732672</v>
      </c>
      <c r="AZ469" s="267">
        <v>87</v>
      </c>
      <c r="BA469" s="268">
        <v>784416</v>
      </c>
      <c r="BB469" s="252"/>
      <c r="BC469" s="253"/>
      <c r="BD469" s="267"/>
      <c r="BE469" s="268"/>
      <c r="BF469" s="252">
        <v>91</v>
      </c>
      <c r="BG469" s="253">
        <v>542880</v>
      </c>
      <c r="BH469" s="267">
        <v>94</v>
      </c>
      <c r="BI469" s="268">
        <v>569556</v>
      </c>
      <c r="BJ469" s="252"/>
      <c r="BK469" s="253"/>
      <c r="BL469" s="267"/>
      <c r="BM469" s="268"/>
      <c r="BN469" s="252">
        <v>90</v>
      </c>
      <c r="BO469" s="253">
        <v>4872</v>
      </c>
      <c r="BP469" s="267">
        <v>94</v>
      </c>
      <c r="BQ469" s="268">
        <v>5040</v>
      </c>
      <c r="BR469" s="252"/>
      <c r="BS469" s="253"/>
      <c r="BT469" s="267"/>
      <c r="BU469" s="268"/>
      <c r="BV469" s="252"/>
      <c r="BW469" s="253"/>
      <c r="BX469" s="267"/>
      <c r="BY469" s="268"/>
      <c r="BZ469" s="252">
        <v>70</v>
      </c>
      <c r="CA469" s="253">
        <v>40800</v>
      </c>
      <c r="CB469" s="267">
        <v>76</v>
      </c>
      <c r="CC469" s="268">
        <v>44160</v>
      </c>
      <c r="CD469" s="255">
        <f t="shared" si="76"/>
        <v>91</v>
      </c>
      <c r="CE469" s="256">
        <f t="shared" si="77"/>
        <v>2157948</v>
      </c>
      <c r="CF469" s="257">
        <f t="shared" si="78"/>
        <v>94</v>
      </c>
      <c r="CG469" s="261">
        <f t="shared" si="79"/>
        <v>2345388</v>
      </c>
    </row>
    <row r="470" spans="1:85" s="263" customFormat="1" ht="12.75" customHeight="1">
      <c r="A470" s="440" t="s">
        <v>296</v>
      </c>
      <c r="B470" s="441" t="s">
        <v>300</v>
      </c>
      <c r="C470" s="441"/>
      <c r="D470" s="442">
        <v>220978</v>
      </c>
      <c r="E470" s="443">
        <v>3</v>
      </c>
      <c r="F470" s="252">
        <v>865</v>
      </c>
      <c r="G470" s="253">
        <v>6170940</v>
      </c>
      <c r="H470" s="267">
        <v>852</v>
      </c>
      <c r="I470" s="268">
        <v>5968644</v>
      </c>
      <c r="J470" s="252">
        <v>816</v>
      </c>
      <c r="K470" s="253">
        <v>7175784</v>
      </c>
      <c r="L470" s="267">
        <v>792</v>
      </c>
      <c r="M470" s="268">
        <v>7215108</v>
      </c>
      <c r="N470" s="252"/>
      <c r="O470" s="253"/>
      <c r="P470" s="267">
        <v>0</v>
      </c>
      <c r="Q470" s="268">
        <v>0</v>
      </c>
      <c r="R470" s="252">
        <v>865</v>
      </c>
      <c r="S470" s="253">
        <v>4066044</v>
      </c>
      <c r="T470" s="267">
        <v>852</v>
      </c>
      <c r="U470" s="268">
        <v>3867312</v>
      </c>
      <c r="V470" s="252">
        <v>865</v>
      </c>
      <c r="W470" s="253">
        <v>15996</v>
      </c>
      <c r="X470" s="267">
        <v>852</v>
      </c>
      <c r="Y470" s="268">
        <v>35076</v>
      </c>
      <c r="Z470" s="252">
        <v>865</v>
      </c>
      <c r="AA470" s="253">
        <v>46032</v>
      </c>
      <c r="AB470" s="267">
        <v>852</v>
      </c>
      <c r="AC470" s="268">
        <v>52800</v>
      </c>
      <c r="AD470" s="252"/>
      <c r="AE470" s="253"/>
      <c r="AF470" s="267"/>
      <c r="AG470" s="268"/>
      <c r="AH470" s="252"/>
      <c r="AI470" s="253"/>
      <c r="AJ470" s="267"/>
      <c r="AK470" s="268"/>
      <c r="AL470" s="252"/>
      <c r="AM470" s="253"/>
      <c r="AN470" s="267"/>
      <c r="AO470" s="268"/>
      <c r="AP470" s="255">
        <f t="shared" si="72"/>
        <v>865</v>
      </c>
      <c r="AQ470" s="256">
        <f t="shared" si="73"/>
        <v>17474796</v>
      </c>
      <c r="AR470" s="257">
        <f t="shared" si="74"/>
        <v>852</v>
      </c>
      <c r="AS470" s="258">
        <f t="shared" si="75"/>
        <v>17138940</v>
      </c>
      <c r="AT470" s="259">
        <v>3</v>
      </c>
      <c r="AU470" s="253">
        <v>17856</v>
      </c>
      <c r="AV470" s="267">
        <v>4</v>
      </c>
      <c r="AW470" s="268">
        <v>35580</v>
      </c>
      <c r="AX470" s="252">
        <v>3</v>
      </c>
      <c r="AY470" s="253">
        <v>29208</v>
      </c>
      <c r="AZ470" s="267">
        <v>4</v>
      </c>
      <c r="BA470" s="268">
        <v>35088</v>
      </c>
      <c r="BB470" s="252"/>
      <c r="BC470" s="253"/>
      <c r="BD470" s="267"/>
      <c r="BE470" s="268"/>
      <c r="BF470" s="252">
        <v>3</v>
      </c>
      <c r="BG470" s="253">
        <v>12396</v>
      </c>
      <c r="BH470" s="267">
        <v>4</v>
      </c>
      <c r="BI470" s="268">
        <v>23148</v>
      </c>
      <c r="BJ470" s="252"/>
      <c r="BK470" s="253"/>
      <c r="BL470" s="267"/>
      <c r="BM470" s="268"/>
      <c r="BN470" s="252">
        <v>3</v>
      </c>
      <c r="BO470" s="253">
        <v>168</v>
      </c>
      <c r="BP470" s="267">
        <v>4</v>
      </c>
      <c r="BQ470" s="268">
        <v>204</v>
      </c>
      <c r="BR470" s="252"/>
      <c r="BS470" s="253"/>
      <c r="BT470" s="267"/>
      <c r="BU470" s="268"/>
      <c r="BV470" s="252"/>
      <c r="BW470" s="253"/>
      <c r="BX470" s="267"/>
      <c r="BY470" s="268"/>
      <c r="BZ470" s="252"/>
      <c r="CA470" s="253"/>
      <c r="CB470" s="267"/>
      <c r="CC470" s="268"/>
      <c r="CD470" s="255">
        <f t="shared" si="76"/>
        <v>3</v>
      </c>
      <c r="CE470" s="256">
        <f t="shared" si="77"/>
        <v>59628</v>
      </c>
      <c r="CF470" s="257">
        <f t="shared" si="78"/>
        <v>4</v>
      </c>
      <c r="CG470" s="261">
        <f t="shared" si="79"/>
        <v>94020</v>
      </c>
    </row>
    <row r="471" spans="1:85" s="263" customFormat="1" ht="12.75" customHeight="1">
      <c r="A471" s="440" t="s">
        <v>296</v>
      </c>
      <c r="B471" s="441" t="s">
        <v>301</v>
      </c>
      <c r="C471" s="505" t="s">
        <v>1266</v>
      </c>
      <c r="D471" s="442">
        <v>221838</v>
      </c>
      <c r="E471" s="443">
        <v>3</v>
      </c>
      <c r="F471" s="252">
        <v>285</v>
      </c>
      <c r="G471" s="253">
        <v>2221622</v>
      </c>
      <c r="H471" s="267">
        <v>316</v>
      </c>
      <c r="I471" s="268">
        <v>2147652</v>
      </c>
      <c r="J471" s="252">
        <v>270</v>
      </c>
      <c r="K471" s="253">
        <v>2378532</v>
      </c>
      <c r="L471" s="267">
        <v>300</v>
      </c>
      <c r="M471" s="268">
        <v>2741664</v>
      </c>
      <c r="N471" s="252"/>
      <c r="O471" s="253"/>
      <c r="P471" s="267">
        <v>0</v>
      </c>
      <c r="Q471" s="268">
        <v>0</v>
      </c>
      <c r="R471" s="252">
        <v>289</v>
      </c>
      <c r="S471" s="253">
        <v>1458895</v>
      </c>
      <c r="T471" s="267">
        <v>322</v>
      </c>
      <c r="U471" s="268">
        <v>1427232</v>
      </c>
      <c r="V471" s="252"/>
      <c r="W471" s="253"/>
      <c r="X471" s="267">
        <v>0</v>
      </c>
      <c r="Y471" s="268">
        <v>0</v>
      </c>
      <c r="Z471" s="252">
        <v>274</v>
      </c>
      <c r="AA471" s="253">
        <v>17289</v>
      </c>
      <c r="AB471" s="267">
        <v>305</v>
      </c>
      <c r="AC471" s="268">
        <v>15720</v>
      </c>
      <c r="AD471" s="252"/>
      <c r="AE471" s="253"/>
      <c r="AF471" s="267">
        <v>0</v>
      </c>
      <c r="AG471" s="268">
        <v>0</v>
      </c>
      <c r="AH471" s="252"/>
      <c r="AI471" s="253"/>
      <c r="AJ471" s="267">
        <v>0</v>
      </c>
      <c r="AK471" s="268">
        <v>0</v>
      </c>
      <c r="AL471" s="252">
        <v>142</v>
      </c>
      <c r="AM471" s="253">
        <v>78453</v>
      </c>
      <c r="AN471" s="267">
        <v>161</v>
      </c>
      <c r="AO471" s="268">
        <v>93540</v>
      </c>
      <c r="AP471" s="255">
        <f t="shared" si="72"/>
        <v>289</v>
      </c>
      <c r="AQ471" s="256">
        <f t="shared" si="73"/>
        <v>6154791</v>
      </c>
      <c r="AR471" s="257">
        <f t="shared" si="74"/>
        <v>322</v>
      </c>
      <c r="AS471" s="258">
        <f t="shared" si="75"/>
        <v>6425808</v>
      </c>
      <c r="AT471" s="259">
        <v>70</v>
      </c>
      <c r="AU471" s="253">
        <v>558784</v>
      </c>
      <c r="AV471" s="267">
        <v>73</v>
      </c>
      <c r="AW471" s="268">
        <v>549312</v>
      </c>
      <c r="AX471" s="252">
        <v>63</v>
      </c>
      <c r="AY471" s="253">
        <v>563586</v>
      </c>
      <c r="AZ471" s="267">
        <v>66</v>
      </c>
      <c r="BA471" s="268">
        <v>624024</v>
      </c>
      <c r="BB471" s="252"/>
      <c r="BC471" s="253"/>
      <c r="BD471" s="267">
        <v>0</v>
      </c>
      <c r="BE471" s="268">
        <v>0</v>
      </c>
      <c r="BF471" s="252">
        <v>69</v>
      </c>
      <c r="BG471" s="253">
        <v>347603</v>
      </c>
      <c r="BH471" s="267">
        <v>73</v>
      </c>
      <c r="BI471" s="268">
        <v>349332</v>
      </c>
      <c r="BJ471" s="252"/>
      <c r="BK471" s="253"/>
      <c r="BL471" s="267">
        <v>0</v>
      </c>
      <c r="BM471" s="268">
        <v>0</v>
      </c>
      <c r="BN471" s="252">
        <v>68</v>
      </c>
      <c r="BO471" s="253">
        <v>4845</v>
      </c>
      <c r="BP471" s="267">
        <v>68</v>
      </c>
      <c r="BQ471" s="268">
        <v>3552</v>
      </c>
      <c r="BR471" s="252"/>
      <c r="BS471" s="253"/>
      <c r="BT471" s="267">
        <v>0</v>
      </c>
      <c r="BU471" s="268">
        <v>0</v>
      </c>
      <c r="BV471" s="252"/>
      <c r="BW471" s="253"/>
      <c r="BX471" s="267">
        <v>0</v>
      </c>
      <c r="BY471" s="268">
        <v>0</v>
      </c>
      <c r="BZ471" s="252">
        <v>45</v>
      </c>
      <c r="CA471" s="253">
        <v>24430</v>
      </c>
      <c r="CB471" s="267">
        <v>48</v>
      </c>
      <c r="CC471" s="268">
        <v>1554060</v>
      </c>
      <c r="CD471" s="255">
        <f t="shared" si="76"/>
        <v>70</v>
      </c>
      <c r="CE471" s="256">
        <f t="shared" si="77"/>
        <v>1499248</v>
      </c>
      <c r="CF471" s="257">
        <f t="shared" si="78"/>
        <v>73</v>
      </c>
      <c r="CG471" s="261">
        <f t="shared" si="79"/>
        <v>3080280</v>
      </c>
    </row>
    <row r="472" spans="1:85" s="263" customFormat="1" ht="12.75" customHeight="1">
      <c r="A472" s="440" t="s">
        <v>296</v>
      </c>
      <c r="B472" s="441" t="s">
        <v>304</v>
      </c>
      <c r="C472" s="441"/>
      <c r="D472" s="442">
        <v>221847</v>
      </c>
      <c r="E472" s="443">
        <v>3</v>
      </c>
      <c r="F472" s="252">
        <v>354</v>
      </c>
      <c r="G472" s="253">
        <v>2555340</v>
      </c>
      <c r="H472" s="267">
        <v>361</v>
      </c>
      <c r="I472" s="268">
        <v>2680248</v>
      </c>
      <c r="J472" s="252">
        <v>344</v>
      </c>
      <c r="K472" s="253">
        <v>3124116</v>
      </c>
      <c r="L472" s="267">
        <v>342</v>
      </c>
      <c r="M472" s="268">
        <v>3240288</v>
      </c>
      <c r="N472" s="252"/>
      <c r="O472" s="253"/>
      <c r="P472" s="267">
        <v>0</v>
      </c>
      <c r="Q472" s="268">
        <v>0</v>
      </c>
      <c r="R472" s="252">
        <v>354</v>
      </c>
      <c r="S472" s="253">
        <v>1668012</v>
      </c>
      <c r="T472" s="267">
        <v>356</v>
      </c>
      <c r="U472" s="268">
        <v>1649040</v>
      </c>
      <c r="V472" s="252"/>
      <c r="W472" s="253"/>
      <c r="X472" s="267">
        <v>0</v>
      </c>
      <c r="Y472" s="268">
        <v>0</v>
      </c>
      <c r="Z472" s="252">
        <v>354</v>
      </c>
      <c r="AA472" s="253">
        <v>18900</v>
      </c>
      <c r="AB472" s="267">
        <v>359</v>
      </c>
      <c r="AC472" s="268">
        <v>19140</v>
      </c>
      <c r="AD472" s="252"/>
      <c r="AE472" s="253"/>
      <c r="AF472" s="267">
        <v>0</v>
      </c>
      <c r="AG472" s="268">
        <v>0</v>
      </c>
      <c r="AH472" s="252">
        <v>39</v>
      </c>
      <c r="AI472" s="253">
        <v>131693</v>
      </c>
      <c r="AJ472" s="267">
        <v>55</v>
      </c>
      <c r="AK472" s="268">
        <v>147923</v>
      </c>
      <c r="AL472" s="252">
        <v>276</v>
      </c>
      <c r="AM472" s="253">
        <v>158820</v>
      </c>
      <c r="AN472" s="267">
        <v>279</v>
      </c>
      <c r="AO472" s="268">
        <v>160140</v>
      </c>
      <c r="AP472" s="255">
        <f t="shared" si="72"/>
        <v>354</v>
      </c>
      <c r="AQ472" s="256">
        <f t="shared" si="73"/>
        <v>7656881</v>
      </c>
      <c r="AR472" s="257">
        <f t="shared" si="74"/>
        <v>361</v>
      </c>
      <c r="AS472" s="258">
        <f t="shared" si="75"/>
        <v>7896779</v>
      </c>
      <c r="AT472" s="259">
        <v>16</v>
      </c>
      <c r="AU472" s="253">
        <v>117624</v>
      </c>
      <c r="AV472" s="267">
        <v>19</v>
      </c>
      <c r="AW472" s="268">
        <v>141684</v>
      </c>
      <c r="AX472" s="252">
        <v>12</v>
      </c>
      <c r="AY472" s="253">
        <v>104664</v>
      </c>
      <c r="AZ472" s="267">
        <v>15</v>
      </c>
      <c r="BA472" s="268">
        <v>115296</v>
      </c>
      <c r="BB472" s="252"/>
      <c r="BC472" s="253"/>
      <c r="BD472" s="267">
        <v>0</v>
      </c>
      <c r="BE472" s="268">
        <v>0</v>
      </c>
      <c r="BF472" s="252">
        <v>16</v>
      </c>
      <c r="BG472" s="253">
        <v>77436</v>
      </c>
      <c r="BH472" s="267">
        <v>18</v>
      </c>
      <c r="BI472" s="268">
        <v>79968</v>
      </c>
      <c r="BJ472" s="252"/>
      <c r="BK472" s="253"/>
      <c r="BL472" s="267">
        <v>0</v>
      </c>
      <c r="BM472" s="268">
        <v>0</v>
      </c>
      <c r="BN472" s="252">
        <v>15</v>
      </c>
      <c r="BO472" s="253">
        <v>768</v>
      </c>
      <c r="BP472" s="267">
        <v>18</v>
      </c>
      <c r="BQ472" s="268">
        <v>912</v>
      </c>
      <c r="BR472" s="252"/>
      <c r="BS472" s="253"/>
      <c r="BT472" s="267">
        <v>0</v>
      </c>
      <c r="BU472" s="268">
        <v>0</v>
      </c>
      <c r="BV472" s="252">
        <v>1</v>
      </c>
      <c r="BW472" s="253">
        <v>762</v>
      </c>
      <c r="BX472" s="267">
        <v>2</v>
      </c>
      <c r="BY472" s="268">
        <v>3180</v>
      </c>
      <c r="BZ472" s="252">
        <v>13</v>
      </c>
      <c r="CA472" s="253">
        <v>7680</v>
      </c>
      <c r="CB472" s="267">
        <v>14</v>
      </c>
      <c r="CC472" s="268">
        <v>8040</v>
      </c>
      <c r="CD472" s="255">
        <f t="shared" si="76"/>
        <v>16</v>
      </c>
      <c r="CE472" s="256">
        <f t="shared" si="77"/>
        <v>308934</v>
      </c>
      <c r="CF472" s="257">
        <f t="shared" si="78"/>
        <v>19</v>
      </c>
      <c r="CG472" s="261">
        <f t="shared" si="79"/>
        <v>349080</v>
      </c>
    </row>
    <row r="473" spans="1:85" s="263" customFormat="1" ht="12.75" customHeight="1">
      <c r="A473" s="440" t="s">
        <v>296</v>
      </c>
      <c r="B473" s="441" t="s">
        <v>302</v>
      </c>
      <c r="C473" s="441"/>
      <c r="D473" s="442">
        <v>221740</v>
      </c>
      <c r="E473" s="443">
        <v>3</v>
      </c>
      <c r="F473" s="252">
        <v>355</v>
      </c>
      <c r="G473" s="253">
        <v>2797550</v>
      </c>
      <c r="H473" s="267">
        <v>382</v>
      </c>
      <c r="I473" s="268">
        <v>3052319</v>
      </c>
      <c r="J473" s="252">
        <v>327</v>
      </c>
      <c r="K473" s="253">
        <v>3148009</v>
      </c>
      <c r="L473" s="267">
        <v>385</v>
      </c>
      <c r="M473" s="268">
        <v>3514281</v>
      </c>
      <c r="N473" s="252"/>
      <c r="O473" s="253"/>
      <c r="P473" s="267">
        <v>0</v>
      </c>
      <c r="Q473" s="268">
        <v>0</v>
      </c>
      <c r="R473" s="252">
        <v>359</v>
      </c>
      <c r="S473" s="253">
        <v>1369726</v>
      </c>
      <c r="T473" s="267">
        <v>385</v>
      </c>
      <c r="U473" s="268">
        <v>1471261</v>
      </c>
      <c r="V473" s="252">
        <v>359</v>
      </c>
      <c r="W473" s="253">
        <v>9277</v>
      </c>
      <c r="X473" s="267">
        <v>385</v>
      </c>
      <c r="Y473" s="268">
        <v>11835</v>
      </c>
      <c r="Z473" s="252">
        <v>357</v>
      </c>
      <c r="AA473" s="253">
        <v>19979</v>
      </c>
      <c r="AB473" s="267">
        <v>384</v>
      </c>
      <c r="AC473" s="268">
        <v>21654</v>
      </c>
      <c r="AD473" s="252">
        <v>359</v>
      </c>
      <c r="AE473" s="253">
        <v>55911</v>
      </c>
      <c r="AF473" s="267">
        <v>385</v>
      </c>
      <c r="AG473" s="268">
        <v>47945</v>
      </c>
      <c r="AH473" s="252"/>
      <c r="AI473" s="253"/>
      <c r="AJ473" s="267">
        <v>0</v>
      </c>
      <c r="AK473" s="268">
        <v>0</v>
      </c>
      <c r="AL473" s="252"/>
      <c r="AM473" s="253"/>
      <c r="AN473" s="267">
        <v>0</v>
      </c>
      <c r="AO473" s="268">
        <v>0</v>
      </c>
      <c r="AP473" s="255">
        <f t="shared" ref="AP473:AP536" si="80">MAX(AL473,AH473,AD473,Z473,V473,R473,N473,J473,F473)</f>
        <v>359</v>
      </c>
      <c r="AQ473" s="256">
        <f t="shared" ref="AQ473:AQ536" si="81">SUM(AM473,AI473,AE473,AA473,W473,S473,O473,K473,G473)</f>
        <v>7400452</v>
      </c>
      <c r="AR473" s="257">
        <f t="shared" ref="AR473:AR536" si="82">MAX(AN473,AJ473,AF473,AB473,X473,T473,P473,L473,H473)</f>
        <v>385</v>
      </c>
      <c r="AS473" s="258">
        <f t="shared" ref="AS473:AS536" si="83">SUM(AO473,AK473,AG473,AC473,Y473,U473,Q473,M473,I473)</f>
        <v>8119295</v>
      </c>
      <c r="AT473" s="259">
        <v>31</v>
      </c>
      <c r="AU473" s="253">
        <v>297145</v>
      </c>
      <c r="AV473" s="267">
        <v>65</v>
      </c>
      <c r="AW473" s="268">
        <v>777774</v>
      </c>
      <c r="AX473" s="252">
        <v>27</v>
      </c>
      <c r="AY473" s="253">
        <v>293459</v>
      </c>
      <c r="AZ473" s="267">
        <v>65</v>
      </c>
      <c r="BA473" s="268">
        <v>736826</v>
      </c>
      <c r="BB473" s="252"/>
      <c r="BC473" s="253"/>
      <c r="BD473" s="267">
        <v>0</v>
      </c>
      <c r="BE473" s="268">
        <v>0</v>
      </c>
      <c r="BF473" s="252">
        <v>32</v>
      </c>
      <c r="BG473" s="253">
        <v>138883</v>
      </c>
      <c r="BH473" s="267">
        <v>65</v>
      </c>
      <c r="BI473" s="268">
        <v>329793</v>
      </c>
      <c r="BJ473" s="252">
        <v>32</v>
      </c>
      <c r="BK473" s="253">
        <v>827</v>
      </c>
      <c r="BL473" s="267">
        <v>65</v>
      </c>
      <c r="BM473" s="268">
        <v>1996</v>
      </c>
      <c r="BN473" s="252">
        <v>31</v>
      </c>
      <c r="BO473" s="253">
        <v>1758</v>
      </c>
      <c r="BP473" s="267">
        <v>64</v>
      </c>
      <c r="BQ473" s="268">
        <v>3594</v>
      </c>
      <c r="BR473" s="252">
        <v>32</v>
      </c>
      <c r="BS473" s="253">
        <v>6532</v>
      </c>
      <c r="BT473" s="267">
        <v>65</v>
      </c>
      <c r="BU473" s="268">
        <v>11732</v>
      </c>
      <c r="BV473" s="252"/>
      <c r="BW473" s="253"/>
      <c r="BX473" s="267">
        <v>0</v>
      </c>
      <c r="BY473" s="268">
        <v>0</v>
      </c>
      <c r="BZ473" s="252"/>
      <c r="CA473" s="253"/>
      <c r="CB473" s="267">
        <v>0</v>
      </c>
      <c r="CC473" s="268">
        <v>0</v>
      </c>
      <c r="CD473" s="255">
        <f t="shared" ref="CD473:CD536" si="84">MAX(BZ473,BV473,BR473,BN473,BJ473,BF473,BB473,AX473,AT473)</f>
        <v>32</v>
      </c>
      <c r="CE473" s="256">
        <f t="shared" ref="CE473:CE536" si="85">SUM(CA473,BW473,BS473,BO473,BK473,BG473,BC473,AY473,AU473)</f>
        <v>738604</v>
      </c>
      <c r="CF473" s="257">
        <f t="shared" ref="CF473:CF536" si="86">MAX(CB473,BX473,BT473,BP473,BL473,BH473,BD473,AZ473,AV473)</f>
        <v>65</v>
      </c>
      <c r="CG473" s="261">
        <f t="shared" ref="CG473:CG536" si="87">SUM(CC473,BY473,BU473,BQ473,BM473,BI473,BE473,BA473,AW473)</f>
        <v>1861715</v>
      </c>
    </row>
    <row r="474" spans="1:85" s="263" customFormat="1" ht="12.75" customHeight="1">
      <c r="A474" s="440" t="s">
        <v>296</v>
      </c>
      <c r="B474" s="527" t="s">
        <v>303</v>
      </c>
      <c r="C474" s="528" t="s">
        <v>1229</v>
      </c>
      <c r="D474" s="442">
        <v>219602</v>
      </c>
      <c r="E474" s="529">
        <v>3</v>
      </c>
      <c r="F474" s="252">
        <v>310</v>
      </c>
      <c r="G474" s="253">
        <v>1889404</v>
      </c>
      <c r="H474" s="267">
        <f>241+85</f>
        <v>326</v>
      </c>
      <c r="I474" s="268">
        <f>1344346+728276</f>
        <v>2072622</v>
      </c>
      <c r="J474" s="252">
        <v>270</v>
      </c>
      <c r="K474" s="253">
        <v>2382937</v>
      </c>
      <c r="L474" s="267">
        <v>286</v>
      </c>
      <c r="M474" s="268">
        <v>2592358</v>
      </c>
      <c r="N474" s="252"/>
      <c r="O474" s="253"/>
      <c r="P474" s="267">
        <v>0</v>
      </c>
      <c r="Q474" s="268">
        <v>0</v>
      </c>
      <c r="R474" s="252">
        <v>309</v>
      </c>
      <c r="S474" s="253">
        <v>1272832</v>
      </c>
      <c r="T474" s="267">
        <v>323</v>
      </c>
      <c r="U474" s="268">
        <v>1330357</v>
      </c>
      <c r="V474" s="252"/>
      <c r="W474" s="253"/>
      <c r="X474" s="267">
        <v>0</v>
      </c>
      <c r="Y474" s="268">
        <v>0</v>
      </c>
      <c r="Z474" s="252">
        <v>310</v>
      </c>
      <c r="AA474" s="253">
        <v>17684</v>
      </c>
      <c r="AB474" s="267">
        <v>326</v>
      </c>
      <c r="AC474" s="268">
        <v>18507</v>
      </c>
      <c r="AD474" s="252"/>
      <c r="AE474" s="253"/>
      <c r="AF474" s="267">
        <v>0</v>
      </c>
      <c r="AG474" s="268">
        <v>0</v>
      </c>
      <c r="AH474" s="252"/>
      <c r="AI474" s="253"/>
      <c r="AJ474" s="267">
        <v>0</v>
      </c>
      <c r="AK474" s="268">
        <v>0</v>
      </c>
      <c r="AL474" s="252">
        <v>228</v>
      </c>
      <c r="AM474" s="253">
        <v>131940</v>
      </c>
      <c r="AN474" s="267">
        <v>248</v>
      </c>
      <c r="AO474" s="268">
        <v>143100</v>
      </c>
      <c r="AP474" s="255">
        <f t="shared" si="80"/>
        <v>310</v>
      </c>
      <c r="AQ474" s="256">
        <f t="shared" si="81"/>
        <v>5694797</v>
      </c>
      <c r="AR474" s="257">
        <f t="shared" si="82"/>
        <v>326</v>
      </c>
      <c r="AS474" s="258">
        <f t="shared" si="83"/>
        <v>6156944</v>
      </c>
      <c r="AT474" s="259"/>
      <c r="AU474" s="253"/>
      <c r="AV474" s="267">
        <v>1</v>
      </c>
      <c r="AW474" s="268">
        <v>7500</v>
      </c>
      <c r="AX474" s="252"/>
      <c r="AY474" s="253"/>
      <c r="AZ474" s="267">
        <v>1</v>
      </c>
      <c r="BA474" s="268">
        <v>12532</v>
      </c>
      <c r="BB474" s="252"/>
      <c r="BC474" s="253"/>
      <c r="BD474" s="267">
        <v>0</v>
      </c>
      <c r="BE474" s="268">
        <v>0</v>
      </c>
      <c r="BF474" s="252"/>
      <c r="BG474" s="253"/>
      <c r="BH474" s="267">
        <v>1</v>
      </c>
      <c r="BI474" s="268">
        <v>5501</v>
      </c>
      <c r="BJ474" s="252"/>
      <c r="BK474" s="253"/>
      <c r="BL474" s="267">
        <v>0</v>
      </c>
      <c r="BM474" s="268">
        <v>0</v>
      </c>
      <c r="BN474" s="252"/>
      <c r="BO474" s="253"/>
      <c r="BP474" s="267">
        <v>1</v>
      </c>
      <c r="BQ474" s="268">
        <v>65</v>
      </c>
      <c r="BR474" s="252"/>
      <c r="BS474" s="253"/>
      <c r="BT474" s="267">
        <v>0</v>
      </c>
      <c r="BU474" s="268">
        <v>0</v>
      </c>
      <c r="BV474" s="252"/>
      <c r="BW474" s="253"/>
      <c r="BX474" s="267">
        <v>0</v>
      </c>
      <c r="BY474" s="268">
        <v>0</v>
      </c>
      <c r="BZ474" s="252"/>
      <c r="CA474" s="253"/>
      <c r="CB474" s="267">
        <v>1</v>
      </c>
      <c r="CC474" s="268">
        <v>600</v>
      </c>
      <c r="CD474" s="255">
        <f t="shared" si="84"/>
        <v>0</v>
      </c>
      <c r="CE474" s="256">
        <f t="shared" si="85"/>
        <v>0</v>
      </c>
      <c r="CF474" s="257">
        <f t="shared" si="86"/>
        <v>1</v>
      </c>
      <c r="CG474" s="261">
        <f t="shared" si="87"/>
        <v>26198</v>
      </c>
    </row>
    <row r="475" spans="1:85" s="263" customFormat="1" ht="12.75" customHeight="1">
      <c r="A475" s="440" t="s">
        <v>296</v>
      </c>
      <c r="B475" s="441" t="s">
        <v>305</v>
      </c>
      <c r="C475" s="441"/>
      <c r="D475" s="442">
        <v>221768</v>
      </c>
      <c r="E475" s="443">
        <v>5</v>
      </c>
      <c r="F475" s="252">
        <v>242</v>
      </c>
      <c r="G475" s="253">
        <v>1796838</v>
      </c>
      <c r="H475" s="267">
        <v>250</v>
      </c>
      <c r="I475" s="268">
        <v>1693915</v>
      </c>
      <c r="J475" s="252">
        <v>232</v>
      </c>
      <c r="K475" s="253">
        <v>2017860</v>
      </c>
      <c r="L475" s="267">
        <v>243</v>
      </c>
      <c r="M475" s="268">
        <v>2153600</v>
      </c>
      <c r="N475" s="252"/>
      <c r="O475" s="253"/>
      <c r="P475" s="267">
        <v>0</v>
      </c>
      <c r="Q475" s="268">
        <v>0</v>
      </c>
      <c r="R475" s="252">
        <v>245</v>
      </c>
      <c r="S475" s="253">
        <v>1048582</v>
      </c>
      <c r="T475" s="267">
        <v>250</v>
      </c>
      <c r="U475" s="268">
        <v>1086971</v>
      </c>
      <c r="V475" s="252">
        <v>245</v>
      </c>
      <c r="W475" s="253">
        <v>7039</v>
      </c>
      <c r="X475" s="267">
        <v>250</v>
      </c>
      <c r="Y475" s="268">
        <v>4191</v>
      </c>
      <c r="Z475" s="252">
        <v>241</v>
      </c>
      <c r="AA475" s="253">
        <v>13936</v>
      </c>
      <c r="AB475" s="267">
        <v>243</v>
      </c>
      <c r="AC475" s="268">
        <v>14128</v>
      </c>
      <c r="AD475" s="252">
        <v>245</v>
      </c>
      <c r="AE475" s="253">
        <v>34269</v>
      </c>
      <c r="AF475" s="267">
        <v>250</v>
      </c>
      <c r="AG475" s="268">
        <v>28508</v>
      </c>
      <c r="AH475" s="252">
        <v>14</v>
      </c>
      <c r="AI475" s="253">
        <v>38460</v>
      </c>
      <c r="AJ475" s="267">
        <v>20</v>
      </c>
      <c r="AK475" s="268">
        <v>41637</v>
      </c>
      <c r="AL475" s="252"/>
      <c r="AM475" s="253"/>
      <c r="AN475" s="267">
        <v>0</v>
      </c>
      <c r="AO475" s="268">
        <v>0</v>
      </c>
      <c r="AP475" s="255">
        <f t="shared" si="80"/>
        <v>245</v>
      </c>
      <c r="AQ475" s="256">
        <f t="shared" si="81"/>
        <v>4956984</v>
      </c>
      <c r="AR475" s="257">
        <f t="shared" si="82"/>
        <v>250</v>
      </c>
      <c r="AS475" s="258">
        <f t="shared" si="83"/>
        <v>5022950</v>
      </c>
      <c r="AT475" s="259">
        <v>29</v>
      </c>
      <c r="AU475" s="253">
        <v>272325</v>
      </c>
      <c r="AV475" s="267">
        <v>23</v>
      </c>
      <c r="AW475" s="268">
        <v>233257</v>
      </c>
      <c r="AX475" s="252">
        <v>29</v>
      </c>
      <c r="AY475" s="253">
        <v>272580</v>
      </c>
      <c r="AZ475" s="267">
        <v>23</v>
      </c>
      <c r="BA475" s="268">
        <v>268227</v>
      </c>
      <c r="BB475" s="252"/>
      <c r="BC475" s="253"/>
      <c r="BD475" s="267">
        <v>0</v>
      </c>
      <c r="BE475" s="268">
        <v>0</v>
      </c>
      <c r="BF475" s="252">
        <v>29</v>
      </c>
      <c r="BG475" s="253">
        <v>173709</v>
      </c>
      <c r="BH475" s="267">
        <v>26</v>
      </c>
      <c r="BI475" s="268">
        <v>153877</v>
      </c>
      <c r="BJ475" s="252">
        <v>29</v>
      </c>
      <c r="BK475" s="253">
        <v>833</v>
      </c>
      <c r="BL475" s="267">
        <v>26</v>
      </c>
      <c r="BM475" s="268">
        <v>436</v>
      </c>
      <c r="BN475" s="252">
        <v>29</v>
      </c>
      <c r="BO475" s="253">
        <v>1696</v>
      </c>
      <c r="BP475" s="267">
        <v>23</v>
      </c>
      <c r="BQ475" s="268">
        <v>1558</v>
      </c>
      <c r="BR475" s="252">
        <v>29</v>
      </c>
      <c r="BS475" s="253">
        <v>5985</v>
      </c>
      <c r="BT475" s="267">
        <v>26</v>
      </c>
      <c r="BU475" s="268">
        <v>4201</v>
      </c>
      <c r="BV475" s="252">
        <v>1</v>
      </c>
      <c r="BW475" s="253">
        <v>1182</v>
      </c>
      <c r="BX475" s="267">
        <v>2</v>
      </c>
      <c r="BY475" s="268">
        <v>5132</v>
      </c>
      <c r="BZ475" s="252"/>
      <c r="CA475" s="253"/>
      <c r="CB475" s="267">
        <v>0</v>
      </c>
      <c r="CC475" s="268">
        <v>0</v>
      </c>
      <c r="CD475" s="255">
        <f t="shared" si="84"/>
        <v>29</v>
      </c>
      <c r="CE475" s="256">
        <f t="shared" si="85"/>
        <v>728310</v>
      </c>
      <c r="CF475" s="257">
        <f t="shared" si="86"/>
        <v>26</v>
      </c>
      <c r="CG475" s="261">
        <f t="shared" si="87"/>
        <v>666688</v>
      </c>
    </row>
    <row r="476" spans="1:85" s="263" customFormat="1" ht="12.75" customHeight="1">
      <c r="A476" s="440" t="s">
        <v>296</v>
      </c>
      <c r="B476" s="441" t="s">
        <v>306</v>
      </c>
      <c r="C476" s="441"/>
      <c r="D476" s="442">
        <v>219824</v>
      </c>
      <c r="E476" s="443">
        <v>8</v>
      </c>
      <c r="F476" s="252">
        <v>151</v>
      </c>
      <c r="G476" s="253">
        <v>870739</v>
      </c>
      <c r="H476" s="267">
        <v>154</v>
      </c>
      <c r="I476" s="268">
        <v>898866</v>
      </c>
      <c r="J476" s="252">
        <v>134</v>
      </c>
      <c r="K476" s="253">
        <v>1188355</v>
      </c>
      <c r="L476" s="267">
        <v>129</v>
      </c>
      <c r="M476" s="268">
        <v>1030758</v>
      </c>
      <c r="N476" s="252"/>
      <c r="O476" s="253"/>
      <c r="P476" s="267">
        <v>0</v>
      </c>
      <c r="Q476" s="268">
        <v>0</v>
      </c>
      <c r="R476" s="252">
        <v>151</v>
      </c>
      <c r="S476" s="253">
        <v>586783</v>
      </c>
      <c r="T476" s="267">
        <v>153</v>
      </c>
      <c r="U476" s="268">
        <v>604859</v>
      </c>
      <c r="V476" s="252"/>
      <c r="W476" s="253"/>
      <c r="X476" s="267">
        <v>0</v>
      </c>
      <c r="Y476" s="268">
        <v>0</v>
      </c>
      <c r="Z476" s="252">
        <v>150</v>
      </c>
      <c r="AA476" s="253">
        <v>8244</v>
      </c>
      <c r="AB476" s="267">
        <v>152</v>
      </c>
      <c r="AC476" s="268">
        <v>8369</v>
      </c>
      <c r="AD476" s="252"/>
      <c r="AE476" s="253"/>
      <c r="AF476" s="267">
        <v>0</v>
      </c>
      <c r="AG476" s="268">
        <v>0</v>
      </c>
      <c r="AH476" s="252"/>
      <c r="AI476" s="253"/>
      <c r="AJ476" s="267">
        <v>0</v>
      </c>
      <c r="AK476" s="268">
        <v>0</v>
      </c>
      <c r="AL476" s="252">
        <v>130</v>
      </c>
      <c r="AM476" s="253">
        <v>70660</v>
      </c>
      <c r="AN476" s="267">
        <v>133</v>
      </c>
      <c r="AO476" s="268">
        <v>72440</v>
      </c>
      <c r="AP476" s="255">
        <f t="shared" si="80"/>
        <v>151</v>
      </c>
      <c r="AQ476" s="256">
        <f t="shared" si="81"/>
        <v>2724781</v>
      </c>
      <c r="AR476" s="257">
        <f t="shared" si="82"/>
        <v>154</v>
      </c>
      <c r="AS476" s="258">
        <f t="shared" si="83"/>
        <v>2615292</v>
      </c>
      <c r="AT476" s="259">
        <v>63</v>
      </c>
      <c r="AU476" s="253">
        <v>385614</v>
      </c>
      <c r="AV476" s="267">
        <v>72</v>
      </c>
      <c r="AW476" s="268">
        <v>432559</v>
      </c>
      <c r="AX476" s="252">
        <v>58</v>
      </c>
      <c r="AY476" s="253">
        <v>502443</v>
      </c>
      <c r="AZ476" s="267">
        <v>66</v>
      </c>
      <c r="BA476" s="268">
        <v>491583</v>
      </c>
      <c r="BB476" s="252"/>
      <c r="BC476" s="253"/>
      <c r="BD476" s="267">
        <v>0</v>
      </c>
      <c r="BE476" s="268">
        <v>0</v>
      </c>
      <c r="BF476" s="252">
        <v>63</v>
      </c>
      <c r="BG476" s="253">
        <v>254843</v>
      </c>
      <c r="BH476" s="267">
        <v>71</v>
      </c>
      <c r="BI476" s="268">
        <v>276389</v>
      </c>
      <c r="BJ476" s="252"/>
      <c r="BK476" s="253"/>
      <c r="BL476" s="267">
        <v>0</v>
      </c>
      <c r="BM476" s="268">
        <v>0</v>
      </c>
      <c r="BN476" s="252">
        <v>63</v>
      </c>
      <c r="BO476" s="253">
        <v>3533</v>
      </c>
      <c r="BP476" s="267">
        <v>71</v>
      </c>
      <c r="BQ476" s="268">
        <v>3814</v>
      </c>
      <c r="BR476" s="252"/>
      <c r="BS476" s="253"/>
      <c r="BT476" s="267">
        <v>0</v>
      </c>
      <c r="BU476" s="268">
        <v>0</v>
      </c>
      <c r="BV476" s="252"/>
      <c r="BW476" s="253"/>
      <c r="BX476" s="267">
        <v>0</v>
      </c>
      <c r="BY476" s="268">
        <v>0</v>
      </c>
      <c r="BZ476" s="252">
        <v>54</v>
      </c>
      <c r="CA476" s="253">
        <v>30340</v>
      </c>
      <c r="CB476" s="267">
        <v>60</v>
      </c>
      <c r="CC476" s="268">
        <v>32440</v>
      </c>
      <c r="CD476" s="255">
        <f t="shared" si="84"/>
        <v>63</v>
      </c>
      <c r="CE476" s="256">
        <f t="shared" si="85"/>
        <v>1176773</v>
      </c>
      <c r="CF476" s="257">
        <f t="shared" si="86"/>
        <v>72</v>
      </c>
      <c r="CG476" s="261">
        <f t="shared" si="87"/>
        <v>1236785</v>
      </c>
    </row>
    <row r="477" spans="1:85" s="263" customFormat="1" ht="12.75" customHeight="1">
      <c r="A477" s="440" t="s">
        <v>296</v>
      </c>
      <c r="B477" s="441" t="s">
        <v>307</v>
      </c>
      <c r="C477" s="441"/>
      <c r="D477" s="442">
        <v>221643</v>
      </c>
      <c r="E477" s="443">
        <v>8</v>
      </c>
      <c r="F477" s="252">
        <v>180</v>
      </c>
      <c r="G477" s="253">
        <v>981996</v>
      </c>
      <c r="H477" s="267">
        <v>189</v>
      </c>
      <c r="I477" s="268">
        <v>1055760</v>
      </c>
      <c r="J477" s="252">
        <v>158</v>
      </c>
      <c r="K477" s="253">
        <v>1414248</v>
      </c>
      <c r="L477" s="267">
        <v>167</v>
      </c>
      <c r="M477" s="268">
        <v>1541280</v>
      </c>
      <c r="N477" s="252"/>
      <c r="O477" s="253"/>
      <c r="P477" s="267">
        <v>0</v>
      </c>
      <c r="Q477" s="268">
        <v>0</v>
      </c>
      <c r="R477" s="252">
        <v>180</v>
      </c>
      <c r="S477" s="253">
        <v>670164</v>
      </c>
      <c r="T477" s="267">
        <v>189</v>
      </c>
      <c r="U477" s="268">
        <v>684888</v>
      </c>
      <c r="V477" s="252">
        <v>180</v>
      </c>
      <c r="W477" s="253">
        <v>11808</v>
      </c>
      <c r="X477" s="267">
        <v>189</v>
      </c>
      <c r="Y477" s="268">
        <v>18670</v>
      </c>
      <c r="Z477" s="252">
        <v>180</v>
      </c>
      <c r="AA477" s="253">
        <v>9504</v>
      </c>
      <c r="AB477" s="267">
        <v>189</v>
      </c>
      <c r="AC477" s="268">
        <v>9984</v>
      </c>
      <c r="AD477" s="252">
        <v>180</v>
      </c>
      <c r="AE477" s="253">
        <v>38828</v>
      </c>
      <c r="AF477" s="267">
        <v>189</v>
      </c>
      <c r="AG477" s="268">
        <v>29938</v>
      </c>
      <c r="AH477" s="252">
        <v>21</v>
      </c>
      <c r="AI477" s="253">
        <v>14931</v>
      </c>
      <c r="AJ477" s="267">
        <v>23</v>
      </c>
      <c r="AK477" s="268">
        <v>22114</v>
      </c>
      <c r="AL477" s="252">
        <v>153</v>
      </c>
      <c r="AM477" s="253">
        <v>89700</v>
      </c>
      <c r="AN477" s="267">
        <v>151</v>
      </c>
      <c r="AO477" s="268">
        <v>88740</v>
      </c>
      <c r="AP477" s="255">
        <f t="shared" si="80"/>
        <v>180</v>
      </c>
      <c r="AQ477" s="256">
        <f t="shared" si="81"/>
        <v>3231179</v>
      </c>
      <c r="AR477" s="257">
        <f t="shared" si="82"/>
        <v>189</v>
      </c>
      <c r="AS477" s="258">
        <f t="shared" si="83"/>
        <v>3451374</v>
      </c>
      <c r="AT477" s="259">
        <v>6</v>
      </c>
      <c r="AU477" s="253">
        <v>65220</v>
      </c>
      <c r="AV477" s="267">
        <v>6</v>
      </c>
      <c r="AW477" s="268">
        <v>46489</v>
      </c>
      <c r="AX477" s="252">
        <v>6</v>
      </c>
      <c r="AY477" s="253">
        <v>65712</v>
      </c>
      <c r="AZ477" s="267">
        <v>6</v>
      </c>
      <c r="BA477" s="268">
        <v>67656</v>
      </c>
      <c r="BB477" s="252"/>
      <c r="BC477" s="253"/>
      <c r="BD477" s="267">
        <v>0</v>
      </c>
      <c r="BE477" s="268">
        <v>0</v>
      </c>
      <c r="BF477" s="252">
        <v>6</v>
      </c>
      <c r="BG477" s="253">
        <v>21732</v>
      </c>
      <c r="BH477" s="267">
        <v>6</v>
      </c>
      <c r="BI477" s="268">
        <v>33860</v>
      </c>
      <c r="BJ477" s="252">
        <v>6</v>
      </c>
      <c r="BK477" s="253">
        <v>394</v>
      </c>
      <c r="BL477" s="267">
        <v>6</v>
      </c>
      <c r="BM477" s="268">
        <v>33860</v>
      </c>
      <c r="BN477" s="252">
        <v>6</v>
      </c>
      <c r="BO477" s="253">
        <v>336</v>
      </c>
      <c r="BP477" s="267">
        <v>6</v>
      </c>
      <c r="BQ477" s="268">
        <v>336</v>
      </c>
      <c r="BR477" s="252">
        <v>6</v>
      </c>
      <c r="BS477" s="253">
        <v>1294</v>
      </c>
      <c r="BT477" s="267">
        <v>6</v>
      </c>
      <c r="BU477" s="268">
        <v>950</v>
      </c>
      <c r="BV477" s="252">
        <v>1</v>
      </c>
      <c r="BW477" s="253">
        <v>395</v>
      </c>
      <c r="BX477" s="267">
        <v>0</v>
      </c>
      <c r="BY477" s="268">
        <v>0</v>
      </c>
      <c r="BZ477" s="252">
        <v>5</v>
      </c>
      <c r="CA477" s="253">
        <v>3000</v>
      </c>
      <c r="CB477" s="267">
        <v>5</v>
      </c>
      <c r="CC477" s="268">
        <v>3000</v>
      </c>
      <c r="CD477" s="255">
        <f t="shared" si="84"/>
        <v>6</v>
      </c>
      <c r="CE477" s="256">
        <f t="shared" si="85"/>
        <v>158083</v>
      </c>
      <c r="CF477" s="257">
        <f t="shared" si="86"/>
        <v>6</v>
      </c>
      <c r="CG477" s="261">
        <f t="shared" si="87"/>
        <v>186151</v>
      </c>
    </row>
    <row r="478" spans="1:85" s="263" customFormat="1" ht="12.75" customHeight="1">
      <c r="A478" s="440" t="s">
        <v>296</v>
      </c>
      <c r="B478" s="441" t="s">
        <v>308</v>
      </c>
      <c r="C478" s="441"/>
      <c r="D478" s="442">
        <v>221485</v>
      </c>
      <c r="E478" s="443">
        <v>8</v>
      </c>
      <c r="F478" s="252">
        <v>217</v>
      </c>
      <c r="G478" s="253">
        <v>1333884</v>
      </c>
      <c r="H478" s="267">
        <v>213</v>
      </c>
      <c r="I478" s="268">
        <v>1400628</v>
      </c>
      <c r="J478" s="252">
        <v>178</v>
      </c>
      <c r="K478" s="253">
        <v>1492224</v>
      </c>
      <c r="L478" s="267">
        <v>180</v>
      </c>
      <c r="M478" s="268">
        <v>1543872</v>
      </c>
      <c r="N478" s="252"/>
      <c r="O478" s="253"/>
      <c r="P478" s="267">
        <v>0</v>
      </c>
      <c r="Q478" s="268">
        <v>0</v>
      </c>
      <c r="R478" s="252">
        <v>218</v>
      </c>
      <c r="S478" s="253">
        <v>861504</v>
      </c>
      <c r="T478" s="267">
        <v>213</v>
      </c>
      <c r="U478" s="268">
        <v>831912</v>
      </c>
      <c r="V478" s="252"/>
      <c r="W478" s="253"/>
      <c r="X478" s="267">
        <v>0</v>
      </c>
      <c r="Y478" s="268">
        <v>0</v>
      </c>
      <c r="Z478" s="252">
        <v>217</v>
      </c>
      <c r="AA478" s="253">
        <v>11112</v>
      </c>
      <c r="AB478" s="267">
        <v>212</v>
      </c>
      <c r="AC478" s="268">
        <v>10812</v>
      </c>
      <c r="AD478" s="252"/>
      <c r="AE478" s="253"/>
      <c r="AF478" s="267">
        <v>0</v>
      </c>
      <c r="AG478" s="268">
        <v>0</v>
      </c>
      <c r="AH478" s="252"/>
      <c r="AI478" s="253"/>
      <c r="AJ478" s="267">
        <v>0</v>
      </c>
      <c r="AK478" s="268">
        <v>0</v>
      </c>
      <c r="AL478" s="252">
        <v>153</v>
      </c>
      <c r="AM478" s="253">
        <v>86520</v>
      </c>
      <c r="AN478" s="267">
        <v>151</v>
      </c>
      <c r="AO478" s="268">
        <v>85920</v>
      </c>
      <c r="AP478" s="255">
        <f t="shared" si="80"/>
        <v>218</v>
      </c>
      <c r="AQ478" s="256">
        <f t="shared" si="81"/>
        <v>3785244</v>
      </c>
      <c r="AR478" s="257">
        <f t="shared" si="82"/>
        <v>213</v>
      </c>
      <c r="AS478" s="258">
        <f t="shared" si="83"/>
        <v>3873144</v>
      </c>
      <c r="AT478" s="259">
        <v>16</v>
      </c>
      <c r="AU478" s="253">
        <v>159804</v>
      </c>
      <c r="AV478" s="267">
        <v>15</v>
      </c>
      <c r="AW478" s="268">
        <v>157428</v>
      </c>
      <c r="AX478" s="252">
        <v>11</v>
      </c>
      <c r="AY478" s="253">
        <v>82776</v>
      </c>
      <c r="AZ478" s="267">
        <v>12</v>
      </c>
      <c r="BA478" s="268">
        <v>97752</v>
      </c>
      <c r="BB478" s="252"/>
      <c r="BC478" s="253"/>
      <c r="BD478" s="267">
        <v>0</v>
      </c>
      <c r="BE478" s="268">
        <v>0</v>
      </c>
      <c r="BF478" s="252">
        <v>16</v>
      </c>
      <c r="BG478" s="253">
        <v>96840</v>
      </c>
      <c r="BH478" s="267">
        <v>15</v>
      </c>
      <c r="BI478" s="268">
        <v>88020</v>
      </c>
      <c r="BJ478" s="252"/>
      <c r="BK478" s="253"/>
      <c r="BL478" s="267">
        <v>0</v>
      </c>
      <c r="BM478" s="268">
        <v>0</v>
      </c>
      <c r="BN478" s="252">
        <v>16</v>
      </c>
      <c r="BO478" s="253">
        <v>816</v>
      </c>
      <c r="BP478" s="267">
        <v>15</v>
      </c>
      <c r="BQ478" s="268">
        <v>780</v>
      </c>
      <c r="BR478" s="252"/>
      <c r="BS478" s="253"/>
      <c r="BT478" s="267">
        <v>0</v>
      </c>
      <c r="BU478" s="268">
        <v>0</v>
      </c>
      <c r="BV478" s="252"/>
      <c r="BW478" s="253"/>
      <c r="BX478" s="267">
        <v>0</v>
      </c>
      <c r="BY478" s="268">
        <v>0</v>
      </c>
      <c r="BZ478" s="252">
        <v>11</v>
      </c>
      <c r="CA478" s="253">
        <v>6480</v>
      </c>
      <c r="CB478" s="267">
        <v>12</v>
      </c>
      <c r="CC478" s="268">
        <v>6960</v>
      </c>
      <c r="CD478" s="255">
        <f t="shared" si="84"/>
        <v>16</v>
      </c>
      <c r="CE478" s="256">
        <f t="shared" si="85"/>
        <v>346716</v>
      </c>
      <c r="CF478" s="257">
        <f t="shared" si="86"/>
        <v>15</v>
      </c>
      <c r="CG478" s="261">
        <f t="shared" si="87"/>
        <v>350940</v>
      </c>
    </row>
    <row r="479" spans="1:85" s="263" customFormat="1" ht="12.75" customHeight="1">
      <c r="A479" s="440" t="s">
        <v>296</v>
      </c>
      <c r="B479" s="441" t="s">
        <v>309</v>
      </c>
      <c r="C479" s="441"/>
      <c r="D479" s="442">
        <v>219879</v>
      </c>
      <c r="E479" s="443">
        <v>9</v>
      </c>
      <c r="F479" s="252">
        <v>65</v>
      </c>
      <c r="G479" s="253">
        <v>356496</v>
      </c>
      <c r="H479" s="267">
        <v>67</v>
      </c>
      <c r="I479" s="268">
        <v>360960</v>
      </c>
      <c r="J479" s="252">
        <v>60</v>
      </c>
      <c r="K479" s="253">
        <v>559824</v>
      </c>
      <c r="L479" s="267">
        <v>63</v>
      </c>
      <c r="M479" s="268">
        <v>623988</v>
      </c>
      <c r="N479" s="252"/>
      <c r="O479" s="253"/>
      <c r="P479" s="267">
        <v>0</v>
      </c>
      <c r="Q479" s="268">
        <v>0</v>
      </c>
      <c r="R479" s="252">
        <v>65</v>
      </c>
      <c r="S479" s="253">
        <v>214104</v>
      </c>
      <c r="T479" s="267">
        <v>68</v>
      </c>
      <c r="U479" s="268">
        <v>216144</v>
      </c>
      <c r="V479" s="252"/>
      <c r="W479" s="253"/>
      <c r="X479" s="267">
        <v>0</v>
      </c>
      <c r="Y479" s="268">
        <v>0</v>
      </c>
      <c r="Z479" s="252">
        <v>65</v>
      </c>
      <c r="AA479" s="253">
        <v>3516</v>
      </c>
      <c r="AB479" s="267">
        <v>68</v>
      </c>
      <c r="AC479" s="268">
        <v>3720</v>
      </c>
      <c r="AD479" s="252"/>
      <c r="AE479" s="253"/>
      <c r="AF479" s="267">
        <v>0</v>
      </c>
      <c r="AG479" s="268">
        <v>0</v>
      </c>
      <c r="AH479" s="252"/>
      <c r="AI479" s="253"/>
      <c r="AJ479" s="267">
        <v>0</v>
      </c>
      <c r="AK479" s="268">
        <v>0</v>
      </c>
      <c r="AL479" s="252">
        <v>47</v>
      </c>
      <c r="AM479" s="253">
        <v>27480</v>
      </c>
      <c r="AN479" s="267">
        <v>50</v>
      </c>
      <c r="AO479" s="268">
        <v>29280</v>
      </c>
      <c r="AP479" s="255">
        <f t="shared" si="80"/>
        <v>65</v>
      </c>
      <c r="AQ479" s="256">
        <f t="shared" si="81"/>
        <v>1161420</v>
      </c>
      <c r="AR479" s="257">
        <f t="shared" si="82"/>
        <v>68</v>
      </c>
      <c r="AS479" s="258">
        <f t="shared" si="83"/>
        <v>1234092</v>
      </c>
      <c r="AT479" s="259">
        <v>4</v>
      </c>
      <c r="AU479" s="253">
        <v>24576</v>
      </c>
      <c r="AV479" s="267">
        <v>4</v>
      </c>
      <c r="AW479" s="268">
        <v>26472</v>
      </c>
      <c r="AX479" s="252">
        <v>4</v>
      </c>
      <c r="AY479" s="253">
        <v>34080</v>
      </c>
      <c r="AZ479" s="267">
        <v>4</v>
      </c>
      <c r="BA479" s="268">
        <v>42600</v>
      </c>
      <c r="BB479" s="252"/>
      <c r="BC479" s="253"/>
      <c r="BD479" s="267">
        <v>0</v>
      </c>
      <c r="BE479" s="268">
        <v>0</v>
      </c>
      <c r="BF479" s="252">
        <v>4</v>
      </c>
      <c r="BG479" s="253">
        <v>15072</v>
      </c>
      <c r="BH479" s="267">
        <v>4</v>
      </c>
      <c r="BI479" s="268">
        <v>14556</v>
      </c>
      <c r="BJ479" s="252"/>
      <c r="BK479" s="253"/>
      <c r="BL479" s="267">
        <v>0</v>
      </c>
      <c r="BM479" s="268">
        <v>0</v>
      </c>
      <c r="BN479" s="252">
        <v>4</v>
      </c>
      <c r="BO479" s="253">
        <v>216</v>
      </c>
      <c r="BP479" s="267">
        <v>4</v>
      </c>
      <c r="BQ479" s="268">
        <v>228</v>
      </c>
      <c r="BR479" s="252"/>
      <c r="BS479" s="253"/>
      <c r="BT479" s="267">
        <v>0</v>
      </c>
      <c r="BU479" s="268">
        <v>0</v>
      </c>
      <c r="BV479" s="252"/>
      <c r="BW479" s="253"/>
      <c r="BX479" s="267">
        <v>0</v>
      </c>
      <c r="BY479" s="268">
        <v>0</v>
      </c>
      <c r="BZ479" s="252">
        <v>4</v>
      </c>
      <c r="CA479" s="253">
        <v>2400</v>
      </c>
      <c r="CB479" s="267">
        <v>4</v>
      </c>
      <c r="CC479" s="268">
        <v>2400</v>
      </c>
      <c r="CD479" s="255">
        <f t="shared" si="84"/>
        <v>4</v>
      </c>
      <c r="CE479" s="256">
        <f t="shared" si="85"/>
        <v>76344</v>
      </c>
      <c r="CF479" s="257">
        <f t="shared" si="86"/>
        <v>4</v>
      </c>
      <c r="CG479" s="261">
        <f t="shared" si="87"/>
        <v>86256</v>
      </c>
    </row>
    <row r="480" spans="1:85" s="263" customFormat="1" ht="12.75" customHeight="1">
      <c r="A480" s="440" t="s">
        <v>296</v>
      </c>
      <c r="B480" s="441" t="s">
        <v>310</v>
      </c>
      <c r="C480" s="441"/>
      <c r="D480" s="442">
        <v>219888</v>
      </c>
      <c r="E480" s="443">
        <v>9</v>
      </c>
      <c r="F480" s="252">
        <v>75</v>
      </c>
      <c r="G480" s="253">
        <v>471588</v>
      </c>
      <c r="H480" s="267">
        <v>83</v>
      </c>
      <c r="I480" s="268">
        <v>517236</v>
      </c>
      <c r="J480" s="252">
        <v>69</v>
      </c>
      <c r="K480" s="253">
        <v>576936</v>
      </c>
      <c r="L480" s="267">
        <v>75</v>
      </c>
      <c r="M480" s="268">
        <v>669180</v>
      </c>
      <c r="N480" s="252"/>
      <c r="O480" s="253"/>
      <c r="P480" s="267">
        <v>0</v>
      </c>
      <c r="Q480" s="268">
        <v>0</v>
      </c>
      <c r="R480" s="252">
        <v>75</v>
      </c>
      <c r="S480" s="253">
        <v>308688</v>
      </c>
      <c r="T480" s="267">
        <v>82</v>
      </c>
      <c r="U480" s="268">
        <v>313008</v>
      </c>
      <c r="V480" s="252"/>
      <c r="W480" s="253"/>
      <c r="X480" s="267">
        <v>0</v>
      </c>
      <c r="Y480" s="268">
        <v>0</v>
      </c>
      <c r="Z480" s="252">
        <v>75</v>
      </c>
      <c r="AA480" s="253">
        <v>3948</v>
      </c>
      <c r="AB480" s="267">
        <v>82</v>
      </c>
      <c r="AC480" s="268">
        <v>4308</v>
      </c>
      <c r="AD480" s="252"/>
      <c r="AE480" s="253"/>
      <c r="AF480" s="267">
        <v>0</v>
      </c>
      <c r="AG480" s="268">
        <v>0</v>
      </c>
      <c r="AH480" s="252">
        <v>3</v>
      </c>
      <c r="AI480" s="253">
        <v>7700</v>
      </c>
      <c r="AJ480" s="267">
        <v>4</v>
      </c>
      <c r="AK480" s="268">
        <v>11450</v>
      </c>
      <c r="AL480" s="252">
        <v>56</v>
      </c>
      <c r="AM480" s="253">
        <v>32520</v>
      </c>
      <c r="AN480" s="267">
        <v>56</v>
      </c>
      <c r="AO480" s="268">
        <v>32640</v>
      </c>
      <c r="AP480" s="255">
        <f t="shared" si="80"/>
        <v>75</v>
      </c>
      <c r="AQ480" s="256">
        <f t="shared" si="81"/>
        <v>1401380</v>
      </c>
      <c r="AR480" s="257">
        <f t="shared" si="82"/>
        <v>83</v>
      </c>
      <c r="AS480" s="258">
        <f t="shared" si="83"/>
        <v>1547822</v>
      </c>
      <c r="AT480" s="259">
        <v>10</v>
      </c>
      <c r="AU480" s="253">
        <v>76428</v>
      </c>
      <c r="AV480" s="267">
        <v>11</v>
      </c>
      <c r="AW480" s="268">
        <v>85728</v>
      </c>
      <c r="AX480" s="252">
        <v>9</v>
      </c>
      <c r="AY480" s="253">
        <v>109512</v>
      </c>
      <c r="AZ480" s="267">
        <v>9</v>
      </c>
      <c r="BA480" s="268">
        <v>112752</v>
      </c>
      <c r="BB480" s="252"/>
      <c r="BC480" s="253"/>
      <c r="BD480" s="267">
        <v>0</v>
      </c>
      <c r="BE480" s="268">
        <v>0</v>
      </c>
      <c r="BF480" s="252">
        <v>10</v>
      </c>
      <c r="BG480" s="253">
        <v>47460</v>
      </c>
      <c r="BH480" s="267">
        <v>11</v>
      </c>
      <c r="BI480" s="268">
        <v>50640</v>
      </c>
      <c r="BJ480" s="252"/>
      <c r="BK480" s="253"/>
      <c r="BL480" s="267">
        <v>0</v>
      </c>
      <c r="BM480" s="268">
        <v>0</v>
      </c>
      <c r="BN480" s="252">
        <v>9</v>
      </c>
      <c r="BO480" s="253">
        <v>540</v>
      </c>
      <c r="BP480" s="267">
        <v>10</v>
      </c>
      <c r="BQ480" s="268">
        <v>588</v>
      </c>
      <c r="BR480" s="252"/>
      <c r="BS480" s="253"/>
      <c r="BT480" s="267">
        <v>0</v>
      </c>
      <c r="BU480" s="268">
        <v>0</v>
      </c>
      <c r="BV480" s="252">
        <v>2</v>
      </c>
      <c r="BW480" s="253">
        <v>5600</v>
      </c>
      <c r="BX480" s="267">
        <v>3</v>
      </c>
      <c r="BY480" s="268">
        <v>11150</v>
      </c>
      <c r="BZ480" s="252">
        <v>7</v>
      </c>
      <c r="CA480" s="253">
        <v>3720</v>
      </c>
      <c r="CB480" s="267">
        <v>8</v>
      </c>
      <c r="CC480" s="268">
        <v>4440</v>
      </c>
      <c r="CD480" s="255">
        <f t="shared" si="84"/>
        <v>10</v>
      </c>
      <c r="CE480" s="256">
        <f t="shared" si="85"/>
        <v>243260</v>
      </c>
      <c r="CF480" s="257">
        <f t="shared" si="86"/>
        <v>11</v>
      </c>
      <c r="CG480" s="261">
        <f t="shared" si="87"/>
        <v>265298</v>
      </c>
    </row>
    <row r="481" spans="1:85" s="263" customFormat="1" ht="12.75" customHeight="1">
      <c r="A481" s="440" t="s">
        <v>296</v>
      </c>
      <c r="B481" s="441" t="s">
        <v>311</v>
      </c>
      <c r="C481" s="441"/>
      <c r="D481" s="442">
        <v>220400</v>
      </c>
      <c r="E481" s="443">
        <v>9</v>
      </c>
      <c r="F481" s="252">
        <v>69</v>
      </c>
      <c r="G481" s="253">
        <v>33485</v>
      </c>
      <c r="H481" s="267">
        <v>81</v>
      </c>
      <c r="I481" s="268">
        <v>439848</v>
      </c>
      <c r="J481" s="252">
        <v>63</v>
      </c>
      <c r="K481" s="253">
        <v>51722</v>
      </c>
      <c r="L481" s="267">
        <v>75</v>
      </c>
      <c r="M481" s="268">
        <v>732605</v>
      </c>
      <c r="N481" s="252"/>
      <c r="O481" s="253"/>
      <c r="P481" s="267">
        <v>0</v>
      </c>
      <c r="Q481" s="268">
        <v>0</v>
      </c>
      <c r="R481" s="252">
        <v>86</v>
      </c>
      <c r="S481" s="253">
        <v>308258</v>
      </c>
      <c r="T481" s="267">
        <v>81</v>
      </c>
      <c r="U481" s="268">
        <v>274527</v>
      </c>
      <c r="V481" s="252"/>
      <c r="W481" s="253"/>
      <c r="X481" s="267">
        <v>0</v>
      </c>
      <c r="Y481" s="268">
        <v>0</v>
      </c>
      <c r="Z481" s="252">
        <v>63</v>
      </c>
      <c r="AA481" s="253">
        <v>293</v>
      </c>
      <c r="AB481" s="267">
        <v>79</v>
      </c>
      <c r="AC481" s="268">
        <v>4703</v>
      </c>
      <c r="AD481" s="252"/>
      <c r="AE481" s="253"/>
      <c r="AF481" s="267">
        <v>0</v>
      </c>
      <c r="AG481" s="268">
        <v>0</v>
      </c>
      <c r="AH481" s="252"/>
      <c r="AI481" s="253"/>
      <c r="AJ481" s="267">
        <v>0</v>
      </c>
      <c r="AK481" s="268">
        <v>0</v>
      </c>
      <c r="AL481" s="252"/>
      <c r="AM481" s="253"/>
      <c r="AN481" s="267">
        <v>0</v>
      </c>
      <c r="AO481" s="268">
        <v>0</v>
      </c>
      <c r="AP481" s="255">
        <f t="shared" si="80"/>
        <v>86</v>
      </c>
      <c r="AQ481" s="256">
        <f t="shared" si="81"/>
        <v>393758</v>
      </c>
      <c r="AR481" s="257">
        <f t="shared" si="82"/>
        <v>81</v>
      </c>
      <c r="AS481" s="258">
        <f t="shared" si="83"/>
        <v>1451683</v>
      </c>
      <c r="AT481" s="259">
        <v>12</v>
      </c>
      <c r="AU481" s="253">
        <v>6721</v>
      </c>
      <c r="AV481" s="267">
        <v>13</v>
      </c>
      <c r="AW481" s="268">
        <v>84453</v>
      </c>
      <c r="AX481" s="252">
        <v>11</v>
      </c>
      <c r="AY481" s="253">
        <v>7708</v>
      </c>
      <c r="AZ481" s="267">
        <v>12</v>
      </c>
      <c r="BA481" s="268">
        <v>104663</v>
      </c>
      <c r="BB481" s="252"/>
      <c r="BC481" s="253"/>
      <c r="BD481" s="267">
        <v>0</v>
      </c>
      <c r="BE481" s="268">
        <v>0</v>
      </c>
      <c r="BF481" s="252">
        <v>13</v>
      </c>
      <c r="BG481" s="253">
        <v>60825</v>
      </c>
      <c r="BH481" s="267">
        <v>13</v>
      </c>
      <c r="BI481" s="268">
        <v>58335</v>
      </c>
      <c r="BJ481" s="252"/>
      <c r="BK481" s="253"/>
      <c r="BL481" s="267">
        <v>0</v>
      </c>
      <c r="BM481" s="268">
        <v>0</v>
      </c>
      <c r="BN481" s="252">
        <v>11</v>
      </c>
      <c r="BO481" s="253">
        <v>50</v>
      </c>
      <c r="BP481" s="267">
        <v>13</v>
      </c>
      <c r="BQ481" s="268">
        <v>766</v>
      </c>
      <c r="BR481" s="252"/>
      <c r="BS481" s="253"/>
      <c r="BT481" s="267">
        <v>0</v>
      </c>
      <c r="BU481" s="268">
        <v>0</v>
      </c>
      <c r="BV481" s="252"/>
      <c r="BW481" s="253"/>
      <c r="BX481" s="267">
        <v>0</v>
      </c>
      <c r="BY481" s="268">
        <v>0</v>
      </c>
      <c r="BZ481" s="252"/>
      <c r="CA481" s="253"/>
      <c r="CB481" s="267">
        <v>0</v>
      </c>
      <c r="CC481" s="268">
        <v>0</v>
      </c>
      <c r="CD481" s="255">
        <f t="shared" si="84"/>
        <v>13</v>
      </c>
      <c r="CE481" s="256">
        <f t="shared" si="85"/>
        <v>75304</v>
      </c>
      <c r="CF481" s="257">
        <f t="shared" si="86"/>
        <v>13</v>
      </c>
      <c r="CG481" s="261">
        <f t="shared" si="87"/>
        <v>248217</v>
      </c>
    </row>
    <row r="482" spans="1:85" s="263" customFormat="1" ht="12.75" customHeight="1">
      <c r="A482" s="440" t="s">
        <v>296</v>
      </c>
      <c r="B482" s="441" t="s">
        <v>312</v>
      </c>
      <c r="C482" s="441"/>
      <c r="D482" s="442">
        <v>221096</v>
      </c>
      <c r="E482" s="443">
        <v>9</v>
      </c>
      <c r="F482" s="252">
        <v>79</v>
      </c>
      <c r="G482" s="253">
        <v>435552</v>
      </c>
      <c r="H482" s="267">
        <v>75</v>
      </c>
      <c r="I482" s="268">
        <v>452436</v>
      </c>
      <c r="J482" s="252">
        <v>69</v>
      </c>
      <c r="K482" s="253">
        <v>613416</v>
      </c>
      <c r="L482" s="267">
        <v>68</v>
      </c>
      <c r="M482" s="268">
        <v>619032</v>
      </c>
      <c r="N482" s="252"/>
      <c r="O482" s="253"/>
      <c r="P482" s="267">
        <v>0</v>
      </c>
      <c r="Q482" s="268">
        <v>0</v>
      </c>
      <c r="R482" s="252">
        <v>79</v>
      </c>
      <c r="S482" s="253">
        <v>272160</v>
      </c>
      <c r="T482" s="267">
        <v>76</v>
      </c>
      <c r="U482" s="268">
        <v>261120</v>
      </c>
      <c r="V482" s="252"/>
      <c r="W482" s="253"/>
      <c r="X482" s="267">
        <v>0</v>
      </c>
      <c r="Y482" s="268">
        <v>0</v>
      </c>
      <c r="Z482" s="252">
        <v>78</v>
      </c>
      <c r="AA482" s="253">
        <v>4104</v>
      </c>
      <c r="AB482" s="267">
        <v>75</v>
      </c>
      <c r="AC482" s="268">
        <v>3936</v>
      </c>
      <c r="AD482" s="252"/>
      <c r="AE482" s="253"/>
      <c r="AF482" s="267">
        <v>0</v>
      </c>
      <c r="AG482" s="268">
        <v>0</v>
      </c>
      <c r="AH482" s="252">
        <v>19</v>
      </c>
      <c r="AI482" s="253">
        <v>15846</v>
      </c>
      <c r="AJ482" s="267">
        <v>18</v>
      </c>
      <c r="AK482" s="268">
        <v>18884</v>
      </c>
      <c r="AL482" s="252">
        <v>63</v>
      </c>
      <c r="AM482" s="253">
        <v>35400</v>
      </c>
      <c r="AN482" s="267">
        <v>61</v>
      </c>
      <c r="AO482" s="268">
        <v>35160</v>
      </c>
      <c r="AP482" s="255">
        <f t="shared" si="80"/>
        <v>79</v>
      </c>
      <c r="AQ482" s="256">
        <f t="shared" si="81"/>
        <v>1376478</v>
      </c>
      <c r="AR482" s="257">
        <f t="shared" si="82"/>
        <v>76</v>
      </c>
      <c r="AS482" s="258">
        <f t="shared" si="83"/>
        <v>1390568</v>
      </c>
      <c r="AT482" s="259"/>
      <c r="AU482" s="253"/>
      <c r="AV482" s="267"/>
      <c r="AW482" s="268"/>
      <c r="AX482" s="252"/>
      <c r="AY482" s="253"/>
      <c r="AZ482" s="267"/>
      <c r="BA482" s="268"/>
      <c r="BB482" s="252"/>
      <c r="BC482" s="253"/>
      <c r="BD482" s="267"/>
      <c r="BE482" s="268"/>
      <c r="BF482" s="252"/>
      <c r="BG482" s="253"/>
      <c r="BH482" s="267"/>
      <c r="BI482" s="268"/>
      <c r="BJ482" s="252"/>
      <c r="BK482" s="253"/>
      <c r="BL482" s="267"/>
      <c r="BM482" s="268"/>
      <c r="BN482" s="252"/>
      <c r="BO482" s="253"/>
      <c r="BP482" s="267"/>
      <c r="BQ482" s="268"/>
      <c r="BR482" s="252"/>
      <c r="BS482" s="253"/>
      <c r="BT482" s="267"/>
      <c r="BU482" s="268"/>
      <c r="BV482" s="252"/>
      <c r="BW482" s="253"/>
      <c r="BX482" s="267"/>
      <c r="BY482" s="268"/>
      <c r="BZ482" s="252"/>
      <c r="CA482" s="253"/>
      <c r="CB482" s="267"/>
      <c r="CC482" s="268"/>
      <c r="CD482" s="255">
        <f t="shared" si="84"/>
        <v>0</v>
      </c>
      <c r="CE482" s="256">
        <f t="shared" si="85"/>
        <v>0</v>
      </c>
      <c r="CF482" s="257">
        <f t="shared" si="86"/>
        <v>0</v>
      </c>
      <c r="CG482" s="261">
        <f t="shared" si="87"/>
        <v>0</v>
      </c>
    </row>
    <row r="483" spans="1:85" s="263" customFormat="1" ht="12.75" customHeight="1">
      <c r="A483" s="440" t="s">
        <v>296</v>
      </c>
      <c r="B483" s="441" t="s">
        <v>313</v>
      </c>
      <c r="C483" s="509" t="s">
        <v>1265</v>
      </c>
      <c r="D483" s="442">
        <v>221184</v>
      </c>
      <c r="E483" s="443">
        <v>9</v>
      </c>
      <c r="F483" s="252">
        <v>145</v>
      </c>
      <c r="G483" s="253">
        <v>795960</v>
      </c>
      <c r="H483" s="267">
        <v>154</v>
      </c>
      <c r="I483" s="268">
        <v>830574</v>
      </c>
      <c r="J483" s="252">
        <v>130</v>
      </c>
      <c r="K483" s="253">
        <v>1170813</v>
      </c>
      <c r="L483" s="267">
        <v>138</v>
      </c>
      <c r="M483" s="268">
        <v>1203553</v>
      </c>
      <c r="N483" s="252"/>
      <c r="O483" s="253"/>
      <c r="P483" s="267">
        <v>0</v>
      </c>
      <c r="Q483" s="268">
        <v>0</v>
      </c>
      <c r="R483" s="252">
        <v>145</v>
      </c>
      <c r="S483" s="253">
        <v>511871</v>
      </c>
      <c r="T483" s="267">
        <v>152</v>
      </c>
      <c r="U483" s="268">
        <v>524884</v>
      </c>
      <c r="V483" s="252"/>
      <c r="W483" s="253"/>
      <c r="X483" s="267">
        <v>0</v>
      </c>
      <c r="Y483" s="268">
        <v>0</v>
      </c>
      <c r="Z483" s="252">
        <v>130</v>
      </c>
      <c r="AA483" s="253">
        <v>7665</v>
      </c>
      <c r="AB483" s="267">
        <v>157</v>
      </c>
      <c r="AC483" s="268">
        <v>10500</v>
      </c>
      <c r="AD483" s="252"/>
      <c r="AE483" s="253"/>
      <c r="AF483" s="267">
        <v>0</v>
      </c>
      <c r="AG483" s="268">
        <v>0</v>
      </c>
      <c r="AH483" s="252"/>
      <c r="AI483" s="253"/>
      <c r="AJ483" s="267">
        <v>19</v>
      </c>
      <c r="AK483" s="268">
        <v>19754</v>
      </c>
      <c r="AL483" s="252">
        <v>115</v>
      </c>
      <c r="AM483" s="253">
        <v>66180</v>
      </c>
      <c r="AN483" s="267">
        <v>0</v>
      </c>
      <c r="AO483" s="268">
        <v>0</v>
      </c>
      <c r="AP483" s="255">
        <f t="shared" si="80"/>
        <v>145</v>
      </c>
      <c r="AQ483" s="256">
        <f t="shared" si="81"/>
        <v>2552489</v>
      </c>
      <c r="AR483" s="257">
        <f t="shared" si="82"/>
        <v>157</v>
      </c>
      <c r="AS483" s="258">
        <f t="shared" si="83"/>
        <v>2589265</v>
      </c>
      <c r="AT483" s="259">
        <v>2</v>
      </c>
      <c r="AU483" s="253">
        <v>12264</v>
      </c>
      <c r="AV483" s="267">
        <v>2</v>
      </c>
      <c r="AW483" s="268">
        <v>13462</v>
      </c>
      <c r="AX483" s="252">
        <v>2</v>
      </c>
      <c r="AY483" s="253">
        <v>24334</v>
      </c>
      <c r="AZ483" s="267">
        <v>1</v>
      </c>
      <c r="BA483" s="268">
        <v>10039</v>
      </c>
      <c r="BB483" s="252"/>
      <c r="BC483" s="253"/>
      <c r="BD483" s="267">
        <v>0</v>
      </c>
      <c r="BE483" s="268">
        <v>0</v>
      </c>
      <c r="BF483" s="252">
        <v>2</v>
      </c>
      <c r="BG483" s="253">
        <v>7629</v>
      </c>
      <c r="BH483" s="267">
        <v>2</v>
      </c>
      <c r="BI483" s="268">
        <v>8420</v>
      </c>
      <c r="BJ483" s="252"/>
      <c r="BK483" s="253"/>
      <c r="BL483" s="267">
        <v>0</v>
      </c>
      <c r="BM483" s="268">
        <v>0</v>
      </c>
      <c r="BN483" s="252">
        <v>2</v>
      </c>
      <c r="BO483" s="253">
        <v>129</v>
      </c>
      <c r="BP483" s="267">
        <v>2</v>
      </c>
      <c r="BQ483" s="268">
        <v>115</v>
      </c>
      <c r="BR483" s="252"/>
      <c r="BS483" s="253"/>
      <c r="BT483" s="267">
        <v>0</v>
      </c>
      <c r="BU483" s="268">
        <v>0</v>
      </c>
      <c r="BV483" s="252"/>
      <c r="BW483" s="253"/>
      <c r="BX483" s="267">
        <v>0</v>
      </c>
      <c r="BY483" s="268">
        <v>0</v>
      </c>
      <c r="BZ483" s="252">
        <v>1</v>
      </c>
      <c r="CA483" s="253">
        <v>600</v>
      </c>
      <c r="CB483" s="267">
        <v>0</v>
      </c>
      <c r="CC483" s="268">
        <v>0</v>
      </c>
      <c r="CD483" s="255">
        <f t="shared" si="84"/>
        <v>2</v>
      </c>
      <c r="CE483" s="256">
        <f t="shared" si="85"/>
        <v>44956</v>
      </c>
      <c r="CF483" s="257">
        <f t="shared" si="86"/>
        <v>2</v>
      </c>
      <c r="CG483" s="261">
        <f t="shared" si="87"/>
        <v>32036</v>
      </c>
    </row>
    <row r="484" spans="1:85" s="263" customFormat="1" ht="12.75" customHeight="1">
      <c r="A484" s="440" t="s">
        <v>296</v>
      </c>
      <c r="B484" s="441" t="s">
        <v>314</v>
      </c>
      <c r="C484" s="441"/>
      <c r="D484" s="442">
        <v>221908</v>
      </c>
      <c r="E484" s="443">
        <v>9</v>
      </c>
      <c r="F484" s="252">
        <v>95</v>
      </c>
      <c r="G484" s="253">
        <v>450030</v>
      </c>
      <c r="H484" s="267">
        <v>99</v>
      </c>
      <c r="I484" s="268">
        <v>502295</v>
      </c>
      <c r="J484" s="252">
        <v>80</v>
      </c>
      <c r="K484" s="253">
        <v>740200</v>
      </c>
      <c r="L484" s="267">
        <v>81</v>
      </c>
      <c r="M484" s="268">
        <v>789724</v>
      </c>
      <c r="N484" s="252"/>
      <c r="O484" s="253"/>
      <c r="P484" s="267">
        <v>0</v>
      </c>
      <c r="Q484" s="268">
        <v>0</v>
      </c>
      <c r="R484" s="252">
        <v>95</v>
      </c>
      <c r="S484" s="253">
        <v>308750</v>
      </c>
      <c r="T484" s="267">
        <v>99</v>
      </c>
      <c r="U484" s="268">
        <v>313551</v>
      </c>
      <c r="V484" s="252"/>
      <c r="W484" s="253"/>
      <c r="X484" s="267">
        <v>0</v>
      </c>
      <c r="Y484" s="268">
        <v>0</v>
      </c>
      <c r="Z484" s="252">
        <v>95</v>
      </c>
      <c r="AA484" s="253">
        <v>6700</v>
      </c>
      <c r="AB484" s="267">
        <v>99</v>
      </c>
      <c r="AC484" s="268">
        <v>5575</v>
      </c>
      <c r="AD484" s="252"/>
      <c r="AE484" s="253"/>
      <c r="AF484" s="267">
        <v>0</v>
      </c>
      <c r="AG484" s="268">
        <v>0</v>
      </c>
      <c r="AH484" s="252">
        <v>15</v>
      </c>
      <c r="AI484" s="253">
        <v>38700</v>
      </c>
      <c r="AJ484" s="267">
        <v>21</v>
      </c>
      <c r="AK484" s="268">
        <v>33862</v>
      </c>
      <c r="AL484" s="252"/>
      <c r="AM484" s="253"/>
      <c r="AN484" s="267">
        <v>0</v>
      </c>
      <c r="AO484" s="268">
        <v>0</v>
      </c>
      <c r="AP484" s="255">
        <f t="shared" si="80"/>
        <v>95</v>
      </c>
      <c r="AQ484" s="256">
        <f t="shared" si="81"/>
        <v>1544380</v>
      </c>
      <c r="AR484" s="257">
        <f t="shared" si="82"/>
        <v>99</v>
      </c>
      <c r="AS484" s="258">
        <f t="shared" si="83"/>
        <v>1645007</v>
      </c>
      <c r="AT484" s="259">
        <v>11</v>
      </c>
      <c r="AU484" s="253">
        <v>78130</v>
      </c>
      <c r="AV484" s="267">
        <v>11</v>
      </c>
      <c r="AW484" s="268">
        <v>84304</v>
      </c>
      <c r="AX484" s="252">
        <v>11</v>
      </c>
      <c r="AY484" s="253">
        <v>107260</v>
      </c>
      <c r="AZ484" s="267">
        <v>11</v>
      </c>
      <c r="BA484" s="268">
        <v>115315</v>
      </c>
      <c r="BB484" s="252"/>
      <c r="BC484" s="253"/>
      <c r="BD484" s="267">
        <v>0</v>
      </c>
      <c r="BE484" s="268">
        <v>0</v>
      </c>
      <c r="BF484" s="252">
        <v>11</v>
      </c>
      <c r="BG484" s="253">
        <v>53350</v>
      </c>
      <c r="BH484" s="267">
        <v>11</v>
      </c>
      <c r="BI484" s="268">
        <v>56736</v>
      </c>
      <c r="BJ484" s="252"/>
      <c r="BK484" s="253"/>
      <c r="BL484" s="267">
        <v>0</v>
      </c>
      <c r="BM484" s="268">
        <v>0</v>
      </c>
      <c r="BN484" s="252">
        <v>11</v>
      </c>
      <c r="BO484" s="253">
        <v>825</v>
      </c>
      <c r="BP484" s="267">
        <v>11</v>
      </c>
      <c r="BQ484" s="268">
        <v>678</v>
      </c>
      <c r="BR484" s="252"/>
      <c r="BS484" s="253"/>
      <c r="BT484" s="267">
        <v>0</v>
      </c>
      <c r="BU484" s="268">
        <v>0</v>
      </c>
      <c r="BV484" s="252"/>
      <c r="BW484" s="253"/>
      <c r="BX484" s="267">
        <v>1</v>
      </c>
      <c r="BY484" s="268">
        <v>1383</v>
      </c>
      <c r="BZ484" s="252"/>
      <c r="CA484" s="253"/>
      <c r="CB484" s="267">
        <v>0</v>
      </c>
      <c r="CC484" s="268">
        <v>0</v>
      </c>
      <c r="CD484" s="255">
        <f t="shared" si="84"/>
        <v>11</v>
      </c>
      <c r="CE484" s="256">
        <f t="shared" si="85"/>
        <v>239565</v>
      </c>
      <c r="CF484" s="257">
        <f t="shared" si="86"/>
        <v>11</v>
      </c>
      <c r="CG484" s="261">
        <f t="shared" si="87"/>
        <v>258416</v>
      </c>
    </row>
    <row r="485" spans="1:85" s="263" customFormat="1" ht="12.75" customHeight="1">
      <c r="A485" s="440" t="s">
        <v>296</v>
      </c>
      <c r="B485" s="441" t="s">
        <v>315</v>
      </c>
      <c r="C485" s="441"/>
      <c r="D485" s="442">
        <v>221397</v>
      </c>
      <c r="E485" s="443">
        <v>9</v>
      </c>
      <c r="F485" s="252">
        <v>115</v>
      </c>
      <c r="G485" s="253">
        <v>672852</v>
      </c>
      <c r="H485" s="267">
        <v>114</v>
      </c>
      <c r="I485" s="268">
        <v>707076</v>
      </c>
      <c r="J485" s="252">
        <v>98</v>
      </c>
      <c r="K485" s="253">
        <v>903024</v>
      </c>
      <c r="L485" s="267">
        <v>101</v>
      </c>
      <c r="M485" s="268">
        <v>947316</v>
      </c>
      <c r="N485" s="252"/>
      <c r="O485" s="253"/>
      <c r="P485" s="267">
        <v>0</v>
      </c>
      <c r="Q485" s="268">
        <v>0</v>
      </c>
      <c r="R485" s="252">
        <v>115</v>
      </c>
      <c r="S485" s="253">
        <v>433284</v>
      </c>
      <c r="T485" s="267">
        <v>114</v>
      </c>
      <c r="U485" s="268">
        <v>422724</v>
      </c>
      <c r="V485" s="252"/>
      <c r="W485" s="253"/>
      <c r="X485" s="267">
        <v>0</v>
      </c>
      <c r="Y485" s="268">
        <v>0</v>
      </c>
      <c r="Z485" s="252">
        <v>115</v>
      </c>
      <c r="AA485" s="253">
        <v>6216</v>
      </c>
      <c r="AB485" s="267">
        <v>114</v>
      </c>
      <c r="AC485" s="268">
        <v>6036</v>
      </c>
      <c r="AD485" s="252"/>
      <c r="AE485" s="253"/>
      <c r="AF485" s="267">
        <v>0</v>
      </c>
      <c r="AG485" s="268">
        <v>0</v>
      </c>
      <c r="AH485" s="252"/>
      <c r="AI485" s="253"/>
      <c r="AJ485" s="267">
        <v>0</v>
      </c>
      <c r="AK485" s="268">
        <v>0</v>
      </c>
      <c r="AL485" s="252">
        <v>80</v>
      </c>
      <c r="AM485" s="253">
        <v>46440</v>
      </c>
      <c r="AN485" s="267">
        <v>82</v>
      </c>
      <c r="AO485" s="268">
        <v>47280</v>
      </c>
      <c r="AP485" s="255">
        <f t="shared" si="80"/>
        <v>115</v>
      </c>
      <c r="AQ485" s="256">
        <f t="shared" si="81"/>
        <v>2061816</v>
      </c>
      <c r="AR485" s="257">
        <f t="shared" si="82"/>
        <v>114</v>
      </c>
      <c r="AS485" s="258">
        <f t="shared" si="83"/>
        <v>2130432</v>
      </c>
      <c r="AT485" s="259">
        <v>18</v>
      </c>
      <c r="AU485" s="253">
        <v>119364</v>
      </c>
      <c r="AV485" s="267">
        <v>15</v>
      </c>
      <c r="AW485" s="268">
        <v>116016</v>
      </c>
      <c r="AX485" s="252">
        <v>18</v>
      </c>
      <c r="AY485" s="253">
        <v>167952</v>
      </c>
      <c r="AZ485" s="267">
        <v>15</v>
      </c>
      <c r="BA485" s="268">
        <v>142848</v>
      </c>
      <c r="BB485" s="252"/>
      <c r="BC485" s="253"/>
      <c r="BD485" s="267">
        <v>0</v>
      </c>
      <c r="BE485" s="268">
        <v>0</v>
      </c>
      <c r="BF485" s="252">
        <v>18</v>
      </c>
      <c r="BG485" s="253">
        <v>71700</v>
      </c>
      <c r="BH485" s="267">
        <v>15</v>
      </c>
      <c r="BI485" s="268">
        <v>61992</v>
      </c>
      <c r="BJ485" s="252"/>
      <c r="BK485" s="253"/>
      <c r="BL485" s="267">
        <v>0</v>
      </c>
      <c r="BM485" s="268">
        <v>0</v>
      </c>
      <c r="BN485" s="252">
        <v>18</v>
      </c>
      <c r="BO485" s="253">
        <v>996</v>
      </c>
      <c r="BP485" s="267">
        <v>15</v>
      </c>
      <c r="BQ485" s="268">
        <v>816</v>
      </c>
      <c r="BR485" s="252"/>
      <c r="BS485" s="253"/>
      <c r="BT485" s="267">
        <v>0</v>
      </c>
      <c r="BU485" s="268">
        <v>0</v>
      </c>
      <c r="BV485" s="252"/>
      <c r="BW485" s="253"/>
      <c r="BX485" s="267">
        <v>0</v>
      </c>
      <c r="BY485" s="268">
        <v>0</v>
      </c>
      <c r="BZ485" s="252">
        <v>13</v>
      </c>
      <c r="CA485" s="253">
        <v>7320</v>
      </c>
      <c r="CB485" s="267">
        <v>11</v>
      </c>
      <c r="CC485" s="268">
        <v>5760</v>
      </c>
      <c r="CD485" s="255">
        <f t="shared" si="84"/>
        <v>18</v>
      </c>
      <c r="CE485" s="256">
        <f t="shared" si="85"/>
        <v>367332</v>
      </c>
      <c r="CF485" s="257">
        <f t="shared" si="86"/>
        <v>15</v>
      </c>
      <c r="CG485" s="261">
        <f t="shared" si="87"/>
        <v>327432</v>
      </c>
    </row>
    <row r="486" spans="1:85" s="263" customFormat="1" ht="12.75" customHeight="1">
      <c r="A486" s="440" t="s">
        <v>296</v>
      </c>
      <c r="B486" s="441" t="s">
        <v>316</v>
      </c>
      <c r="C486" s="509" t="s">
        <v>1195</v>
      </c>
      <c r="D486" s="442">
        <v>222053</v>
      </c>
      <c r="E486" s="443">
        <v>9</v>
      </c>
      <c r="F486" s="252">
        <v>124</v>
      </c>
      <c r="G486" s="253">
        <v>661438</v>
      </c>
      <c r="H486" s="267">
        <v>124</v>
      </c>
      <c r="I486" s="268">
        <v>721828</v>
      </c>
      <c r="J486" s="252">
        <v>108</v>
      </c>
      <c r="K486" s="253">
        <v>1000378</v>
      </c>
      <c r="L486" s="267">
        <v>108</v>
      </c>
      <c r="M486" s="268">
        <v>1030394</v>
      </c>
      <c r="N486" s="252"/>
      <c r="O486" s="253"/>
      <c r="P486" s="267">
        <v>0</v>
      </c>
      <c r="Q486" s="268">
        <v>0</v>
      </c>
      <c r="R486" s="252">
        <v>124</v>
      </c>
      <c r="S486" s="253">
        <v>431547</v>
      </c>
      <c r="T486" s="267">
        <v>124</v>
      </c>
      <c r="U486" s="268">
        <v>440293</v>
      </c>
      <c r="V486" s="252"/>
      <c r="W486" s="253"/>
      <c r="X486" s="267">
        <v>0</v>
      </c>
      <c r="Y486" s="268">
        <v>0</v>
      </c>
      <c r="Z486" s="252">
        <v>108</v>
      </c>
      <c r="AA486" s="253">
        <v>6304</v>
      </c>
      <c r="AB486" s="267">
        <v>108</v>
      </c>
      <c r="AC486" s="268">
        <v>6343</v>
      </c>
      <c r="AD486" s="252"/>
      <c r="AE486" s="253"/>
      <c r="AF486" s="267">
        <v>0</v>
      </c>
      <c r="AG486" s="268">
        <v>0</v>
      </c>
      <c r="AH486" s="252">
        <v>22</v>
      </c>
      <c r="AI486" s="253">
        <v>56853</v>
      </c>
      <c r="AJ486" s="267">
        <v>19</v>
      </c>
      <c r="AK486" s="268">
        <v>44880</v>
      </c>
      <c r="AL486" s="252"/>
      <c r="AM486" s="253"/>
      <c r="AN486" s="267">
        <v>0</v>
      </c>
      <c r="AO486" s="268">
        <v>0</v>
      </c>
      <c r="AP486" s="255">
        <f t="shared" si="80"/>
        <v>124</v>
      </c>
      <c r="AQ486" s="256">
        <f t="shared" si="81"/>
        <v>2156520</v>
      </c>
      <c r="AR486" s="257">
        <f t="shared" si="82"/>
        <v>124</v>
      </c>
      <c r="AS486" s="258">
        <f t="shared" si="83"/>
        <v>2243738</v>
      </c>
      <c r="AT486" s="259">
        <v>24</v>
      </c>
      <c r="AU486" s="253">
        <v>159740</v>
      </c>
      <c r="AV486" s="267">
        <v>27</v>
      </c>
      <c r="AW486" s="268">
        <f>91180+107429</f>
        <v>198609</v>
      </c>
      <c r="AX486" s="252">
        <v>23</v>
      </c>
      <c r="AY486" s="253">
        <v>228786</v>
      </c>
      <c r="AZ486" s="267">
        <v>26</v>
      </c>
      <c r="BA486" s="268">
        <v>273247</v>
      </c>
      <c r="BB486" s="252"/>
      <c r="BC486" s="253"/>
      <c r="BD486" s="267">
        <v>0</v>
      </c>
      <c r="BE486" s="268">
        <v>0</v>
      </c>
      <c r="BF486" s="252">
        <v>24</v>
      </c>
      <c r="BG486" s="253">
        <v>105956</v>
      </c>
      <c r="BH486" s="267">
        <v>27</v>
      </c>
      <c r="BI486" s="268">
        <v>119380</v>
      </c>
      <c r="BJ486" s="252"/>
      <c r="BK486" s="253"/>
      <c r="BL486" s="267">
        <v>0</v>
      </c>
      <c r="BM486" s="268">
        <v>0</v>
      </c>
      <c r="BN486" s="252">
        <v>23</v>
      </c>
      <c r="BO486" s="253">
        <v>1389</v>
      </c>
      <c r="BP486" s="267">
        <v>26</v>
      </c>
      <c r="BQ486" s="268">
        <v>1584</v>
      </c>
      <c r="BR486" s="252"/>
      <c r="BS486" s="253"/>
      <c r="BT486" s="267">
        <v>0</v>
      </c>
      <c r="BU486" s="268">
        <v>0</v>
      </c>
      <c r="BV486" s="252"/>
      <c r="BW486" s="253"/>
      <c r="BX486" s="267">
        <v>5</v>
      </c>
      <c r="BY486" s="268">
        <v>7980</v>
      </c>
      <c r="BZ486" s="252"/>
      <c r="CA486" s="253"/>
      <c r="CB486" s="267">
        <v>0</v>
      </c>
      <c r="CC486" s="268">
        <v>0</v>
      </c>
      <c r="CD486" s="255">
        <f t="shared" si="84"/>
        <v>24</v>
      </c>
      <c r="CE486" s="256">
        <f t="shared" si="85"/>
        <v>495871</v>
      </c>
      <c r="CF486" s="257">
        <f t="shared" si="86"/>
        <v>27</v>
      </c>
      <c r="CG486" s="261">
        <f t="shared" si="87"/>
        <v>600800</v>
      </c>
    </row>
    <row r="487" spans="1:85" s="263" customFormat="1" ht="12.75" customHeight="1">
      <c r="A487" s="440" t="s">
        <v>296</v>
      </c>
      <c r="B487" s="441" t="s">
        <v>317</v>
      </c>
      <c r="C487" s="441"/>
      <c r="D487" s="442">
        <v>222062</v>
      </c>
      <c r="E487" s="443">
        <v>9</v>
      </c>
      <c r="F487" s="252">
        <v>118</v>
      </c>
      <c r="G487" s="253">
        <v>686256</v>
      </c>
      <c r="H487" s="267">
        <v>125</v>
      </c>
      <c r="I487" s="268">
        <v>787596</v>
      </c>
      <c r="J487" s="252">
        <v>111</v>
      </c>
      <c r="K487" s="253">
        <v>1010160</v>
      </c>
      <c r="L487" s="267">
        <v>118</v>
      </c>
      <c r="M487" s="268">
        <v>1150272</v>
      </c>
      <c r="N487" s="252"/>
      <c r="O487" s="253"/>
      <c r="P487" s="267">
        <v>0</v>
      </c>
      <c r="Q487" s="268">
        <v>0</v>
      </c>
      <c r="R487" s="252">
        <v>118</v>
      </c>
      <c r="S487" s="253">
        <v>419352</v>
      </c>
      <c r="T487" s="267">
        <v>125</v>
      </c>
      <c r="U487" s="268">
        <v>433800</v>
      </c>
      <c r="V487" s="252"/>
      <c r="W487" s="253"/>
      <c r="X487" s="267">
        <v>0</v>
      </c>
      <c r="Y487" s="268">
        <v>0</v>
      </c>
      <c r="Z487" s="252">
        <v>118</v>
      </c>
      <c r="AA487" s="253">
        <v>6336</v>
      </c>
      <c r="AB487" s="267">
        <v>125</v>
      </c>
      <c r="AC487" s="268">
        <v>6816</v>
      </c>
      <c r="AD487" s="252"/>
      <c r="AE487" s="253"/>
      <c r="AF487" s="267">
        <v>0</v>
      </c>
      <c r="AG487" s="268">
        <v>0</v>
      </c>
      <c r="AH487" s="252"/>
      <c r="AI487" s="253"/>
      <c r="AJ487" s="267">
        <v>0</v>
      </c>
      <c r="AK487" s="268">
        <v>0</v>
      </c>
      <c r="AL487" s="252">
        <v>104</v>
      </c>
      <c r="AM487" s="253">
        <v>61200</v>
      </c>
      <c r="AN487" s="267">
        <v>106</v>
      </c>
      <c r="AO487" s="268">
        <v>62760</v>
      </c>
      <c r="AP487" s="255">
        <f t="shared" si="80"/>
        <v>118</v>
      </c>
      <c r="AQ487" s="256">
        <f t="shared" si="81"/>
        <v>2183304</v>
      </c>
      <c r="AR487" s="257">
        <f t="shared" si="82"/>
        <v>125</v>
      </c>
      <c r="AS487" s="258">
        <f t="shared" si="83"/>
        <v>2441244</v>
      </c>
      <c r="AT487" s="259">
        <v>28</v>
      </c>
      <c r="AU487" s="253">
        <v>200052</v>
      </c>
      <c r="AV487" s="267">
        <v>29</v>
      </c>
      <c r="AW487" s="268">
        <v>229896</v>
      </c>
      <c r="AX487" s="252">
        <v>26</v>
      </c>
      <c r="AY487" s="253">
        <v>243408</v>
      </c>
      <c r="AZ487" s="267">
        <v>28</v>
      </c>
      <c r="BA487" s="268">
        <v>275664</v>
      </c>
      <c r="BB487" s="252"/>
      <c r="BC487" s="253"/>
      <c r="BD487" s="267">
        <v>0</v>
      </c>
      <c r="BE487" s="268">
        <v>0</v>
      </c>
      <c r="BF487" s="252">
        <v>28</v>
      </c>
      <c r="BG487" s="253">
        <v>130560</v>
      </c>
      <c r="BH487" s="267">
        <v>29</v>
      </c>
      <c r="BI487" s="268">
        <v>136500</v>
      </c>
      <c r="BJ487" s="252"/>
      <c r="BK487" s="253"/>
      <c r="BL487" s="267">
        <v>0</v>
      </c>
      <c r="BM487" s="268">
        <v>0</v>
      </c>
      <c r="BN487" s="252">
        <v>28</v>
      </c>
      <c r="BO487" s="253">
        <v>1524</v>
      </c>
      <c r="BP487" s="267">
        <v>29</v>
      </c>
      <c r="BQ487" s="268">
        <v>1596</v>
      </c>
      <c r="BR487" s="252"/>
      <c r="BS487" s="253"/>
      <c r="BT487" s="267">
        <v>0</v>
      </c>
      <c r="BU487" s="268">
        <v>0</v>
      </c>
      <c r="BV487" s="252"/>
      <c r="BW487" s="253"/>
      <c r="BX487" s="267">
        <v>0</v>
      </c>
      <c r="BY487" s="268">
        <v>0</v>
      </c>
      <c r="BZ487" s="252">
        <v>20</v>
      </c>
      <c r="CA487" s="253">
        <v>12000</v>
      </c>
      <c r="CB487" s="267">
        <v>20</v>
      </c>
      <c r="CC487" s="268">
        <v>11760</v>
      </c>
      <c r="CD487" s="255">
        <f t="shared" si="84"/>
        <v>28</v>
      </c>
      <c r="CE487" s="256">
        <f t="shared" si="85"/>
        <v>587544</v>
      </c>
      <c r="CF487" s="257">
        <f t="shared" si="86"/>
        <v>29</v>
      </c>
      <c r="CG487" s="261">
        <f t="shared" si="87"/>
        <v>655416</v>
      </c>
    </row>
    <row r="488" spans="1:85" s="263" customFormat="1" ht="12.75" customHeight="1">
      <c r="A488" s="440" t="s">
        <v>296</v>
      </c>
      <c r="B488" s="441" t="s">
        <v>318</v>
      </c>
      <c r="C488" s="509" t="s">
        <v>1224</v>
      </c>
      <c r="D488" s="442">
        <v>220057</v>
      </c>
      <c r="E488" s="443">
        <v>10</v>
      </c>
      <c r="F488" s="252">
        <v>45</v>
      </c>
      <c r="G488" s="253">
        <v>239472</v>
      </c>
      <c r="H488" s="267">
        <v>45</v>
      </c>
      <c r="I488" s="268">
        <v>247800</v>
      </c>
      <c r="J488" s="252">
        <v>42</v>
      </c>
      <c r="K488" s="253">
        <v>369984</v>
      </c>
      <c r="L488" s="267">
        <v>41</v>
      </c>
      <c r="M488" s="268">
        <v>395952</v>
      </c>
      <c r="N488" s="252"/>
      <c r="O488" s="253"/>
      <c r="P488" s="267">
        <v>0</v>
      </c>
      <c r="Q488" s="268">
        <v>0</v>
      </c>
      <c r="R488" s="252">
        <v>47</v>
      </c>
      <c r="S488" s="253">
        <v>166956</v>
      </c>
      <c r="T488" s="267">
        <v>46</v>
      </c>
      <c r="U488" s="268">
        <v>163452</v>
      </c>
      <c r="V488" s="252"/>
      <c r="W488" s="253"/>
      <c r="X488" s="267">
        <v>0</v>
      </c>
      <c r="Y488" s="268">
        <v>0</v>
      </c>
      <c r="Z488" s="252">
        <v>42</v>
      </c>
      <c r="AA488" s="253">
        <v>2196</v>
      </c>
      <c r="AB488" s="267">
        <v>41</v>
      </c>
      <c r="AC488" s="268">
        <v>2256</v>
      </c>
      <c r="AD488" s="252"/>
      <c r="AE488" s="253"/>
      <c r="AF488" s="267">
        <v>0</v>
      </c>
      <c r="AG488" s="268">
        <v>0</v>
      </c>
      <c r="AH488" s="252"/>
      <c r="AI488" s="253"/>
      <c r="AJ488" s="267">
        <v>0</v>
      </c>
      <c r="AK488" s="268">
        <v>0</v>
      </c>
      <c r="AL488" s="252">
        <v>38</v>
      </c>
      <c r="AM488" s="253">
        <v>20820</v>
      </c>
      <c r="AN488" s="267">
        <v>36</v>
      </c>
      <c r="AO488" s="268">
        <v>20220</v>
      </c>
      <c r="AP488" s="255">
        <f t="shared" si="80"/>
        <v>47</v>
      </c>
      <c r="AQ488" s="256">
        <f t="shared" si="81"/>
        <v>799428</v>
      </c>
      <c r="AR488" s="257">
        <f t="shared" si="82"/>
        <v>46</v>
      </c>
      <c r="AS488" s="258">
        <f t="shared" si="83"/>
        <v>829680</v>
      </c>
      <c r="AT488" s="259">
        <v>7</v>
      </c>
      <c r="AU488" s="253">
        <v>56376</v>
      </c>
      <c r="AV488" s="267">
        <v>7</v>
      </c>
      <c r="AW488" s="268">
        <v>51192</v>
      </c>
      <c r="AX488" s="252">
        <v>5</v>
      </c>
      <c r="AY488" s="253">
        <v>53544</v>
      </c>
      <c r="AZ488" s="267">
        <v>5</v>
      </c>
      <c r="BA488" s="268">
        <v>55128</v>
      </c>
      <c r="BB488" s="252"/>
      <c r="BC488" s="253"/>
      <c r="BD488" s="267">
        <v>0</v>
      </c>
      <c r="BE488" s="268">
        <v>0</v>
      </c>
      <c r="BF488" s="252">
        <v>7</v>
      </c>
      <c r="BG488" s="253">
        <v>35388</v>
      </c>
      <c r="BH488" s="267">
        <v>7</v>
      </c>
      <c r="BI488" s="268">
        <v>31248</v>
      </c>
      <c r="BJ488" s="252"/>
      <c r="BK488" s="253"/>
      <c r="BL488" s="267">
        <v>0</v>
      </c>
      <c r="BM488" s="268">
        <v>0</v>
      </c>
      <c r="BN488" s="252">
        <v>5</v>
      </c>
      <c r="BO488" s="253">
        <v>288</v>
      </c>
      <c r="BP488" s="267">
        <v>5</v>
      </c>
      <c r="BQ488" s="268">
        <v>288</v>
      </c>
      <c r="BR488" s="252"/>
      <c r="BS488" s="253"/>
      <c r="BT488" s="267">
        <v>0</v>
      </c>
      <c r="BU488" s="268">
        <v>0</v>
      </c>
      <c r="BV488" s="252"/>
      <c r="BW488" s="253"/>
      <c r="BX488" s="267">
        <v>0</v>
      </c>
      <c r="BY488" s="268">
        <v>0</v>
      </c>
      <c r="BZ488" s="252">
        <v>7</v>
      </c>
      <c r="CA488" s="253">
        <v>4200</v>
      </c>
      <c r="CB488" s="267">
        <v>7</v>
      </c>
      <c r="CC488" s="268">
        <v>4200</v>
      </c>
      <c r="CD488" s="255">
        <f t="shared" si="84"/>
        <v>7</v>
      </c>
      <c r="CE488" s="256">
        <f t="shared" si="85"/>
        <v>149796</v>
      </c>
      <c r="CF488" s="257">
        <f t="shared" si="86"/>
        <v>7</v>
      </c>
      <c r="CG488" s="261">
        <f t="shared" si="87"/>
        <v>142056</v>
      </c>
    </row>
    <row r="489" spans="1:85" s="263" customFormat="1" ht="12.75" customHeight="1">
      <c r="A489" s="440" t="s">
        <v>296</v>
      </c>
      <c r="B489" s="441" t="s">
        <v>319</v>
      </c>
      <c r="C489" s="441"/>
      <c r="D489" s="442">
        <v>219596</v>
      </c>
      <c r="E489" s="443">
        <v>13</v>
      </c>
      <c r="F489" s="252"/>
      <c r="G489" s="253"/>
      <c r="H489" s="267"/>
      <c r="I489" s="268"/>
      <c r="J489" s="252"/>
      <c r="K489" s="253"/>
      <c r="L489" s="267"/>
      <c r="M489" s="268"/>
      <c r="N489" s="252"/>
      <c r="O489" s="253"/>
      <c r="P489" s="267"/>
      <c r="Q489" s="268"/>
      <c r="R489" s="252"/>
      <c r="S489" s="253"/>
      <c r="T489" s="267"/>
      <c r="U489" s="268"/>
      <c r="V489" s="252"/>
      <c r="W489" s="253"/>
      <c r="X489" s="267"/>
      <c r="Y489" s="268"/>
      <c r="Z489" s="252"/>
      <c r="AA489" s="253"/>
      <c r="AB489" s="267"/>
      <c r="AC489" s="268"/>
      <c r="AD489" s="252"/>
      <c r="AE489" s="253"/>
      <c r="AF489" s="267"/>
      <c r="AG489" s="268"/>
      <c r="AH489" s="252"/>
      <c r="AI489" s="253"/>
      <c r="AJ489" s="267"/>
      <c r="AK489" s="268"/>
      <c r="AL489" s="252"/>
      <c r="AM489" s="253"/>
      <c r="AN489" s="267"/>
      <c r="AO489" s="268"/>
      <c r="AP489" s="255">
        <f t="shared" si="80"/>
        <v>0</v>
      </c>
      <c r="AQ489" s="256">
        <f t="shared" si="81"/>
        <v>0</v>
      </c>
      <c r="AR489" s="257">
        <f t="shared" si="82"/>
        <v>0</v>
      </c>
      <c r="AS489" s="258">
        <f t="shared" si="83"/>
        <v>0</v>
      </c>
      <c r="AT489" s="259">
        <v>12</v>
      </c>
      <c r="AU489" s="253">
        <v>52705.8</v>
      </c>
      <c r="AV489" s="267">
        <v>13</v>
      </c>
      <c r="AW489" s="268">
        <v>56672.100000000006</v>
      </c>
      <c r="AX489" s="252">
        <v>12</v>
      </c>
      <c r="AY489" s="253">
        <v>85383.396000000008</v>
      </c>
      <c r="AZ489" s="267">
        <v>13</v>
      </c>
      <c r="BA489" s="268">
        <v>92343.226873826803</v>
      </c>
      <c r="BB489" s="252"/>
      <c r="BC489" s="253"/>
      <c r="BD489" s="267"/>
      <c r="BE489" s="268"/>
      <c r="BF489" s="252">
        <v>12</v>
      </c>
      <c r="BG489" s="253">
        <v>40319.936999999998</v>
      </c>
      <c r="BH489" s="267">
        <v>13</v>
      </c>
      <c r="BI489" s="268">
        <v>43354.156499999997</v>
      </c>
      <c r="BJ489" s="252"/>
      <c r="BK489" s="253"/>
      <c r="BL489" s="267"/>
      <c r="BM489" s="268"/>
      <c r="BN489" s="252"/>
      <c r="BO489" s="253"/>
      <c r="BP489" s="267"/>
      <c r="BQ489" s="268"/>
      <c r="BR489" s="252"/>
      <c r="BS489" s="253"/>
      <c r="BT489" s="267"/>
      <c r="BU489" s="268"/>
      <c r="BV489" s="252"/>
      <c r="BW489" s="253"/>
      <c r="BX489" s="267"/>
      <c r="BY489" s="268"/>
      <c r="BZ489" s="252"/>
      <c r="CA489" s="253"/>
      <c r="CB489" s="267"/>
      <c r="CC489" s="268"/>
      <c r="CD489" s="255">
        <f t="shared" si="84"/>
        <v>12</v>
      </c>
      <c r="CE489" s="256">
        <f t="shared" si="85"/>
        <v>178409.13300000003</v>
      </c>
      <c r="CF489" s="257">
        <f t="shared" si="86"/>
        <v>13</v>
      </c>
      <c r="CG489" s="261">
        <f t="shared" si="87"/>
        <v>192369.48337382681</v>
      </c>
    </row>
    <row r="490" spans="1:85" s="263" customFormat="1" ht="12.75" customHeight="1">
      <c r="A490" s="440" t="s">
        <v>296</v>
      </c>
      <c r="B490" s="441" t="s">
        <v>320</v>
      </c>
      <c r="C490" s="509" t="s">
        <v>1267</v>
      </c>
      <c r="D490" s="442" t="s">
        <v>321</v>
      </c>
      <c r="E490" s="443">
        <v>13</v>
      </c>
      <c r="F490" s="252"/>
      <c r="G490" s="253"/>
      <c r="H490" s="267"/>
      <c r="I490" s="268"/>
      <c r="J490" s="252"/>
      <c r="K490" s="253"/>
      <c r="L490" s="267"/>
      <c r="M490" s="268"/>
      <c r="N490" s="252"/>
      <c r="O490" s="253"/>
      <c r="P490" s="267"/>
      <c r="Q490" s="268"/>
      <c r="R490" s="252"/>
      <c r="S490" s="253"/>
      <c r="T490" s="267"/>
      <c r="U490" s="268"/>
      <c r="V490" s="252"/>
      <c r="W490" s="253"/>
      <c r="X490" s="267"/>
      <c r="Y490" s="268"/>
      <c r="Z490" s="252"/>
      <c r="AA490" s="253"/>
      <c r="AB490" s="267"/>
      <c r="AC490" s="268"/>
      <c r="AD490" s="252"/>
      <c r="AE490" s="253"/>
      <c r="AF490" s="267"/>
      <c r="AG490" s="268"/>
      <c r="AH490" s="252"/>
      <c r="AI490" s="253"/>
      <c r="AJ490" s="267"/>
      <c r="AK490" s="268"/>
      <c r="AL490" s="252"/>
      <c r="AM490" s="253"/>
      <c r="AN490" s="267"/>
      <c r="AO490" s="268"/>
      <c r="AP490" s="255">
        <f t="shared" si="80"/>
        <v>0</v>
      </c>
      <c r="AQ490" s="256">
        <f t="shared" si="81"/>
        <v>0</v>
      </c>
      <c r="AR490" s="257">
        <f t="shared" si="82"/>
        <v>0</v>
      </c>
      <c r="AS490" s="258">
        <f t="shared" si="83"/>
        <v>0</v>
      </c>
      <c r="AT490" s="259">
        <v>35</v>
      </c>
      <c r="AU490" s="253">
        <v>165694.6</v>
      </c>
      <c r="AV490" s="267">
        <v>40</v>
      </c>
      <c r="AW490" s="268">
        <v>188195.40000000002</v>
      </c>
      <c r="AX490" s="252">
        <v>35</v>
      </c>
      <c r="AY490" s="253">
        <v>268425.25200000004</v>
      </c>
      <c r="AZ490" s="267">
        <v>40</v>
      </c>
      <c r="BA490" s="268">
        <v>306651.25377056055</v>
      </c>
      <c r="BB490" s="252"/>
      <c r="BC490" s="253"/>
      <c r="BD490" s="267"/>
      <c r="BE490" s="268"/>
      <c r="BF490" s="252">
        <v>35</v>
      </c>
      <c r="BG490" s="253">
        <v>126756.36899999999</v>
      </c>
      <c r="BH490" s="267">
        <v>40</v>
      </c>
      <c r="BI490" s="268">
        <v>143969.481</v>
      </c>
      <c r="BJ490" s="252"/>
      <c r="BK490" s="253"/>
      <c r="BL490" s="267"/>
      <c r="BM490" s="268"/>
      <c r="BN490" s="252"/>
      <c r="BO490" s="253"/>
      <c r="BP490" s="267"/>
      <c r="BQ490" s="268"/>
      <c r="BR490" s="252"/>
      <c r="BS490" s="253"/>
      <c r="BT490" s="267"/>
      <c r="BU490" s="268"/>
      <c r="BV490" s="252"/>
      <c r="BW490" s="253"/>
      <c r="BX490" s="267"/>
      <c r="BY490" s="268"/>
      <c r="BZ490" s="252"/>
      <c r="CA490" s="253"/>
      <c r="CB490" s="267"/>
      <c r="CC490" s="268"/>
      <c r="CD490" s="255">
        <f t="shared" si="84"/>
        <v>35</v>
      </c>
      <c r="CE490" s="256">
        <f t="shared" si="85"/>
        <v>560876.22100000002</v>
      </c>
      <c r="CF490" s="257">
        <f t="shared" si="86"/>
        <v>40</v>
      </c>
      <c r="CG490" s="261">
        <f t="shared" si="87"/>
        <v>638816.13477056054</v>
      </c>
    </row>
    <row r="491" spans="1:85" s="263" customFormat="1" ht="12.75" customHeight="1">
      <c r="A491" s="440" t="s">
        <v>296</v>
      </c>
      <c r="B491" s="441" t="s">
        <v>322</v>
      </c>
      <c r="C491" s="441"/>
      <c r="D491" s="442">
        <v>219921</v>
      </c>
      <c r="E491" s="443">
        <v>13</v>
      </c>
      <c r="F491" s="252"/>
      <c r="G491" s="253"/>
      <c r="H491" s="267"/>
      <c r="I491" s="268"/>
      <c r="J491" s="252"/>
      <c r="K491" s="253"/>
      <c r="L491" s="267"/>
      <c r="M491" s="268"/>
      <c r="N491" s="252"/>
      <c r="O491" s="253"/>
      <c r="P491" s="267"/>
      <c r="Q491" s="268"/>
      <c r="R491" s="252"/>
      <c r="S491" s="253"/>
      <c r="T491" s="267"/>
      <c r="U491" s="268"/>
      <c r="V491" s="252"/>
      <c r="W491" s="253"/>
      <c r="X491" s="267"/>
      <c r="Y491" s="268"/>
      <c r="Z491" s="252"/>
      <c r="AA491" s="253"/>
      <c r="AB491" s="267"/>
      <c r="AC491" s="268"/>
      <c r="AD491" s="252"/>
      <c r="AE491" s="253"/>
      <c r="AF491" s="267"/>
      <c r="AG491" s="268"/>
      <c r="AH491" s="252"/>
      <c r="AI491" s="253"/>
      <c r="AJ491" s="267"/>
      <c r="AK491" s="268"/>
      <c r="AL491" s="252"/>
      <c r="AM491" s="253"/>
      <c r="AN491" s="267"/>
      <c r="AO491" s="268"/>
      <c r="AP491" s="255">
        <f t="shared" si="80"/>
        <v>0</v>
      </c>
      <c r="AQ491" s="256">
        <f t="shared" si="81"/>
        <v>0</v>
      </c>
      <c r="AR491" s="257">
        <f t="shared" si="82"/>
        <v>0</v>
      </c>
      <c r="AS491" s="258">
        <f t="shared" si="83"/>
        <v>0</v>
      </c>
      <c r="AT491" s="259">
        <v>9</v>
      </c>
      <c r="AU491" s="253">
        <v>38163.1</v>
      </c>
      <c r="AV491" s="267">
        <v>10</v>
      </c>
      <c r="AW491" s="268">
        <v>43731.3</v>
      </c>
      <c r="AX491" s="252">
        <v>9</v>
      </c>
      <c r="AY491" s="253">
        <v>61824.222000000002</v>
      </c>
      <c r="AZ491" s="267">
        <v>10</v>
      </c>
      <c r="BA491" s="268">
        <v>71257.097538072208</v>
      </c>
      <c r="BB491" s="252"/>
      <c r="BC491" s="253"/>
      <c r="BD491" s="267"/>
      <c r="BE491" s="268"/>
      <c r="BF491" s="252">
        <v>9</v>
      </c>
      <c r="BG491" s="253">
        <v>29194.771499999999</v>
      </c>
      <c r="BH491" s="267">
        <v>10</v>
      </c>
      <c r="BI491" s="268">
        <v>33454.444499999998</v>
      </c>
      <c r="BJ491" s="252"/>
      <c r="BK491" s="253"/>
      <c r="BL491" s="267"/>
      <c r="BM491" s="268"/>
      <c r="BN491" s="252"/>
      <c r="BO491" s="253"/>
      <c r="BP491" s="267"/>
      <c r="BQ491" s="268"/>
      <c r="BR491" s="252"/>
      <c r="BS491" s="253"/>
      <c r="BT491" s="267"/>
      <c r="BU491" s="268"/>
      <c r="BV491" s="252"/>
      <c r="BW491" s="253"/>
      <c r="BX491" s="267"/>
      <c r="BY491" s="268"/>
      <c r="BZ491" s="252"/>
      <c r="CA491" s="253"/>
      <c r="CB491" s="267"/>
      <c r="CC491" s="268"/>
      <c r="CD491" s="255">
        <f t="shared" si="84"/>
        <v>9</v>
      </c>
      <c r="CE491" s="256">
        <f t="shared" si="85"/>
        <v>129182.09349999999</v>
      </c>
      <c r="CF491" s="257">
        <f t="shared" si="86"/>
        <v>10</v>
      </c>
      <c r="CG491" s="261">
        <f t="shared" si="87"/>
        <v>148442.84203807221</v>
      </c>
    </row>
    <row r="492" spans="1:85" s="263" customFormat="1" ht="12.75" customHeight="1">
      <c r="A492" s="440" t="s">
        <v>296</v>
      </c>
      <c r="B492" s="441" t="s">
        <v>323</v>
      </c>
      <c r="C492" s="441"/>
      <c r="D492" s="442">
        <v>221591</v>
      </c>
      <c r="E492" s="443">
        <v>13</v>
      </c>
      <c r="F492" s="252"/>
      <c r="G492" s="253"/>
      <c r="H492" s="267"/>
      <c r="I492" s="268"/>
      <c r="J492" s="252"/>
      <c r="K492" s="253"/>
      <c r="L492" s="267"/>
      <c r="M492" s="268"/>
      <c r="N492" s="252"/>
      <c r="O492" s="253"/>
      <c r="P492" s="267"/>
      <c r="Q492" s="268"/>
      <c r="R492" s="252"/>
      <c r="S492" s="253"/>
      <c r="T492" s="267"/>
      <c r="U492" s="268"/>
      <c r="V492" s="252"/>
      <c r="W492" s="253"/>
      <c r="X492" s="267"/>
      <c r="Y492" s="268"/>
      <c r="Z492" s="252"/>
      <c r="AA492" s="253"/>
      <c r="AB492" s="267"/>
      <c r="AC492" s="268"/>
      <c r="AD492" s="252"/>
      <c r="AE492" s="253"/>
      <c r="AF492" s="267"/>
      <c r="AG492" s="268"/>
      <c r="AH492" s="252"/>
      <c r="AI492" s="253"/>
      <c r="AJ492" s="267"/>
      <c r="AK492" s="268"/>
      <c r="AL492" s="252"/>
      <c r="AM492" s="253"/>
      <c r="AN492" s="267"/>
      <c r="AO492" s="268"/>
      <c r="AP492" s="255">
        <f t="shared" si="80"/>
        <v>0</v>
      </c>
      <c r="AQ492" s="256">
        <f t="shared" si="81"/>
        <v>0</v>
      </c>
      <c r="AR492" s="257">
        <f t="shared" si="82"/>
        <v>0</v>
      </c>
      <c r="AS492" s="258">
        <f t="shared" si="83"/>
        <v>0</v>
      </c>
      <c r="AT492" s="259">
        <v>21</v>
      </c>
      <c r="AU492" s="253">
        <v>93753.7</v>
      </c>
      <c r="AV492" s="267">
        <v>18</v>
      </c>
      <c r="AW492" s="268">
        <v>79092.200000000012</v>
      </c>
      <c r="AX492" s="252">
        <v>21</v>
      </c>
      <c r="AY492" s="253">
        <v>151880.99400000001</v>
      </c>
      <c r="AZ492" s="267">
        <v>18</v>
      </c>
      <c r="BA492" s="268">
        <v>128875.21317456181</v>
      </c>
      <c r="BB492" s="252"/>
      <c r="BC492" s="253"/>
      <c r="BD492" s="267"/>
      <c r="BE492" s="268"/>
      <c r="BF492" s="252">
        <v>21</v>
      </c>
      <c r="BG492" s="253">
        <v>71721.580499999996</v>
      </c>
      <c r="BH492" s="267">
        <v>18</v>
      </c>
      <c r="BI492" s="268">
        <v>60505.532999999996</v>
      </c>
      <c r="BJ492" s="252"/>
      <c r="BK492" s="253"/>
      <c r="BL492" s="267"/>
      <c r="BM492" s="268"/>
      <c r="BN492" s="252"/>
      <c r="BO492" s="253"/>
      <c r="BP492" s="267"/>
      <c r="BQ492" s="268"/>
      <c r="BR492" s="252"/>
      <c r="BS492" s="253"/>
      <c r="BT492" s="267"/>
      <c r="BU492" s="268"/>
      <c r="BV492" s="252"/>
      <c r="BW492" s="253"/>
      <c r="BX492" s="267"/>
      <c r="BY492" s="268"/>
      <c r="BZ492" s="252"/>
      <c r="CA492" s="253"/>
      <c r="CB492" s="267"/>
      <c r="CC492" s="268"/>
      <c r="CD492" s="255">
        <f t="shared" si="84"/>
        <v>21</v>
      </c>
      <c r="CE492" s="256">
        <f t="shared" si="85"/>
        <v>317356.2745</v>
      </c>
      <c r="CF492" s="257">
        <f t="shared" si="86"/>
        <v>18</v>
      </c>
      <c r="CG492" s="261">
        <f t="shared" si="87"/>
        <v>268472.9461745618</v>
      </c>
    </row>
    <row r="493" spans="1:85" s="263" customFormat="1" ht="12.75" customHeight="1">
      <c r="A493" s="440" t="s">
        <v>296</v>
      </c>
      <c r="B493" s="441" t="s">
        <v>324</v>
      </c>
      <c r="C493" s="441"/>
      <c r="D493" s="442">
        <v>221430</v>
      </c>
      <c r="E493" s="443">
        <v>13</v>
      </c>
      <c r="F493" s="252"/>
      <c r="G493" s="253"/>
      <c r="H493" s="267"/>
      <c r="I493" s="268"/>
      <c r="J493" s="252"/>
      <c r="K493" s="253"/>
      <c r="L493" s="267"/>
      <c r="M493" s="268"/>
      <c r="N493" s="252"/>
      <c r="O493" s="253"/>
      <c r="P493" s="267"/>
      <c r="Q493" s="268"/>
      <c r="R493" s="252"/>
      <c r="S493" s="253"/>
      <c r="T493" s="267"/>
      <c r="U493" s="268"/>
      <c r="V493" s="252"/>
      <c r="W493" s="253"/>
      <c r="X493" s="267"/>
      <c r="Y493" s="268"/>
      <c r="Z493" s="252"/>
      <c r="AA493" s="253"/>
      <c r="AB493" s="267"/>
      <c r="AC493" s="268"/>
      <c r="AD493" s="252"/>
      <c r="AE493" s="253"/>
      <c r="AF493" s="267"/>
      <c r="AG493" s="268"/>
      <c r="AH493" s="252"/>
      <c r="AI493" s="253"/>
      <c r="AJ493" s="267"/>
      <c r="AK493" s="268"/>
      <c r="AL493" s="252"/>
      <c r="AM493" s="253"/>
      <c r="AN493" s="267"/>
      <c r="AO493" s="268"/>
      <c r="AP493" s="255">
        <f t="shared" si="80"/>
        <v>0</v>
      </c>
      <c r="AQ493" s="256">
        <f t="shared" si="81"/>
        <v>0</v>
      </c>
      <c r="AR493" s="257">
        <f t="shared" si="82"/>
        <v>0</v>
      </c>
      <c r="AS493" s="258">
        <f t="shared" si="83"/>
        <v>0</v>
      </c>
      <c r="AT493" s="259">
        <v>8</v>
      </c>
      <c r="AU493" s="253">
        <v>39569.4</v>
      </c>
      <c r="AV493" s="267">
        <v>13</v>
      </c>
      <c r="AW493" s="268">
        <v>60820.600000000006</v>
      </c>
      <c r="AX493" s="252">
        <v>8</v>
      </c>
      <c r="AY493" s="253">
        <v>64102.428</v>
      </c>
      <c r="AZ493" s="267">
        <v>13</v>
      </c>
      <c r="BA493" s="268">
        <v>99102.917739103912</v>
      </c>
      <c r="BB493" s="252"/>
      <c r="BC493" s="253"/>
      <c r="BD493" s="267"/>
      <c r="BE493" s="268"/>
      <c r="BF493" s="252">
        <v>8</v>
      </c>
      <c r="BG493" s="253">
        <v>30270.591</v>
      </c>
      <c r="BH493" s="267">
        <v>13</v>
      </c>
      <c r="BI493" s="268">
        <v>46527.758999999998</v>
      </c>
      <c r="BJ493" s="252"/>
      <c r="BK493" s="253"/>
      <c r="BL493" s="267"/>
      <c r="BM493" s="268"/>
      <c r="BN493" s="252"/>
      <c r="BO493" s="253"/>
      <c r="BP493" s="267"/>
      <c r="BQ493" s="268"/>
      <c r="BR493" s="252"/>
      <c r="BS493" s="253"/>
      <c r="BT493" s="267"/>
      <c r="BU493" s="268"/>
      <c r="BV493" s="252"/>
      <c r="BW493" s="253"/>
      <c r="BX493" s="267"/>
      <c r="BY493" s="268"/>
      <c r="BZ493" s="252"/>
      <c r="CA493" s="253"/>
      <c r="CB493" s="267"/>
      <c r="CC493" s="268"/>
      <c r="CD493" s="255">
        <f t="shared" si="84"/>
        <v>8</v>
      </c>
      <c r="CE493" s="256">
        <f t="shared" si="85"/>
        <v>133942.41899999999</v>
      </c>
      <c r="CF493" s="257">
        <f t="shared" si="86"/>
        <v>13</v>
      </c>
      <c r="CG493" s="261">
        <f t="shared" si="87"/>
        <v>206451.27673910392</v>
      </c>
    </row>
    <row r="494" spans="1:85" s="263" customFormat="1" ht="12.75" customHeight="1">
      <c r="A494" s="440" t="s">
        <v>296</v>
      </c>
      <c r="B494" s="441" t="s">
        <v>325</v>
      </c>
      <c r="C494" s="441"/>
      <c r="D494" s="442">
        <v>219994</v>
      </c>
      <c r="E494" s="443">
        <v>13</v>
      </c>
      <c r="F494" s="252"/>
      <c r="G494" s="253"/>
      <c r="H494" s="267"/>
      <c r="I494" s="268"/>
      <c r="J494" s="252"/>
      <c r="K494" s="253"/>
      <c r="L494" s="267"/>
      <c r="M494" s="268"/>
      <c r="N494" s="252"/>
      <c r="O494" s="253"/>
      <c r="P494" s="267"/>
      <c r="Q494" s="268"/>
      <c r="R494" s="252"/>
      <c r="S494" s="253"/>
      <c r="T494" s="267"/>
      <c r="U494" s="268"/>
      <c r="V494" s="252"/>
      <c r="W494" s="253"/>
      <c r="X494" s="267"/>
      <c r="Y494" s="268"/>
      <c r="Z494" s="252"/>
      <c r="AA494" s="253"/>
      <c r="AB494" s="267"/>
      <c r="AC494" s="268"/>
      <c r="AD494" s="252"/>
      <c r="AE494" s="253"/>
      <c r="AF494" s="267"/>
      <c r="AG494" s="268"/>
      <c r="AH494" s="252"/>
      <c r="AI494" s="253"/>
      <c r="AJ494" s="267"/>
      <c r="AK494" s="268"/>
      <c r="AL494" s="252"/>
      <c r="AM494" s="253"/>
      <c r="AN494" s="267"/>
      <c r="AO494" s="268"/>
      <c r="AP494" s="255">
        <f t="shared" si="80"/>
        <v>0</v>
      </c>
      <c r="AQ494" s="256">
        <f t="shared" si="81"/>
        <v>0</v>
      </c>
      <c r="AR494" s="257">
        <f t="shared" si="82"/>
        <v>0</v>
      </c>
      <c r="AS494" s="258">
        <f t="shared" si="83"/>
        <v>0</v>
      </c>
      <c r="AT494" s="259">
        <v>28</v>
      </c>
      <c r="AU494" s="253">
        <v>127111.3</v>
      </c>
      <c r="AV494" s="267">
        <v>29</v>
      </c>
      <c r="AW494" s="268">
        <v>128840</v>
      </c>
      <c r="AX494" s="252">
        <v>28</v>
      </c>
      <c r="AY494" s="253">
        <v>205920.30600000001</v>
      </c>
      <c r="AZ494" s="267">
        <v>29</v>
      </c>
      <c r="BA494" s="268">
        <v>209935.77704768034</v>
      </c>
      <c r="BB494" s="252"/>
      <c r="BC494" s="253"/>
      <c r="BD494" s="267"/>
      <c r="BE494" s="268"/>
      <c r="BF494" s="252">
        <v>28</v>
      </c>
      <c r="BG494" s="253">
        <v>97240.144499999995</v>
      </c>
      <c r="BH494" s="267">
        <v>29</v>
      </c>
      <c r="BI494" s="268">
        <v>98562.599999999991</v>
      </c>
      <c r="BJ494" s="252"/>
      <c r="BK494" s="253"/>
      <c r="BL494" s="267"/>
      <c r="BM494" s="268"/>
      <c r="BN494" s="252"/>
      <c r="BO494" s="253"/>
      <c r="BP494" s="267"/>
      <c r="BQ494" s="268"/>
      <c r="BR494" s="252"/>
      <c r="BS494" s="253"/>
      <c r="BT494" s="267"/>
      <c r="BU494" s="268"/>
      <c r="BV494" s="252"/>
      <c r="BW494" s="253"/>
      <c r="BX494" s="267"/>
      <c r="BY494" s="268"/>
      <c r="BZ494" s="252"/>
      <c r="CA494" s="253"/>
      <c r="CB494" s="267"/>
      <c r="CC494" s="268"/>
      <c r="CD494" s="255">
        <f t="shared" si="84"/>
        <v>28</v>
      </c>
      <c r="CE494" s="256">
        <f t="shared" si="85"/>
        <v>430271.75050000002</v>
      </c>
      <c r="CF494" s="257">
        <f t="shared" si="86"/>
        <v>29</v>
      </c>
      <c r="CG494" s="261">
        <f t="shared" si="87"/>
        <v>437338.37704768032</v>
      </c>
    </row>
    <row r="495" spans="1:85" s="263" customFormat="1" ht="12.75" customHeight="1">
      <c r="A495" s="440" t="s">
        <v>296</v>
      </c>
      <c r="B495" s="441" t="s">
        <v>326</v>
      </c>
      <c r="C495" s="441"/>
      <c r="D495" s="442">
        <v>220127</v>
      </c>
      <c r="E495" s="443">
        <v>13</v>
      </c>
      <c r="F495" s="252"/>
      <c r="G495" s="253"/>
      <c r="H495" s="267"/>
      <c r="I495" s="268"/>
      <c r="J495" s="252"/>
      <c r="K495" s="253"/>
      <c r="L495" s="267"/>
      <c r="M495" s="268"/>
      <c r="N495" s="252"/>
      <c r="O495" s="253"/>
      <c r="P495" s="267"/>
      <c r="Q495" s="268"/>
      <c r="R495" s="252"/>
      <c r="S495" s="253"/>
      <c r="T495" s="267"/>
      <c r="U495" s="268"/>
      <c r="V495" s="252"/>
      <c r="W495" s="253"/>
      <c r="X495" s="267"/>
      <c r="Y495" s="268"/>
      <c r="Z495" s="252"/>
      <c r="AA495" s="253"/>
      <c r="AB495" s="267"/>
      <c r="AC495" s="268"/>
      <c r="AD495" s="252"/>
      <c r="AE495" s="253"/>
      <c r="AF495" s="267"/>
      <c r="AG495" s="268"/>
      <c r="AH495" s="252"/>
      <c r="AI495" s="253"/>
      <c r="AJ495" s="267"/>
      <c r="AK495" s="268"/>
      <c r="AL495" s="252"/>
      <c r="AM495" s="253"/>
      <c r="AN495" s="267"/>
      <c r="AO495" s="268"/>
      <c r="AP495" s="255">
        <f t="shared" si="80"/>
        <v>0</v>
      </c>
      <c r="AQ495" s="256">
        <f t="shared" si="81"/>
        <v>0</v>
      </c>
      <c r="AR495" s="257">
        <f t="shared" si="82"/>
        <v>0</v>
      </c>
      <c r="AS495" s="258">
        <f t="shared" si="83"/>
        <v>0</v>
      </c>
      <c r="AT495" s="259">
        <v>15</v>
      </c>
      <c r="AU495" s="253">
        <v>67959.199999999997</v>
      </c>
      <c r="AV495" s="267">
        <v>18</v>
      </c>
      <c r="AW495" s="268">
        <v>80971.100000000006</v>
      </c>
      <c r="AX495" s="252">
        <v>15</v>
      </c>
      <c r="AY495" s="253">
        <v>110093.90400000001</v>
      </c>
      <c r="AZ495" s="267">
        <v>18</v>
      </c>
      <c r="BA495" s="268">
        <v>131936.74943267176</v>
      </c>
      <c r="BB495" s="252"/>
      <c r="BC495" s="253"/>
      <c r="BD495" s="267"/>
      <c r="BE495" s="268"/>
      <c r="BF495" s="252">
        <v>15</v>
      </c>
      <c r="BG495" s="253">
        <v>51988.788</v>
      </c>
      <c r="BH495" s="267">
        <v>18</v>
      </c>
      <c r="BI495" s="268">
        <v>61942.891499999998</v>
      </c>
      <c r="BJ495" s="252"/>
      <c r="BK495" s="253"/>
      <c r="BL495" s="267"/>
      <c r="BM495" s="268"/>
      <c r="BN495" s="252"/>
      <c r="BO495" s="253"/>
      <c r="BP495" s="267"/>
      <c r="BQ495" s="268"/>
      <c r="BR495" s="252"/>
      <c r="BS495" s="253"/>
      <c r="BT495" s="267"/>
      <c r="BU495" s="268"/>
      <c r="BV495" s="252"/>
      <c r="BW495" s="253"/>
      <c r="BX495" s="267"/>
      <c r="BY495" s="268"/>
      <c r="BZ495" s="252"/>
      <c r="CA495" s="253"/>
      <c r="CB495" s="267"/>
      <c r="CC495" s="268"/>
      <c r="CD495" s="255">
        <f t="shared" si="84"/>
        <v>15</v>
      </c>
      <c r="CE495" s="256">
        <f t="shared" si="85"/>
        <v>230041.89199999999</v>
      </c>
      <c r="CF495" s="257">
        <f t="shared" si="86"/>
        <v>18</v>
      </c>
      <c r="CG495" s="261">
        <f t="shared" si="87"/>
        <v>274850.74093267176</v>
      </c>
    </row>
    <row r="496" spans="1:85" s="263" customFormat="1" ht="12.75" customHeight="1">
      <c r="A496" s="440" t="s">
        <v>296</v>
      </c>
      <c r="B496" s="441" t="s">
        <v>327</v>
      </c>
      <c r="C496" s="441"/>
      <c r="D496" s="442">
        <v>220251</v>
      </c>
      <c r="E496" s="443">
        <v>13</v>
      </c>
      <c r="F496" s="252"/>
      <c r="G496" s="253"/>
      <c r="H496" s="267"/>
      <c r="I496" s="268"/>
      <c r="J496" s="252"/>
      <c r="K496" s="253"/>
      <c r="L496" s="267"/>
      <c r="M496" s="268"/>
      <c r="N496" s="252"/>
      <c r="O496" s="253"/>
      <c r="P496" s="267"/>
      <c r="Q496" s="268"/>
      <c r="R496" s="252"/>
      <c r="S496" s="253"/>
      <c r="T496" s="267"/>
      <c r="U496" s="268"/>
      <c r="V496" s="252"/>
      <c r="W496" s="253"/>
      <c r="X496" s="267"/>
      <c r="Y496" s="268"/>
      <c r="Z496" s="252"/>
      <c r="AA496" s="253"/>
      <c r="AB496" s="267"/>
      <c r="AC496" s="268"/>
      <c r="AD496" s="252"/>
      <c r="AE496" s="253"/>
      <c r="AF496" s="267"/>
      <c r="AG496" s="268"/>
      <c r="AH496" s="252"/>
      <c r="AI496" s="253"/>
      <c r="AJ496" s="267"/>
      <c r="AK496" s="268"/>
      <c r="AL496" s="252"/>
      <c r="AM496" s="253"/>
      <c r="AN496" s="267"/>
      <c r="AO496" s="268"/>
      <c r="AP496" s="255">
        <f t="shared" si="80"/>
        <v>0</v>
      </c>
      <c r="AQ496" s="256">
        <f t="shared" si="81"/>
        <v>0</v>
      </c>
      <c r="AR496" s="257">
        <f t="shared" si="82"/>
        <v>0</v>
      </c>
      <c r="AS496" s="258">
        <f t="shared" si="83"/>
        <v>0</v>
      </c>
      <c r="AT496" s="259">
        <v>12</v>
      </c>
      <c r="AU496" s="253">
        <v>48321.4</v>
      </c>
      <c r="AV496" s="267">
        <v>11</v>
      </c>
      <c r="AW496" s="268">
        <v>44501.4</v>
      </c>
      <c r="AX496" s="252">
        <v>12</v>
      </c>
      <c r="AY496" s="253">
        <v>78280.668000000005</v>
      </c>
      <c r="AZ496" s="267">
        <v>11</v>
      </c>
      <c r="BA496" s="268">
        <v>72511.921675796664</v>
      </c>
      <c r="BB496" s="252"/>
      <c r="BC496" s="253"/>
      <c r="BD496" s="267"/>
      <c r="BE496" s="268"/>
      <c r="BF496" s="252">
        <v>12</v>
      </c>
      <c r="BG496" s="253">
        <v>36965.870999999999</v>
      </c>
      <c r="BH496" s="267">
        <v>11</v>
      </c>
      <c r="BI496" s="268">
        <v>34043.570999999996</v>
      </c>
      <c r="BJ496" s="252"/>
      <c r="BK496" s="253"/>
      <c r="BL496" s="267"/>
      <c r="BM496" s="268"/>
      <c r="BN496" s="252"/>
      <c r="BO496" s="253"/>
      <c r="BP496" s="267"/>
      <c r="BQ496" s="268"/>
      <c r="BR496" s="252"/>
      <c r="BS496" s="253"/>
      <c r="BT496" s="267"/>
      <c r="BU496" s="268"/>
      <c r="BV496" s="252"/>
      <c r="BW496" s="253"/>
      <c r="BX496" s="267"/>
      <c r="BY496" s="268"/>
      <c r="BZ496" s="252"/>
      <c r="CA496" s="253"/>
      <c r="CB496" s="267"/>
      <c r="CC496" s="268"/>
      <c r="CD496" s="255">
        <f t="shared" si="84"/>
        <v>12</v>
      </c>
      <c r="CE496" s="256">
        <f t="shared" si="85"/>
        <v>163567.93900000001</v>
      </c>
      <c r="CF496" s="257">
        <f t="shared" si="86"/>
        <v>11</v>
      </c>
      <c r="CG496" s="261">
        <f t="shared" si="87"/>
        <v>151056.89267579667</v>
      </c>
    </row>
    <row r="497" spans="1:85" s="263" customFormat="1" ht="12.75" customHeight="1">
      <c r="A497" s="440" t="s">
        <v>296</v>
      </c>
      <c r="B497" s="441" t="s">
        <v>328</v>
      </c>
      <c r="C497" s="441"/>
      <c r="D497" s="442">
        <v>220279</v>
      </c>
      <c r="E497" s="443">
        <v>13</v>
      </c>
      <c r="F497" s="252"/>
      <c r="G497" s="253"/>
      <c r="H497" s="267"/>
      <c r="I497" s="268"/>
      <c r="J497" s="252"/>
      <c r="K497" s="253"/>
      <c r="L497" s="267"/>
      <c r="M497" s="268"/>
      <c r="N497" s="252"/>
      <c r="O497" s="253"/>
      <c r="P497" s="267"/>
      <c r="Q497" s="268"/>
      <c r="R497" s="252"/>
      <c r="S497" s="253"/>
      <c r="T497" s="267"/>
      <c r="U497" s="268"/>
      <c r="V497" s="252"/>
      <c r="W497" s="253"/>
      <c r="X497" s="267"/>
      <c r="Y497" s="268"/>
      <c r="Z497" s="252"/>
      <c r="AA497" s="253"/>
      <c r="AB497" s="267"/>
      <c r="AC497" s="268"/>
      <c r="AD497" s="252"/>
      <c r="AE497" s="253"/>
      <c r="AF497" s="267"/>
      <c r="AG497" s="268"/>
      <c r="AH497" s="252"/>
      <c r="AI497" s="253"/>
      <c r="AJ497" s="267"/>
      <c r="AK497" s="268"/>
      <c r="AL497" s="252"/>
      <c r="AM497" s="253"/>
      <c r="AN497" s="267"/>
      <c r="AO497" s="268"/>
      <c r="AP497" s="255">
        <f t="shared" si="80"/>
        <v>0</v>
      </c>
      <c r="AQ497" s="256">
        <f t="shared" si="81"/>
        <v>0</v>
      </c>
      <c r="AR497" s="257">
        <f t="shared" si="82"/>
        <v>0</v>
      </c>
      <c r="AS497" s="258">
        <f t="shared" si="83"/>
        <v>0</v>
      </c>
      <c r="AT497" s="259">
        <v>10</v>
      </c>
      <c r="AU497" s="253">
        <v>44969.9</v>
      </c>
      <c r="AV497" s="267">
        <v>20</v>
      </c>
      <c r="AW497" s="268">
        <v>80820.600000000006</v>
      </c>
      <c r="AX497" s="252">
        <v>10</v>
      </c>
      <c r="AY497" s="253">
        <v>72851.237999999998</v>
      </c>
      <c r="AZ497" s="267">
        <v>20</v>
      </c>
      <c r="BA497" s="268">
        <v>131691.52019915986</v>
      </c>
      <c r="BB497" s="252"/>
      <c r="BC497" s="253"/>
      <c r="BD497" s="267"/>
      <c r="BE497" s="268"/>
      <c r="BF497" s="252">
        <v>10</v>
      </c>
      <c r="BG497" s="253">
        <v>34401.9735</v>
      </c>
      <c r="BH497" s="267">
        <v>20</v>
      </c>
      <c r="BI497" s="268">
        <v>61827.758999999998</v>
      </c>
      <c r="BJ497" s="252"/>
      <c r="BK497" s="253"/>
      <c r="BL497" s="267"/>
      <c r="BM497" s="268"/>
      <c r="BN497" s="252"/>
      <c r="BO497" s="253"/>
      <c r="BP497" s="267"/>
      <c r="BQ497" s="268"/>
      <c r="BR497" s="252"/>
      <c r="BS497" s="253"/>
      <c r="BT497" s="267"/>
      <c r="BU497" s="268"/>
      <c r="BV497" s="252"/>
      <c r="BW497" s="253"/>
      <c r="BX497" s="267"/>
      <c r="BY497" s="268"/>
      <c r="BZ497" s="252"/>
      <c r="CA497" s="253"/>
      <c r="CB497" s="267"/>
      <c r="CC497" s="268"/>
      <c r="CD497" s="255">
        <f t="shared" si="84"/>
        <v>10</v>
      </c>
      <c r="CE497" s="256">
        <f t="shared" si="85"/>
        <v>152223.1115</v>
      </c>
      <c r="CF497" s="257">
        <f t="shared" si="86"/>
        <v>20</v>
      </c>
      <c r="CG497" s="261">
        <f t="shared" si="87"/>
        <v>274339.87919915986</v>
      </c>
    </row>
    <row r="498" spans="1:85" s="263" customFormat="1" ht="12.75" customHeight="1">
      <c r="A498" s="440" t="s">
        <v>296</v>
      </c>
      <c r="B498" s="441" t="s">
        <v>41</v>
      </c>
      <c r="C498" s="441"/>
      <c r="D498" s="442">
        <v>220321</v>
      </c>
      <c r="E498" s="443">
        <v>13</v>
      </c>
      <c r="F498" s="252"/>
      <c r="G498" s="253"/>
      <c r="H498" s="267"/>
      <c r="I498" s="268"/>
      <c r="J498" s="252"/>
      <c r="K498" s="253"/>
      <c r="L498" s="267"/>
      <c r="M498" s="268"/>
      <c r="N498" s="252"/>
      <c r="O498" s="253"/>
      <c r="P498" s="267"/>
      <c r="Q498" s="268"/>
      <c r="R498" s="252"/>
      <c r="S498" s="253"/>
      <c r="T498" s="267"/>
      <c r="U498" s="268"/>
      <c r="V498" s="252"/>
      <c r="W498" s="253"/>
      <c r="X498" s="267"/>
      <c r="Y498" s="268"/>
      <c r="Z498" s="252"/>
      <c r="AA498" s="253"/>
      <c r="AB498" s="267"/>
      <c r="AC498" s="268"/>
      <c r="AD498" s="252"/>
      <c r="AE498" s="253"/>
      <c r="AF498" s="267"/>
      <c r="AG498" s="268"/>
      <c r="AH498" s="252"/>
      <c r="AI498" s="253"/>
      <c r="AJ498" s="267"/>
      <c r="AK498" s="268"/>
      <c r="AL498" s="252"/>
      <c r="AM498" s="253"/>
      <c r="AN498" s="267"/>
      <c r="AO498" s="268"/>
      <c r="AP498" s="255">
        <f t="shared" si="80"/>
        <v>0</v>
      </c>
      <c r="AQ498" s="256">
        <f t="shared" si="81"/>
        <v>0</v>
      </c>
      <c r="AR498" s="257">
        <f t="shared" si="82"/>
        <v>0</v>
      </c>
      <c r="AS498" s="258">
        <f t="shared" si="83"/>
        <v>0</v>
      </c>
      <c r="AT498" s="259">
        <v>21</v>
      </c>
      <c r="AU498" s="253">
        <v>88182</v>
      </c>
      <c r="AV498" s="267">
        <v>24</v>
      </c>
      <c r="AW498" s="268">
        <v>102340.90000000001</v>
      </c>
      <c r="AX498" s="252">
        <v>21</v>
      </c>
      <c r="AY498" s="253">
        <v>142854.84</v>
      </c>
      <c r="AZ498" s="267">
        <v>24</v>
      </c>
      <c r="BA498" s="268">
        <v>166757.34527521694</v>
      </c>
      <c r="BB498" s="252"/>
      <c r="BC498" s="253"/>
      <c r="BD498" s="267"/>
      <c r="BE498" s="268"/>
      <c r="BF498" s="252">
        <v>21</v>
      </c>
      <c r="BG498" s="253">
        <v>67459.23</v>
      </c>
      <c r="BH498" s="267">
        <v>24</v>
      </c>
      <c r="BI498" s="268">
        <v>78290.788499999995</v>
      </c>
      <c r="BJ498" s="252"/>
      <c r="BK498" s="253"/>
      <c r="BL498" s="267"/>
      <c r="BM498" s="268"/>
      <c r="BN498" s="252"/>
      <c r="BO498" s="253"/>
      <c r="BP498" s="267"/>
      <c r="BQ498" s="268"/>
      <c r="BR498" s="252"/>
      <c r="BS498" s="253"/>
      <c r="BT498" s="267"/>
      <c r="BU498" s="268"/>
      <c r="BV498" s="252"/>
      <c r="BW498" s="253"/>
      <c r="BX498" s="267"/>
      <c r="BY498" s="268"/>
      <c r="BZ498" s="252"/>
      <c r="CA498" s="253"/>
      <c r="CB498" s="267"/>
      <c r="CC498" s="268"/>
      <c r="CD498" s="255">
        <f t="shared" si="84"/>
        <v>21</v>
      </c>
      <c r="CE498" s="256">
        <f t="shared" si="85"/>
        <v>298496.07</v>
      </c>
      <c r="CF498" s="257">
        <f t="shared" si="86"/>
        <v>24</v>
      </c>
      <c r="CG498" s="261">
        <f t="shared" si="87"/>
        <v>347389.03377521696</v>
      </c>
    </row>
    <row r="499" spans="1:85" s="263" customFormat="1" ht="12.75" customHeight="1">
      <c r="A499" s="440" t="s">
        <v>296</v>
      </c>
      <c r="B499" s="441" t="s">
        <v>329</v>
      </c>
      <c r="C499" s="441"/>
      <c r="D499" s="442">
        <v>220394</v>
      </c>
      <c r="E499" s="443">
        <v>13</v>
      </c>
      <c r="F499" s="252"/>
      <c r="G499" s="253"/>
      <c r="H499" s="267"/>
      <c r="I499" s="268"/>
      <c r="J499" s="252"/>
      <c r="K499" s="253"/>
      <c r="L499" s="267"/>
      <c r="M499" s="268"/>
      <c r="N499" s="252"/>
      <c r="O499" s="253"/>
      <c r="P499" s="267"/>
      <c r="Q499" s="268"/>
      <c r="R499" s="252"/>
      <c r="S499" s="253"/>
      <c r="T499" s="267"/>
      <c r="U499" s="268"/>
      <c r="V499" s="252"/>
      <c r="W499" s="253"/>
      <c r="X499" s="267"/>
      <c r="Y499" s="268"/>
      <c r="Z499" s="252"/>
      <c r="AA499" s="253"/>
      <c r="AB499" s="267"/>
      <c r="AC499" s="268"/>
      <c r="AD499" s="252"/>
      <c r="AE499" s="253"/>
      <c r="AF499" s="267"/>
      <c r="AG499" s="268"/>
      <c r="AH499" s="252"/>
      <c r="AI499" s="253"/>
      <c r="AJ499" s="267"/>
      <c r="AK499" s="268"/>
      <c r="AL499" s="252"/>
      <c r="AM499" s="253"/>
      <c r="AN499" s="267"/>
      <c r="AO499" s="268"/>
      <c r="AP499" s="255">
        <f t="shared" si="80"/>
        <v>0</v>
      </c>
      <c r="AQ499" s="256">
        <f t="shared" si="81"/>
        <v>0</v>
      </c>
      <c r="AR499" s="257">
        <f t="shared" si="82"/>
        <v>0</v>
      </c>
      <c r="AS499" s="258">
        <f t="shared" si="83"/>
        <v>0</v>
      </c>
      <c r="AT499" s="259">
        <v>9</v>
      </c>
      <c r="AU499" s="253">
        <v>42375.1</v>
      </c>
      <c r="AV499" s="267">
        <v>9</v>
      </c>
      <c r="AW499" s="268">
        <v>44033.5</v>
      </c>
      <c r="AX499" s="252">
        <v>9</v>
      </c>
      <c r="AY499" s="253">
        <v>68647.661999999997</v>
      </c>
      <c r="AZ499" s="267">
        <v>9</v>
      </c>
      <c r="BA499" s="268">
        <v>71749.511321243655</v>
      </c>
      <c r="BB499" s="252"/>
      <c r="BC499" s="253"/>
      <c r="BD499" s="267"/>
      <c r="BE499" s="268"/>
      <c r="BF499" s="252">
        <v>9</v>
      </c>
      <c r="BG499" s="253">
        <v>32416.951499999999</v>
      </c>
      <c r="BH499" s="267">
        <v>9</v>
      </c>
      <c r="BI499" s="268">
        <v>33685.627500000002</v>
      </c>
      <c r="BJ499" s="252"/>
      <c r="BK499" s="253"/>
      <c r="BL499" s="267"/>
      <c r="BM499" s="268"/>
      <c r="BN499" s="252"/>
      <c r="BO499" s="253"/>
      <c r="BP499" s="267"/>
      <c r="BQ499" s="268"/>
      <c r="BR499" s="252"/>
      <c r="BS499" s="253"/>
      <c r="BT499" s="267"/>
      <c r="BU499" s="268"/>
      <c r="BV499" s="252"/>
      <c r="BW499" s="253"/>
      <c r="BX499" s="267"/>
      <c r="BY499" s="268"/>
      <c r="BZ499" s="252"/>
      <c r="CA499" s="253"/>
      <c r="CB499" s="267"/>
      <c r="CC499" s="268"/>
      <c r="CD499" s="255">
        <f t="shared" si="84"/>
        <v>9</v>
      </c>
      <c r="CE499" s="256">
        <f t="shared" si="85"/>
        <v>143439.71349999998</v>
      </c>
      <c r="CF499" s="257">
        <f t="shared" si="86"/>
        <v>9</v>
      </c>
      <c r="CG499" s="261">
        <f t="shared" si="87"/>
        <v>149468.63882124366</v>
      </c>
    </row>
    <row r="500" spans="1:85" s="263" customFormat="1" ht="12.75" customHeight="1">
      <c r="A500" s="440" t="s">
        <v>296</v>
      </c>
      <c r="B500" s="441" t="s">
        <v>330</v>
      </c>
      <c r="C500" s="441"/>
      <c r="D500" s="442">
        <v>221616</v>
      </c>
      <c r="E500" s="443">
        <v>13</v>
      </c>
      <c r="F500" s="252"/>
      <c r="G500" s="253"/>
      <c r="H500" s="267"/>
      <c r="I500" s="268"/>
      <c r="J500" s="252"/>
      <c r="K500" s="253"/>
      <c r="L500" s="267"/>
      <c r="M500" s="268"/>
      <c r="N500" s="252"/>
      <c r="O500" s="253"/>
      <c r="P500" s="267"/>
      <c r="Q500" s="268"/>
      <c r="R500" s="252"/>
      <c r="S500" s="253"/>
      <c r="T500" s="267"/>
      <c r="U500" s="268"/>
      <c r="V500" s="252"/>
      <c r="W500" s="253"/>
      <c r="X500" s="267"/>
      <c r="Y500" s="268"/>
      <c r="Z500" s="252"/>
      <c r="AA500" s="253"/>
      <c r="AB500" s="267"/>
      <c r="AC500" s="268"/>
      <c r="AD500" s="252"/>
      <c r="AE500" s="253"/>
      <c r="AF500" s="267"/>
      <c r="AG500" s="268"/>
      <c r="AH500" s="252"/>
      <c r="AI500" s="253"/>
      <c r="AJ500" s="267"/>
      <c r="AK500" s="268"/>
      <c r="AL500" s="252"/>
      <c r="AM500" s="253"/>
      <c r="AN500" s="267"/>
      <c r="AO500" s="268"/>
      <c r="AP500" s="255">
        <f t="shared" si="80"/>
        <v>0</v>
      </c>
      <c r="AQ500" s="256">
        <f t="shared" si="81"/>
        <v>0</v>
      </c>
      <c r="AR500" s="257">
        <f t="shared" si="82"/>
        <v>0</v>
      </c>
      <c r="AS500" s="258">
        <f t="shared" si="83"/>
        <v>0</v>
      </c>
      <c r="AT500" s="259">
        <v>25</v>
      </c>
      <c r="AU500" s="253">
        <v>118762.6</v>
      </c>
      <c r="AV500" s="267">
        <v>25</v>
      </c>
      <c r="AW500" s="268">
        <v>116776.70000000001</v>
      </c>
      <c r="AX500" s="252">
        <v>25</v>
      </c>
      <c r="AY500" s="253">
        <v>192395.41200000001</v>
      </c>
      <c r="AZ500" s="267">
        <v>25</v>
      </c>
      <c r="BA500" s="268">
        <v>190279.47264486071</v>
      </c>
      <c r="BB500" s="252"/>
      <c r="BC500" s="253"/>
      <c r="BD500" s="267"/>
      <c r="BE500" s="268"/>
      <c r="BF500" s="252">
        <v>25</v>
      </c>
      <c r="BG500" s="253">
        <v>90853.388999999996</v>
      </c>
      <c r="BH500" s="267">
        <v>25</v>
      </c>
      <c r="BI500" s="268">
        <v>89334.175499999998</v>
      </c>
      <c r="BJ500" s="252"/>
      <c r="BK500" s="253"/>
      <c r="BL500" s="267"/>
      <c r="BM500" s="268"/>
      <c r="BN500" s="252"/>
      <c r="BO500" s="253"/>
      <c r="BP500" s="267"/>
      <c r="BQ500" s="268"/>
      <c r="BR500" s="252"/>
      <c r="BS500" s="253"/>
      <c r="BT500" s="267"/>
      <c r="BU500" s="268"/>
      <c r="BV500" s="252"/>
      <c r="BW500" s="253"/>
      <c r="BX500" s="267"/>
      <c r="BY500" s="268"/>
      <c r="BZ500" s="252"/>
      <c r="CA500" s="253"/>
      <c r="CB500" s="267"/>
      <c r="CC500" s="268"/>
      <c r="CD500" s="255">
        <f t="shared" si="84"/>
        <v>25</v>
      </c>
      <c r="CE500" s="256">
        <f t="shared" si="85"/>
        <v>402011.40099999995</v>
      </c>
      <c r="CF500" s="257">
        <f t="shared" si="86"/>
        <v>25</v>
      </c>
      <c r="CG500" s="261">
        <f t="shared" si="87"/>
        <v>396390.34814486071</v>
      </c>
    </row>
    <row r="501" spans="1:85" s="263" customFormat="1" ht="12.75" customHeight="1">
      <c r="A501" s="440" t="s">
        <v>296</v>
      </c>
      <c r="B501" s="441" t="s">
        <v>331</v>
      </c>
      <c r="C501" s="441"/>
      <c r="D501" s="442">
        <v>221625</v>
      </c>
      <c r="E501" s="443">
        <v>13</v>
      </c>
      <c r="F501" s="252"/>
      <c r="G501" s="253"/>
      <c r="H501" s="267"/>
      <c r="I501" s="268"/>
      <c r="J501" s="252"/>
      <c r="K501" s="253"/>
      <c r="L501" s="267"/>
      <c r="M501" s="268"/>
      <c r="N501" s="252"/>
      <c r="O501" s="253"/>
      <c r="P501" s="267"/>
      <c r="Q501" s="268"/>
      <c r="R501" s="252"/>
      <c r="S501" s="253"/>
      <c r="T501" s="267"/>
      <c r="U501" s="268"/>
      <c r="V501" s="252"/>
      <c r="W501" s="253"/>
      <c r="X501" s="267"/>
      <c r="Y501" s="268"/>
      <c r="Z501" s="252"/>
      <c r="AA501" s="253"/>
      <c r="AB501" s="267"/>
      <c r="AC501" s="268"/>
      <c r="AD501" s="252"/>
      <c r="AE501" s="253"/>
      <c r="AF501" s="267"/>
      <c r="AG501" s="268"/>
      <c r="AH501" s="252"/>
      <c r="AI501" s="253"/>
      <c r="AJ501" s="267"/>
      <c r="AK501" s="268"/>
      <c r="AL501" s="252"/>
      <c r="AM501" s="253"/>
      <c r="AN501" s="267"/>
      <c r="AO501" s="268"/>
      <c r="AP501" s="255">
        <f t="shared" si="80"/>
        <v>0</v>
      </c>
      <c r="AQ501" s="256">
        <f t="shared" si="81"/>
        <v>0</v>
      </c>
      <c r="AR501" s="257">
        <f t="shared" si="82"/>
        <v>0</v>
      </c>
      <c r="AS501" s="258">
        <f t="shared" si="83"/>
        <v>0</v>
      </c>
      <c r="AT501" s="259">
        <v>31</v>
      </c>
      <c r="AU501" s="253">
        <v>140682.1</v>
      </c>
      <c r="AV501" s="267">
        <v>31</v>
      </c>
      <c r="AW501" s="268">
        <v>140965.70000000001</v>
      </c>
      <c r="AX501" s="252">
        <v>31</v>
      </c>
      <c r="AY501" s="253">
        <v>227905.00200000001</v>
      </c>
      <c r="AZ501" s="267">
        <v>31</v>
      </c>
      <c r="BA501" s="268">
        <v>229693.75789017536</v>
      </c>
      <c r="BB501" s="252"/>
      <c r="BC501" s="253"/>
      <c r="BD501" s="267"/>
      <c r="BE501" s="268"/>
      <c r="BF501" s="252">
        <v>31</v>
      </c>
      <c r="BG501" s="253">
        <v>107621.80649999999</v>
      </c>
      <c r="BH501" s="267">
        <v>31</v>
      </c>
      <c r="BI501" s="268">
        <v>107838.7605</v>
      </c>
      <c r="BJ501" s="252"/>
      <c r="BK501" s="253"/>
      <c r="BL501" s="267"/>
      <c r="BM501" s="268"/>
      <c r="BN501" s="252"/>
      <c r="BO501" s="253"/>
      <c r="BP501" s="267"/>
      <c r="BQ501" s="268"/>
      <c r="BR501" s="252"/>
      <c r="BS501" s="253"/>
      <c r="BT501" s="267"/>
      <c r="BU501" s="268"/>
      <c r="BV501" s="252"/>
      <c r="BW501" s="253"/>
      <c r="BX501" s="267"/>
      <c r="BY501" s="268"/>
      <c r="BZ501" s="252"/>
      <c r="CA501" s="253"/>
      <c r="CB501" s="267"/>
      <c r="CC501" s="268"/>
      <c r="CD501" s="255">
        <f t="shared" si="84"/>
        <v>31</v>
      </c>
      <c r="CE501" s="256">
        <f t="shared" si="85"/>
        <v>476208.90850000002</v>
      </c>
      <c r="CF501" s="257">
        <f t="shared" si="86"/>
        <v>31</v>
      </c>
      <c r="CG501" s="261">
        <f t="shared" si="87"/>
        <v>478498.21839017537</v>
      </c>
    </row>
    <row r="502" spans="1:85" s="263" customFormat="1" ht="12.75" customHeight="1">
      <c r="A502" s="440" t="s">
        <v>296</v>
      </c>
      <c r="B502" s="441" t="s">
        <v>332</v>
      </c>
      <c r="C502" s="441"/>
      <c r="D502" s="442">
        <v>220640</v>
      </c>
      <c r="E502" s="443">
        <v>13</v>
      </c>
      <c r="F502" s="252"/>
      <c r="G502" s="253"/>
      <c r="H502" s="267"/>
      <c r="I502" s="268"/>
      <c r="J502" s="252"/>
      <c r="K502" s="253"/>
      <c r="L502" s="267"/>
      <c r="M502" s="268"/>
      <c r="N502" s="252"/>
      <c r="O502" s="253"/>
      <c r="P502" s="267"/>
      <c r="Q502" s="268"/>
      <c r="R502" s="252"/>
      <c r="S502" s="253"/>
      <c r="T502" s="267"/>
      <c r="U502" s="268"/>
      <c r="V502" s="252"/>
      <c r="W502" s="253"/>
      <c r="X502" s="267"/>
      <c r="Y502" s="268"/>
      <c r="Z502" s="252"/>
      <c r="AA502" s="253"/>
      <c r="AB502" s="267"/>
      <c r="AC502" s="268"/>
      <c r="AD502" s="252"/>
      <c r="AE502" s="253"/>
      <c r="AF502" s="267"/>
      <c r="AG502" s="268"/>
      <c r="AH502" s="252"/>
      <c r="AI502" s="253"/>
      <c r="AJ502" s="267"/>
      <c r="AK502" s="268"/>
      <c r="AL502" s="252"/>
      <c r="AM502" s="253"/>
      <c r="AN502" s="267"/>
      <c r="AO502" s="268"/>
      <c r="AP502" s="255">
        <f t="shared" si="80"/>
        <v>0</v>
      </c>
      <c r="AQ502" s="256">
        <f t="shared" si="81"/>
        <v>0</v>
      </c>
      <c r="AR502" s="257">
        <f t="shared" si="82"/>
        <v>0</v>
      </c>
      <c r="AS502" s="258">
        <f t="shared" si="83"/>
        <v>0</v>
      </c>
      <c r="AT502" s="259">
        <v>18</v>
      </c>
      <c r="AU502" s="253">
        <v>78935.100000000006</v>
      </c>
      <c r="AV502" s="267">
        <v>19</v>
      </c>
      <c r="AW502" s="268">
        <v>83588.900000000009</v>
      </c>
      <c r="AX502" s="252">
        <v>18</v>
      </c>
      <c r="AY502" s="253">
        <v>127874.86200000001</v>
      </c>
      <c r="AZ502" s="267">
        <v>19</v>
      </c>
      <c r="BA502" s="268">
        <v>136202.2716086685</v>
      </c>
      <c r="BB502" s="252"/>
      <c r="BC502" s="253"/>
      <c r="BD502" s="267"/>
      <c r="BE502" s="268"/>
      <c r="BF502" s="252">
        <v>18</v>
      </c>
      <c r="BG502" s="253">
        <v>60385.351499999997</v>
      </c>
      <c r="BH502" s="267">
        <v>19</v>
      </c>
      <c r="BI502" s="268">
        <v>63945.508499999996</v>
      </c>
      <c r="BJ502" s="252"/>
      <c r="BK502" s="253"/>
      <c r="BL502" s="267"/>
      <c r="BM502" s="268"/>
      <c r="BN502" s="252"/>
      <c r="BO502" s="253"/>
      <c r="BP502" s="267"/>
      <c r="BQ502" s="268"/>
      <c r="BR502" s="252"/>
      <c r="BS502" s="253"/>
      <c r="BT502" s="267"/>
      <c r="BU502" s="268"/>
      <c r="BV502" s="252"/>
      <c r="BW502" s="253"/>
      <c r="BX502" s="267"/>
      <c r="BY502" s="268"/>
      <c r="BZ502" s="252"/>
      <c r="CA502" s="253"/>
      <c r="CB502" s="267"/>
      <c r="CC502" s="268"/>
      <c r="CD502" s="255">
        <f t="shared" si="84"/>
        <v>18</v>
      </c>
      <c r="CE502" s="256">
        <f t="shared" si="85"/>
        <v>267195.31350000005</v>
      </c>
      <c r="CF502" s="257">
        <f t="shared" si="86"/>
        <v>19</v>
      </c>
      <c r="CG502" s="261">
        <f t="shared" si="87"/>
        <v>283736.68010866852</v>
      </c>
    </row>
    <row r="503" spans="1:85" s="263" customFormat="1" ht="12.75" customHeight="1">
      <c r="A503" s="440" t="s">
        <v>296</v>
      </c>
      <c r="B503" s="441" t="s">
        <v>333</v>
      </c>
      <c r="C503" s="441"/>
      <c r="D503" s="442">
        <v>220756</v>
      </c>
      <c r="E503" s="443">
        <v>13</v>
      </c>
      <c r="F503" s="252"/>
      <c r="G503" s="253"/>
      <c r="H503" s="267"/>
      <c r="I503" s="268"/>
      <c r="J503" s="252"/>
      <c r="K503" s="253"/>
      <c r="L503" s="267"/>
      <c r="M503" s="268"/>
      <c r="N503" s="252"/>
      <c r="O503" s="253"/>
      <c r="P503" s="267"/>
      <c r="Q503" s="268"/>
      <c r="R503" s="252"/>
      <c r="S503" s="253"/>
      <c r="T503" s="267"/>
      <c r="U503" s="268"/>
      <c r="V503" s="252"/>
      <c r="W503" s="253"/>
      <c r="X503" s="267"/>
      <c r="Y503" s="268"/>
      <c r="Z503" s="252"/>
      <c r="AA503" s="253"/>
      <c r="AB503" s="267"/>
      <c r="AC503" s="268"/>
      <c r="AD503" s="252"/>
      <c r="AE503" s="253"/>
      <c r="AF503" s="267"/>
      <c r="AG503" s="268"/>
      <c r="AH503" s="252"/>
      <c r="AI503" s="253"/>
      <c r="AJ503" s="267"/>
      <c r="AK503" s="268"/>
      <c r="AL503" s="252"/>
      <c r="AM503" s="253"/>
      <c r="AN503" s="267"/>
      <c r="AO503" s="268"/>
      <c r="AP503" s="255">
        <f t="shared" si="80"/>
        <v>0</v>
      </c>
      <c r="AQ503" s="256">
        <f t="shared" si="81"/>
        <v>0</v>
      </c>
      <c r="AR503" s="257">
        <f t="shared" si="82"/>
        <v>0</v>
      </c>
      <c r="AS503" s="258">
        <f t="shared" si="83"/>
        <v>0</v>
      </c>
      <c r="AT503" s="259">
        <v>10</v>
      </c>
      <c r="AU503" s="253">
        <v>43037</v>
      </c>
      <c r="AV503" s="267">
        <v>9</v>
      </c>
      <c r="AW503" s="268">
        <v>39337.200000000004</v>
      </c>
      <c r="AX503" s="252">
        <v>10</v>
      </c>
      <c r="AY503" s="253">
        <v>69719.94</v>
      </c>
      <c r="AZ503" s="267">
        <v>9</v>
      </c>
      <c r="BA503" s="268">
        <v>64097.218634585624</v>
      </c>
      <c r="BB503" s="252"/>
      <c r="BC503" s="253"/>
      <c r="BD503" s="267"/>
      <c r="BE503" s="268"/>
      <c r="BF503" s="252">
        <v>10</v>
      </c>
      <c r="BG503" s="253">
        <v>32923.305</v>
      </c>
      <c r="BH503" s="267">
        <v>9</v>
      </c>
      <c r="BI503" s="268">
        <v>30092.957999999999</v>
      </c>
      <c r="BJ503" s="252"/>
      <c r="BK503" s="253"/>
      <c r="BL503" s="267"/>
      <c r="BM503" s="268"/>
      <c r="BN503" s="252"/>
      <c r="BO503" s="253"/>
      <c r="BP503" s="267"/>
      <c r="BQ503" s="268"/>
      <c r="BR503" s="252"/>
      <c r="BS503" s="253"/>
      <c r="BT503" s="267"/>
      <c r="BU503" s="268"/>
      <c r="BV503" s="252"/>
      <c r="BW503" s="253"/>
      <c r="BX503" s="267"/>
      <c r="BY503" s="268"/>
      <c r="BZ503" s="252"/>
      <c r="CA503" s="253"/>
      <c r="CB503" s="267"/>
      <c r="CC503" s="268"/>
      <c r="CD503" s="255">
        <f t="shared" si="84"/>
        <v>10</v>
      </c>
      <c r="CE503" s="256">
        <f t="shared" si="85"/>
        <v>145680.245</v>
      </c>
      <c r="CF503" s="257">
        <f t="shared" si="86"/>
        <v>9</v>
      </c>
      <c r="CG503" s="261">
        <f t="shared" si="87"/>
        <v>133527.37663458564</v>
      </c>
    </row>
    <row r="504" spans="1:85" s="263" customFormat="1" ht="12.75" customHeight="1">
      <c r="A504" s="440" t="s">
        <v>296</v>
      </c>
      <c r="B504" s="441" t="s">
        <v>334</v>
      </c>
      <c r="C504" s="441"/>
      <c r="D504" s="442">
        <v>221607</v>
      </c>
      <c r="E504" s="443">
        <v>13</v>
      </c>
      <c r="F504" s="252"/>
      <c r="G504" s="253"/>
      <c r="H504" s="267"/>
      <c r="I504" s="268"/>
      <c r="J504" s="252"/>
      <c r="K504" s="253"/>
      <c r="L504" s="267"/>
      <c r="M504" s="268"/>
      <c r="N504" s="252"/>
      <c r="O504" s="253"/>
      <c r="P504" s="267"/>
      <c r="Q504" s="268"/>
      <c r="R504" s="252"/>
      <c r="S504" s="253"/>
      <c r="T504" s="267"/>
      <c r="U504" s="268"/>
      <c r="V504" s="252"/>
      <c r="W504" s="253"/>
      <c r="X504" s="267"/>
      <c r="Y504" s="268"/>
      <c r="Z504" s="252"/>
      <c r="AA504" s="253"/>
      <c r="AB504" s="267"/>
      <c r="AC504" s="268"/>
      <c r="AD504" s="252"/>
      <c r="AE504" s="253"/>
      <c r="AF504" s="267"/>
      <c r="AG504" s="268"/>
      <c r="AH504" s="252"/>
      <c r="AI504" s="253"/>
      <c r="AJ504" s="267"/>
      <c r="AK504" s="268"/>
      <c r="AL504" s="252"/>
      <c r="AM504" s="253"/>
      <c r="AN504" s="267"/>
      <c r="AO504" s="268"/>
      <c r="AP504" s="255">
        <f t="shared" si="80"/>
        <v>0</v>
      </c>
      <c r="AQ504" s="256">
        <f t="shared" si="81"/>
        <v>0</v>
      </c>
      <c r="AR504" s="257">
        <f t="shared" si="82"/>
        <v>0</v>
      </c>
      <c r="AS504" s="258">
        <f t="shared" si="83"/>
        <v>0</v>
      </c>
      <c r="AT504" s="259">
        <v>12</v>
      </c>
      <c r="AU504" s="253">
        <v>55450.8</v>
      </c>
      <c r="AV504" s="267">
        <v>12</v>
      </c>
      <c r="AW504" s="268">
        <v>54276.100000000006</v>
      </c>
      <c r="AX504" s="252">
        <v>12</v>
      </c>
      <c r="AY504" s="253">
        <v>89830.296000000002</v>
      </c>
      <c r="AZ504" s="267">
        <v>12</v>
      </c>
      <c r="BA504" s="268">
        <v>88439.112299112108</v>
      </c>
      <c r="BB504" s="252"/>
      <c r="BC504" s="253"/>
      <c r="BD504" s="267"/>
      <c r="BE504" s="268"/>
      <c r="BF504" s="252">
        <v>12</v>
      </c>
      <c r="BG504" s="253">
        <v>42419.862000000001</v>
      </c>
      <c r="BH504" s="267">
        <v>12</v>
      </c>
      <c r="BI504" s="268">
        <v>41521.216500000002</v>
      </c>
      <c r="BJ504" s="252"/>
      <c r="BK504" s="253"/>
      <c r="BL504" s="267"/>
      <c r="BM504" s="268"/>
      <c r="BN504" s="252"/>
      <c r="BO504" s="253"/>
      <c r="BP504" s="267"/>
      <c r="BQ504" s="268"/>
      <c r="BR504" s="252"/>
      <c r="BS504" s="253"/>
      <c r="BT504" s="267"/>
      <c r="BU504" s="268"/>
      <c r="BV504" s="252"/>
      <c r="BW504" s="253"/>
      <c r="BX504" s="267"/>
      <c r="BY504" s="268"/>
      <c r="BZ504" s="252"/>
      <c r="CA504" s="253"/>
      <c r="CB504" s="267"/>
      <c r="CC504" s="268"/>
      <c r="CD504" s="255">
        <f t="shared" si="84"/>
        <v>12</v>
      </c>
      <c r="CE504" s="256">
        <f t="shared" si="85"/>
        <v>187700.95799999998</v>
      </c>
      <c r="CF504" s="257">
        <f t="shared" si="86"/>
        <v>12</v>
      </c>
      <c r="CG504" s="261">
        <f t="shared" si="87"/>
        <v>184236.42879911212</v>
      </c>
    </row>
    <row r="505" spans="1:85" s="263" customFormat="1" ht="12.75" customHeight="1">
      <c r="A505" s="440" t="s">
        <v>296</v>
      </c>
      <c r="B505" s="441" t="s">
        <v>335</v>
      </c>
      <c r="C505" s="441"/>
      <c r="D505" s="442">
        <v>220853</v>
      </c>
      <c r="E505" s="443">
        <v>13</v>
      </c>
      <c r="F505" s="252"/>
      <c r="G505" s="253"/>
      <c r="H505" s="267"/>
      <c r="I505" s="268"/>
      <c r="J505" s="252"/>
      <c r="K505" s="253"/>
      <c r="L505" s="267"/>
      <c r="M505" s="268"/>
      <c r="N505" s="252"/>
      <c r="O505" s="253"/>
      <c r="P505" s="267"/>
      <c r="Q505" s="268"/>
      <c r="R505" s="252"/>
      <c r="S505" s="253"/>
      <c r="T505" s="267"/>
      <c r="U505" s="268"/>
      <c r="V505" s="252"/>
      <c r="W505" s="253"/>
      <c r="X505" s="267"/>
      <c r="Y505" s="268"/>
      <c r="Z505" s="252"/>
      <c r="AA505" s="253"/>
      <c r="AB505" s="267"/>
      <c r="AC505" s="268"/>
      <c r="AD505" s="252"/>
      <c r="AE505" s="253"/>
      <c r="AF505" s="267"/>
      <c r="AG505" s="268"/>
      <c r="AH505" s="252"/>
      <c r="AI505" s="253"/>
      <c r="AJ505" s="267"/>
      <c r="AK505" s="268"/>
      <c r="AL505" s="252"/>
      <c r="AM505" s="253"/>
      <c r="AN505" s="267"/>
      <c r="AO505" s="268"/>
      <c r="AP505" s="255">
        <f t="shared" si="80"/>
        <v>0</v>
      </c>
      <c r="AQ505" s="256">
        <f t="shared" si="81"/>
        <v>0</v>
      </c>
      <c r="AR505" s="257">
        <f t="shared" si="82"/>
        <v>0</v>
      </c>
      <c r="AS505" s="258">
        <f t="shared" si="83"/>
        <v>0</v>
      </c>
      <c r="AT505" s="259">
        <v>38</v>
      </c>
      <c r="AU505" s="253">
        <v>174612</v>
      </c>
      <c r="AV505" s="267">
        <v>36</v>
      </c>
      <c r="AW505" s="268">
        <v>159737.60000000001</v>
      </c>
      <c r="AX505" s="252">
        <v>38</v>
      </c>
      <c r="AY505" s="253">
        <v>282871.44</v>
      </c>
      <c r="AZ505" s="267">
        <v>36</v>
      </c>
      <c r="BA505" s="268">
        <v>260281.25721617157</v>
      </c>
      <c r="BB505" s="252"/>
      <c r="BC505" s="253"/>
      <c r="BD505" s="267"/>
      <c r="BE505" s="268"/>
      <c r="BF505" s="252">
        <v>38</v>
      </c>
      <c r="BG505" s="253">
        <v>133578.18</v>
      </c>
      <c r="BH505" s="267">
        <v>36</v>
      </c>
      <c r="BI505" s="268">
        <v>122199.264</v>
      </c>
      <c r="BJ505" s="252"/>
      <c r="BK505" s="253"/>
      <c r="BL505" s="267"/>
      <c r="BM505" s="268"/>
      <c r="BN505" s="252"/>
      <c r="BO505" s="253"/>
      <c r="BP505" s="267"/>
      <c r="BQ505" s="268"/>
      <c r="BR505" s="252"/>
      <c r="BS505" s="253"/>
      <c r="BT505" s="267"/>
      <c r="BU505" s="268"/>
      <c r="BV505" s="252"/>
      <c r="BW505" s="253"/>
      <c r="BX505" s="267"/>
      <c r="BY505" s="268"/>
      <c r="BZ505" s="252"/>
      <c r="CA505" s="253"/>
      <c r="CB505" s="267"/>
      <c r="CC505" s="268"/>
      <c r="CD505" s="255">
        <f t="shared" si="84"/>
        <v>38</v>
      </c>
      <c r="CE505" s="256">
        <f t="shared" si="85"/>
        <v>591061.62</v>
      </c>
      <c r="CF505" s="257">
        <f t="shared" si="86"/>
        <v>36</v>
      </c>
      <c r="CG505" s="261">
        <f t="shared" si="87"/>
        <v>542218.12121617154</v>
      </c>
    </row>
    <row r="506" spans="1:85" s="263" customFormat="1" ht="12.75" customHeight="1">
      <c r="A506" s="440" t="s">
        <v>296</v>
      </c>
      <c r="B506" s="441" t="s">
        <v>336</v>
      </c>
      <c r="C506" s="441"/>
      <c r="D506" s="442">
        <v>221050</v>
      </c>
      <c r="E506" s="443">
        <v>13</v>
      </c>
      <c r="F506" s="252"/>
      <c r="G506" s="253"/>
      <c r="H506" s="267"/>
      <c r="I506" s="268"/>
      <c r="J506" s="252"/>
      <c r="K506" s="253"/>
      <c r="L506" s="267"/>
      <c r="M506" s="268"/>
      <c r="N506" s="252"/>
      <c r="O506" s="253"/>
      <c r="P506" s="267"/>
      <c r="Q506" s="268"/>
      <c r="R506" s="252"/>
      <c r="S506" s="253"/>
      <c r="T506" s="267"/>
      <c r="U506" s="268"/>
      <c r="V506" s="252"/>
      <c r="W506" s="253"/>
      <c r="X506" s="267"/>
      <c r="Y506" s="268"/>
      <c r="Z506" s="252"/>
      <c r="AA506" s="253"/>
      <c r="AB506" s="267"/>
      <c r="AC506" s="268"/>
      <c r="AD506" s="252"/>
      <c r="AE506" s="253"/>
      <c r="AF506" s="267"/>
      <c r="AG506" s="268"/>
      <c r="AH506" s="252"/>
      <c r="AI506" s="253"/>
      <c r="AJ506" s="267"/>
      <c r="AK506" s="268"/>
      <c r="AL506" s="252"/>
      <c r="AM506" s="253"/>
      <c r="AN506" s="267"/>
      <c r="AO506" s="268"/>
      <c r="AP506" s="255">
        <f t="shared" si="80"/>
        <v>0</v>
      </c>
      <c r="AQ506" s="256">
        <f t="shared" si="81"/>
        <v>0</v>
      </c>
      <c r="AR506" s="257">
        <f t="shared" si="82"/>
        <v>0</v>
      </c>
      <c r="AS506" s="258">
        <f t="shared" si="83"/>
        <v>0</v>
      </c>
      <c r="AT506" s="259">
        <v>36</v>
      </c>
      <c r="AU506" s="253">
        <v>175931.5</v>
      </c>
      <c r="AV506" s="267">
        <v>36</v>
      </c>
      <c r="AW506" s="268">
        <v>173293.40000000002</v>
      </c>
      <c r="AX506" s="252">
        <v>36</v>
      </c>
      <c r="AY506" s="253">
        <v>285009.03000000003</v>
      </c>
      <c r="AZ506" s="267">
        <v>36</v>
      </c>
      <c r="BA506" s="268">
        <v>282369.48607757286</v>
      </c>
      <c r="BB506" s="252"/>
      <c r="BC506" s="253"/>
      <c r="BD506" s="267"/>
      <c r="BE506" s="268"/>
      <c r="BF506" s="252">
        <v>36</v>
      </c>
      <c r="BG506" s="253">
        <v>134587.5975</v>
      </c>
      <c r="BH506" s="267">
        <v>36</v>
      </c>
      <c r="BI506" s="268">
        <v>132569.451</v>
      </c>
      <c r="BJ506" s="252"/>
      <c r="BK506" s="253"/>
      <c r="BL506" s="267"/>
      <c r="BM506" s="268"/>
      <c r="BN506" s="252"/>
      <c r="BO506" s="253"/>
      <c r="BP506" s="267"/>
      <c r="BQ506" s="268"/>
      <c r="BR506" s="252"/>
      <c r="BS506" s="253"/>
      <c r="BT506" s="267"/>
      <c r="BU506" s="268"/>
      <c r="BV506" s="252"/>
      <c r="BW506" s="253"/>
      <c r="BX506" s="267"/>
      <c r="BY506" s="268"/>
      <c r="BZ506" s="252"/>
      <c r="CA506" s="253"/>
      <c r="CB506" s="267"/>
      <c r="CC506" s="268"/>
      <c r="CD506" s="255">
        <f t="shared" si="84"/>
        <v>36</v>
      </c>
      <c r="CE506" s="256">
        <f t="shared" si="85"/>
        <v>595528.12750000006</v>
      </c>
      <c r="CF506" s="257">
        <f t="shared" si="86"/>
        <v>36</v>
      </c>
      <c r="CG506" s="261">
        <f t="shared" si="87"/>
        <v>588232.33707757294</v>
      </c>
    </row>
    <row r="507" spans="1:85" s="263" customFormat="1" ht="12.75" customHeight="1">
      <c r="A507" s="440" t="s">
        <v>296</v>
      </c>
      <c r="B507" s="441" t="s">
        <v>337</v>
      </c>
      <c r="C507" s="441"/>
      <c r="D507" s="442">
        <v>221102</v>
      </c>
      <c r="E507" s="443">
        <v>13</v>
      </c>
      <c r="F507" s="252"/>
      <c r="G507" s="253"/>
      <c r="H507" s="267"/>
      <c r="I507" s="268"/>
      <c r="J507" s="252"/>
      <c r="K507" s="253"/>
      <c r="L507" s="267"/>
      <c r="M507" s="268"/>
      <c r="N507" s="252"/>
      <c r="O507" s="253"/>
      <c r="P507" s="267"/>
      <c r="Q507" s="268"/>
      <c r="R507" s="252"/>
      <c r="S507" s="253"/>
      <c r="T507" s="267"/>
      <c r="U507" s="268"/>
      <c r="V507" s="252"/>
      <c r="W507" s="253"/>
      <c r="X507" s="267"/>
      <c r="Y507" s="268"/>
      <c r="Z507" s="252"/>
      <c r="AA507" s="253"/>
      <c r="AB507" s="267"/>
      <c r="AC507" s="268"/>
      <c r="AD507" s="252"/>
      <c r="AE507" s="253"/>
      <c r="AF507" s="267"/>
      <c r="AG507" s="268"/>
      <c r="AH507" s="252"/>
      <c r="AI507" s="253"/>
      <c r="AJ507" s="267"/>
      <c r="AK507" s="268"/>
      <c r="AL507" s="252"/>
      <c r="AM507" s="253"/>
      <c r="AN507" s="267"/>
      <c r="AO507" s="268"/>
      <c r="AP507" s="255">
        <f t="shared" si="80"/>
        <v>0</v>
      </c>
      <c r="AQ507" s="256">
        <f t="shared" si="81"/>
        <v>0</v>
      </c>
      <c r="AR507" s="257">
        <f t="shared" si="82"/>
        <v>0</v>
      </c>
      <c r="AS507" s="258">
        <f t="shared" si="83"/>
        <v>0</v>
      </c>
      <c r="AT507" s="259">
        <v>19</v>
      </c>
      <c r="AU507" s="253">
        <v>89739</v>
      </c>
      <c r="AV507" s="267">
        <v>21</v>
      </c>
      <c r="AW507" s="268">
        <v>107055.8</v>
      </c>
      <c r="AX507" s="252">
        <v>19</v>
      </c>
      <c r="AY507" s="253">
        <v>145377.18</v>
      </c>
      <c r="AZ507" s="267">
        <v>21</v>
      </c>
      <c r="BA507" s="268">
        <v>174439.94536216283</v>
      </c>
      <c r="BB507" s="252"/>
      <c r="BC507" s="253"/>
      <c r="BD507" s="267"/>
      <c r="BE507" s="268"/>
      <c r="BF507" s="252">
        <v>19</v>
      </c>
      <c r="BG507" s="253">
        <v>68650.334999999992</v>
      </c>
      <c r="BH507" s="267">
        <v>21</v>
      </c>
      <c r="BI507" s="268">
        <v>81897.687000000005</v>
      </c>
      <c r="BJ507" s="252"/>
      <c r="BK507" s="253"/>
      <c r="BL507" s="267"/>
      <c r="BM507" s="268"/>
      <c r="BN507" s="252"/>
      <c r="BO507" s="253"/>
      <c r="BP507" s="267"/>
      <c r="BQ507" s="268"/>
      <c r="BR507" s="252"/>
      <c r="BS507" s="253"/>
      <c r="BT507" s="267"/>
      <c r="BU507" s="268"/>
      <c r="BV507" s="252"/>
      <c r="BW507" s="253"/>
      <c r="BX507" s="267"/>
      <c r="BY507" s="268"/>
      <c r="BZ507" s="252"/>
      <c r="CA507" s="253"/>
      <c r="CB507" s="267"/>
      <c r="CC507" s="268"/>
      <c r="CD507" s="255">
        <f t="shared" si="84"/>
        <v>19</v>
      </c>
      <c r="CE507" s="256">
        <f t="shared" si="85"/>
        <v>303766.51500000001</v>
      </c>
      <c r="CF507" s="257">
        <f t="shared" si="86"/>
        <v>21</v>
      </c>
      <c r="CG507" s="261">
        <f t="shared" si="87"/>
        <v>363393.43236216286</v>
      </c>
    </row>
    <row r="508" spans="1:85" s="263" customFormat="1" ht="12.75" customHeight="1">
      <c r="A508" s="440" t="s">
        <v>296</v>
      </c>
      <c r="B508" s="441" t="s">
        <v>338</v>
      </c>
      <c r="C508" s="441"/>
      <c r="D508" s="442">
        <v>248925</v>
      </c>
      <c r="E508" s="443">
        <v>13</v>
      </c>
      <c r="F508" s="252"/>
      <c r="G508" s="253"/>
      <c r="H508" s="267"/>
      <c r="I508" s="268"/>
      <c r="J508" s="252"/>
      <c r="K508" s="253"/>
      <c r="L508" s="267"/>
      <c r="M508" s="268"/>
      <c r="N508" s="252"/>
      <c r="O508" s="253"/>
      <c r="P508" s="267"/>
      <c r="Q508" s="268"/>
      <c r="R508" s="252"/>
      <c r="S508" s="253"/>
      <c r="T508" s="267"/>
      <c r="U508" s="268"/>
      <c r="V508" s="252"/>
      <c r="W508" s="253"/>
      <c r="X508" s="267"/>
      <c r="Y508" s="268"/>
      <c r="Z508" s="252"/>
      <c r="AA508" s="253"/>
      <c r="AB508" s="267"/>
      <c r="AC508" s="268"/>
      <c r="AD508" s="252"/>
      <c r="AE508" s="253"/>
      <c r="AF508" s="267"/>
      <c r="AG508" s="268"/>
      <c r="AH508" s="252"/>
      <c r="AI508" s="253"/>
      <c r="AJ508" s="267"/>
      <c r="AK508" s="268"/>
      <c r="AL508" s="252"/>
      <c r="AM508" s="253"/>
      <c r="AN508" s="267"/>
      <c r="AO508" s="268"/>
      <c r="AP508" s="255">
        <f t="shared" si="80"/>
        <v>0</v>
      </c>
      <c r="AQ508" s="256">
        <f t="shared" si="81"/>
        <v>0</v>
      </c>
      <c r="AR508" s="257">
        <f t="shared" si="82"/>
        <v>0</v>
      </c>
      <c r="AS508" s="258">
        <f t="shared" si="83"/>
        <v>0</v>
      </c>
      <c r="AT508" s="259">
        <v>34</v>
      </c>
      <c r="AU508" s="253">
        <v>149280.5</v>
      </c>
      <c r="AV508" s="267">
        <v>34</v>
      </c>
      <c r="AW508" s="268">
        <v>149591.9</v>
      </c>
      <c r="AX508" s="252">
        <v>34</v>
      </c>
      <c r="AY508" s="253">
        <v>241834.41</v>
      </c>
      <c r="AZ508" s="267">
        <v>34</v>
      </c>
      <c r="BA508" s="268">
        <v>243749.54801722209</v>
      </c>
      <c r="BB508" s="252"/>
      <c r="BC508" s="253"/>
      <c r="BD508" s="267"/>
      <c r="BE508" s="268"/>
      <c r="BF508" s="252">
        <v>34</v>
      </c>
      <c r="BG508" s="253">
        <v>114199.5825</v>
      </c>
      <c r="BH508" s="267">
        <v>34</v>
      </c>
      <c r="BI508" s="268">
        <v>114437.80349999999</v>
      </c>
      <c r="BJ508" s="252"/>
      <c r="BK508" s="253"/>
      <c r="BL508" s="267"/>
      <c r="BM508" s="268"/>
      <c r="BN508" s="252"/>
      <c r="BO508" s="253"/>
      <c r="BP508" s="267"/>
      <c r="BQ508" s="268"/>
      <c r="BR508" s="252"/>
      <c r="BS508" s="253"/>
      <c r="BT508" s="267"/>
      <c r="BU508" s="268"/>
      <c r="BV508" s="252"/>
      <c r="BW508" s="253"/>
      <c r="BX508" s="267"/>
      <c r="BY508" s="268"/>
      <c r="BZ508" s="252"/>
      <c r="CA508" s="253"/>
      <c r="CB508" s="267"/>
      <c r="CC508" s="268"/>
      <c r="CD508" s="255">
        <f t="shared" si="84"/>
        <v>34</v>
      </c>
      <c r="CE508" s="256">
        <f t="shared" si="85"/>
        <v>505314.49249999999</v>
      </c>
      <c r="CF508" s="257">
        <f t="shared" si="86"/>
        <v>34</v>
      </c>
      <c r="CG508" s="261">
        <f t="shared" si="87"/>
        <v>507779.25151722203</v>
      </c>
    </row>
    <row r="509" spans="1:85" s="263" customFormat="1" ht="12.75" customHeight="1">
      <c r="A509" s="440" t="s">
        <v>296</v>
      </c>
      <c r="B509" s="441" t="s">
        <v>339</v>
      </c>
      <c r="C509" s="441"/>
      <c r="D509" s="442">
        <v>221236</v>
      </c>
      <c r="E509" s="443">
        <v>13</v>
      </c>
      <c r="F509" s="252"/>
      <c r="G509" s="253"/>
      <c r="H509" s="267"/>
      <c r="I509" s="268"/>
      <c r="J509" s="252"/>
      <c r="K509" s="253"/>
      <c r="L509" s="267"/>
      <c r="M509" s="268"/>
      <c r="N509" s="252"/>
      <c r="O509" s="253"/>
      <c r="P509" s="267"/>
      <c r="Q509" s="268"/>
      <c r="R509" s="252"/>
      <c r="S509" s="253"/>
      <c r="T509" s="267"/>
      <c r="U509" s="268"/>
      <c r="V509" s="252"/>
      <c r="W509" s="253"/>
      <c r="X509" s="267"/>
      <c r="Y509" s="268"/>
      <c r="Z509" s="252"/>
      <c r="AA509" s="253"/>
      <c r="AB509" s="267"/>
      <c r="AC509" s="268"/>
      <c r="AD509" s="252"/>
      <c r="AE509" s="253"/>
      <c r="AF509" s="267"/>
      <c r="AG509" s="268"/>
      <c r="AH509" s="252"/>
      <c r="AI509" s="253"/>
      <c r="AJ509" s="267"/>
      <c r="AK509" s="268"/>
      <c r="AL509" s="252"/>
      <c r="AM509" s="253"/>
      <c r="AN509" s="267"/>
      <c r="AO509" s="268"/>
      <c r="AP509" s="255">
        <f t="shared" si="80"/>
        <v>0</v>
      </c>
      <c r="AQ509" s="256">
        <f t="shared" si="81"/>
        <v>0</v>
      </c>
      <c r="AR509" s="257">
        <f t="shared" si="82"/>
        <v>0</v>
      </c>
      <c r="AS509" s="258">
        <f t="shared" si="83"/>
        <v>0</v>
      </c>
      <c r="AT509" s="259">
        <v>11</v>
      </c>
      <c r="AU509" s="253">
        <v>46868.4</v>
      </c>
      <c r="AV509" s="267">
        <v>11</v>
      </c>
      <c r="AW509" s="268">
        <v>46541.8</v>
      </c>
      <c r="AX509" s="252">
        <v>11</v>
      </c>
      <c r="AY509" s="253">
        <v>75926.80799999999</v>
      </c>
      <c r="AZ509" s="267">
        <v>11</v>
      </c>
      <c r="BA509" s="268">
        <v>75836.610898771571</v>
      </c>
      <c r="BB509" s="252"/>
      <c r="BC509" s="253"/>
      <c r="BD509" s="267"/>
      <c r="BE509" s="268"/>
      <c r="BF509" s="252">
        <v>11</v>
      </c>
      <c r="BG509" s="253">
        <v>35854.325999999994</v>
      </c>
      <c r="BH509" s="267">
        <v>11</v>
      </c>
      <c r="BI509" s="268">
        <v>35604.476999999999</v>
      </c>
      <c r="BJ509" s="252"/>
      <c r="BK509" s="253"/>
      <c r="BL509" s="267"/>
      <c r="BM509" s="268"/>
      <c r="BN509" s="252"/>
      <c r="BO509" s="253"/>
      <c r="BP509" s="267"/>
      <c r="BQ509" s="268"/>
      <c r="BR509" s="252"/>
      <c r="BS509" s="253"/>
      <c r="BT509" s="267"/>
      <c r="BU509" s="268"/>
      <c r="BV509" s="252"/>
      <c r="BW509" s="253"/>
      <c r="BX509" s="267"/>
      <c r="BY509" s="268"/>
      <c r="BZ509" s="252"/>
      <c r="CA509" s="253"/>
      <c r="CB509" s="267"/>
      <c r="CC509" s="268"/>
      <c r="CD509" s="255">
        <f t="shared" si="84"/>
        <v>11</v>
      </c>
      <c r="CE509" s="256">
        <f t="shared" si="85"/>
        <v>158649.53399999999</v>
      </c>
      <c r="CF509" s="257">
        <f t="shared" si="86"/>
        <v>11</v>
      </c>
      <c r="CG509" s="261">
        <f t="shared" si="87"/>
        <v>157982.88789877156</v>
      </c>
    </row>
    <row r="510" spans="1:85" s="263" customFormat="1" ht="12.75" customHeight="1">
      <c r="A510" s="440" t="s">
        <v>296</v>
      </c>
      <c r="B510" s="441" t="s">
        <v>340</v>
      </c>
      <c r="C510" s="441"/>
      <c r="D510" s="442">
        <v>221582</v>
      </c>
      <c r="E510" s="443">
        <v>13</v>
      </c>
      <c r="F510" s="252"/>
      <c r="G510" s="253"/>
      <c r="H510" s="267"/>
      <c r="I510" s="268"/>
      <c r="J510" s="252"/>
      <c r="K510" s="253"/>
      <c r="L510" s="267"/>
      <c r="M510" s="268"/>
      <c r="N510" s="252"/>
      <c r="O510" s="253"/>
      <c r="P510" s="267"/>
      <c r="Q510" s="268"/>
      <c r="R510" s="252"/>
      <c r="S510" s="253"/>
      <c r="T510" s="267"/>
      <c r="U510" s="268"/>
      <c r="V510" s="252"/>
      <c r="W510" s="253"/>
      <c r="X510" s="267"/>
      <c r="Y510" s="268"/>
      <c r="Z510" s="252"/>
      <c r="AA510" s="253"/>
      <c r="AB510" s="267"/>
      <c r="AC510" s="268"/>
      <c r="AD510" s="252"/>
      <c r="AE510" s="253"/>
      <c r="AF510" s="267"/>
      <c r="AG510" s="268"/>
      <c r="AH510" s="252"/>
      <c r="AI510" s="253"/>
      <c r="AJ510" s="267"/>
      <c r="AK510" s="268"/>
      <c r="AL510" s="252"/>
      <c r="AM510" s="253"/>
      <c r="AN510" s="267"/>
      <c r="AO510" s="268"/>
      <c r="AP510" s="255">
        <f t="shared" si="80"/>
        <v>0</v>
      </c>
      <c r="AQ510" s="256">
        <f t="shared" si="81"/>
        <v>0</v>
      </c>
      <c r="AR510" s="257">
        <f t="shared" si="82"/>
        <v>0</v>
      </c>
      <c r="AS510" s="258">
        <f t="shared" si="83"/>
        <v>0</v>
      </c>
      <c r="AT510" s="259">
        <v>12</v>
      </c>
      <c r="AU510" s="253">
        <v>51221.4</v>
      </c>
      <c r="AV510" s="267">
        <v>14</v>
      </c>
      <c r="AW510" s="268">
        <v>58158.8</v>
      </c>
      <c r="AX510" s="252">
        <v>12</v>
      </c>
      <c r="AY510" s="253">
        <v>82978.668000000005</v>
      </c>
      <c r="AZ510" s="267">
        <v>14</v>
      </c>
      <c r="BA510" s="268">
        <v>94765.700637695059</v>
      </c>
      <c r="BB510" s="252"/>
      <c r="BC510" s="253"/>
      <c r="BD510" s="267"/>
      <c r="BE510" s="268"/>
      <c r="BF510" s="252">
        <v>12</v>
      </c>
      <c r="BG510" s="253">
        <v>39184.370999999999</v>
      </c>
      <c r="BH510" s="267">
        <v>14</v>
      </c>
      <c r="BI510" s="268">
        <v>44491.481999999996</v>
      </c>
      <c r="BJ510" s="252"/>
      <c r="BK510" s="253"/>
      <c r="BL510" s="267"/>
      <c r="BM510" s="268"/>
      <c r="BN510" s="252"/>
      <c r="BO510" s="253"/>
      <c r="BP510" s="267"/>
      <c r="BQ510" s="268"/>
      <c r="BR510" s="252"/>
      <c r="BS510" s="253"/>
      <c r="BT510" s="267"/>
      <c r="BU510" s="268"/>
      <c r="BV510" s="252"/>
      <c r="BW510" s="253"/>
      <c r="BX510" s="267"/>
      <c r="BY510" s="268"/>
      <c r="BZ510" s="252"/>
      <c r="CA510" s="253"/>
      <c r="CB510" s="267"/>
      <c r="CC510" s="268"/>
      <c r="CD510" s="255">
        <f t="shared" si="84"/>
        <v>12</v>
      </c>
      <c r="CE510" s="256">
        <f t="shared" si="85"/>
        <v>173384.43900000001</v>
      </c>
      <c r="CF510" s="257">
        <f t="shared" si="86"/>
        <v>14</v>
      </c>
      <c r="CG510" s="261">
        <f t="shared" si="87"/>
        <v>197415.98263769504</v>
      </c>
    </row>
    <row r="511" spans="1:85" s="263" customFormat="1" ht="12.75" customHeight="1">
      <c r="A511" s="440" t="s">
        <v>296</v>
      </c>
      <c r="B511" s="441" t="s">
        <v>341</v>
      </c>
      <c r="C511" s="441"/>
      <c r="D511" s="442">
        <v>221281</v>
      </c>
      <c r="E511" s="443">
        <v>13</v>
      </c>
      <c r="F511" s="252"/>
      <c r="G511" s="253"/>
      <c r="H511" s="267"/>
      <c r="I511" s="268"/>
      <c r="J511" s="252"/>
      <c r="K511" s="253"/>
      <c r="L511" s="267"/>
      <c r="M511" s="268"/>
      <c r="N511" s="252"/>
      <c r="O511" s="253"/>
      <c r="P511" s="267"/>
      <c r="Q511" s="268"/>
      <c r="R511" s="252"/>
      <c r="S511" s="253"/>
      <c r="T511" s="267"/>
      <c r="U511" s="268"/>
      <c r="V511" s="252"/>
      <c r="W511" s="253"/>
      <c r="X511" s="267"/>
      <c r="Y511" s="268"/>
      <c r="Z511" s="252"/>
      <c r="AA511" s="253"/>
      <c r="AB511" s="267"/>
      <c r="AC511" s="268"/>
      <c r="AD511" s="252"/>
      <c r="AE511" s="253"/>
      <c r="AF511" s="267"/>
      <c r="AG511" s="268"/>
      <c r="AH511" s="252"/>
      <c r="AI511" s="253"/>
      <c r="AJ511" s="267"/>
      <c r="AK511" s="268"/>
      <c r="AL511" s="252"/>
      <c r="AM511" s="253"/>
      <c r="AN511" s="267"/>
      <c r="AO511" s="268"/>
      <c r="AP511" s="255">
        <f t="shared" si="80"/>
        <v>0</v>
      </c>
      <c r="AQ511" s="256">
        <f t="shared" si="81"/>
        <v>0</v>
      </c>
      <c r="AR511" s="257">
        <f t="shared" si="82"/>
        <v>0</v>
      </c>
      <c r="AS511" s="258">
        <f t="shared" si="83"/>
        <v>0</v>
      </c>
      <c r="AT511" s="259">
        <v>19</v>
      </c>
      <c r="AU511" s="253">
        <v>83418.600000000006</v>
      </c>
      <c r="AV511" s="267">
        <v>19</v>
      </c>
      <c r="AW511" s="268">
        <v>83341.5</v>
      </c>
      <c r="AX511" s="252">
        <v>19</v>
      </c>
      <c r="AY511" s="253">
        <v>135138.13200000001</v>
      </c>
      <c r="AZ511" s="267">
        <v>19</v>
      </c>
      <c r="BA511" s="268">
        <v>135799.1505962376</v>
      </c>
      <c r="BB511" s="252"/>
      <c r="BC511" s="253"/>
      <c r="BD511" s="267"/>
      <c r="BE511" s="268"/>
      <c r="BF511" s="252">
        <v>19</v>
      </c>
      <c r="BG511" s="253">
        <v>63815.228999999999</v>
      </c>
      <c r="BH511" s="267">
        <v>19</v>
      </c>
      <c r="BI511" s="268">
        <v>63756.247499999998</v>
      </c>
      <c r="BJ511" s="252"/>
      <c r="BK511" s="253"/>
      <c r="BL511" s="267"/>
      <c r="BM511" s="268"/>
      <c r="BN511" s="252"/>
      <c r="BO511" s="253"/>
      <c r="BP511" s="267"/>
      <c r="BQ511" s="268"/>
      <c r="BR511" s="252"/>
      <c r="BS511" s="253"/>
      <c r="BT511" s="267"/>
      <c r="BU511" s="268"/>
      <c r="BV511" s="252"/>
      <c r="BW511" s="253"/>
      <c r="BX511" s="267"/>
      <c r="BY511" s="268"/>
      <c r="BZ511" s="252"/>
      <c r="CA511" s="253"/>
      <c r="CB511" s="267"/>
      <c r="CC511" s="268"/>
      <c r="CD511" s="255">
        <f t="shared" si="84"/>
        <v>19</v>
      </c>
      <c r="CE511" s="256">
        <f t="shared" si="85"/>
        <v>282371.96100000001</v>
      </c>
      <c r="CF511" s="257">
        <f t="shared" si="86"/>
        <v>19</v>
      </c>
      <c r="CG511" s="261">
        <f t="shared" si="87"/>
        <v>282896.89809623756</v>
      </c>
    </row>
    <row r="512" spans="1:85" s="263" customFormat="1" ht="12.75" customHeight="1">
      <c r="A512" s="440" t="s">
        <v>296</v>
      </c>
      <c r="B512" s="441" t="s">
        <v>342</v>
      </c>
      <c r="C512" s="441"/>
      <c r="D512" s="442">
        <v>221333</v>
      </c>
      <c r="E512" s="443">
        <v>13</v>
      </c>
      <c r="F512" s="252"/>
      <c r="G512" s="253"/>
      <c r="H512" s="267"/>
      <c r="I512" s="268"/>
      <c r="J512" s="252"/>
      <c r="K512" s="253"/>
      <c r="L512" s="267"/>
      <c r="M512" s="268"/>
      <c r="N512" s="252"/>
      <c r="O512" s="253"/>
      <c r="P512" s="267"/>
      <c r="Q512" s="268"/>
      <c r="R512" s="252"/>
      <c r="S512" s="253"/>
      <c r="T512" s="267"/>
      <c r="U512" s="268"/>
      <c r="V512" s="252"/>
      <c r="W512" s="253"/>
      <c r="X512" s="267"/>
      <c r="Y512" s="268"/>
      <c r="Z512" s="252"/>
      <c r="AA512" s="253"/>
      <c r="AB512" s="267"/>
      <c r="AC512" s="268"/>
      <c r="AD512" s="252"/>
      <c r="AE512" s="253"/>
      <c r="AF512" s="267"/>
      <c r="AG512" s="268"/>
      <c r="AH512" s="252"/>
      <c r="AI512" s="253"/>
      <c r="AJ512" s="267"/>
      <c r="AK512" s="268"/>
      <c r="AL512" s="252"/>
      <c r="AM512" s="253"/>
      <c r="AN512" s="267"/>
      <c r="AO512" s="268"/>
      <c r="AP512" s="255">
        <f t="shared" si="80"/>
        <v>0</v>
      </c>
      <c r="AQ512" s="256">
        <f t="shared" si="81"/>
        <v>0</v>
      </c>
      <c r="AR512" s="257">
        <f t="shared" si="82"/>
        <v>0</v>
      </c>
      <c r="AS512" s="258">
        <f t="shared" si="83"/>
        <v>0</v>
      </c>
      <c r="AT512" s="259">
        <v>15</v>
      </c>
      <c r="AU512" s="253">
        <v>68690.8</v>
      </c>
      <c r="AV512" s="267">
        <v>15</v>
      </c>
      <c r="AW512" s="268">
        <v>69581.3</v>
      </c>
      <c r="AX512" s="252">
        <v>15</v>
      </c>
      <c r="AY512" s="253">
        <v>111279.09600000001</v>
      </c>
      <c r="AZ512" s="267">
        <v>15</v>
      </c>
      <c r="BA512" s="268">
        <v>113377.86621769451</v>
      </c>
      <c r="BB512" s="252"/>
      <c r="BC512" s="253"/>
      <c r="BD512" s="267"/>
      <c r="BE512" s="268"/>
      <c r="BF512" s="252">
        <v>15</v>
      </c>
      <c r="BG512" s="253">
        <v>52548.462</v>
      </c>
      <c r="BH512" s="267">
        <v>15</v>
      </c>
      <c r="BI512" s="268">
        <v>53229.694499999998</v>
      </c>
      <c r="BJ512" s="252"/>
      <c r="BK512" s="253"/>
      <c r="BL512" s="267"/>
      <c r="BM512" s="268"/>
      <c r="BN512" s="252"/>
      <c r="BO512" s="253"/>
      <c r="BP512" s="267"/>
      <c r="BQ512" s="268"/>
      <c r="BR512" s="252"/>
      <c r="BS512" s="253"/>
      <c r="BT512" s="267"/>
      <c r="BU512" s="268"/>
      <c r="BV512" s="252"/>
      <c r="BW512" s="253"/>
      <c r="BX512" s="267"/>
      <c r="BY512" s="268"/>
      <c r="BZ512" s="252"/>
      <c r="CA512" s="253"/>
      <c r="CB512" s="267"/>
      <c r="CC512" s="268"/>
      <c r="CD512" s="255">
        <f t="shared" si="84"/>
        <v>15</v>
      </c>
      <c r="CE512" s="256">
        <f t="shared" si="85"/>
        <v>232518.35800000001</v>
      </c>
      <c r="CF512" s="257">
        <f t="shared" si="86"/>
        <v>15</v>
      </c>
      <c r="CG512" s="261">
        <f t="shared" si="87"/>
        <v>236188.86071769451</v>
      </c>
    </row>
    <row r="513" spans="1:85" s="263" customFormat="1" ht="12.75" customHeight="1">
      <c r="A513" s="440" t="s">
        <v>296</v>
      </c>
      <c r="B513" s="441" t="s">
        <v>343</v>
      </c>
      <c r="C513" s="441"/>
      <c r="D513" s="442">
        <v>221388</v>
      </c>
      <c r="E513" s="443">
        <v>13</v>
      </c>
      <c r="F513" s="252"/>
      <c r="G513" s="253"/>
      <c r="H513" s="267"/>
      <c r="I513" s="268"/>
      <c r="J513" s="252"/>
      <c r="K513" s="253"/>
      <c r="L513" s="267"/>
      <c r="M513" s="268"/>
      <c r="N513" s="252"/>
      <c r="O513" s="253"/>
      <c r="P513" s="267"/>
      <c r="Q513" s="268"/>
      <c r="R513" s="252"/>
      <c r="S513" s="253"/>
      <c r="T513" s="267"/>
      <c r="U513" s="268"/>
      <c r="V513" s="252"/>
      <c r="W513" s="253"/>
      <c r="X513" s="267"/>
      <c r="Y513" s="268"/>
      <c r="Z513" s="252"/>
      <c r="AA513" s="253"/>
      <c r="AB513" s="267"/>
      <c r="AC513" s="268"/>
      <c r="AD513" s="252"/>
      <c r="AE513" s="253"/>
      <c r="AF513" s="267"/>
      <c r="AG513" s="268"/>
      <c r="AH513" s="252"/>
      <c r="AI513" s="253"/>
      <c r="AJ513" s="267"/>
      <c r="AK513" s="268"/>
      <c r="AL513" s="252"/>
      <c r="AM513" s="253"/>
      <c r="AN513" s="267"/>
      <c r="AO513" s="268"/>
      <c r="AP513" s="255">
        <f t="shared" si="80"/>
        <v>0</v>
      </c>
      <c r="AQ513" s="256">
        <f t="shared" si="81"/>
        <v>0</v>
      </c>
      <c r="AR513" s="257">
        <f t="shared" si="82"/>
        <v>0</v>
      </c>
      <c r="AS513" s="258">
        <f t="shared" si="83"/>
        <v>0</v>
      </c>
      <c r="AT513" s="259">
        <v>10</v>
      </c>
      <c r="AU513" s="253">
        <v>44530.7</v>
      </c>
      <c r="AV513" s="267">
        <v>11</v>
      </c>
      <c r="AW513" s="268">
        <v>46685.700000000004</v>
      </c>
      <c r="AX513" s="252">
        <v>10</v>
      </c>
      <c r="AY513" s="253">
        <v>72139.733999999997</v>
      </c>
      <c r="AZ513" s="267">
        <v>11</v>
      </c>
      <c r="BA513" s="268">
        <v>76071.085893471682</v>
      </c>
      <c r="BB513" s="252"/>
      <c r="BC513" s="253"/>
      <c r="BD513" s="267"/>
      <c r="BE513" s="268"/>
      <c r="BF513" s="252">
        <v>10</v>
      </c>
      <c r="BG513" s="253">
        <v>34065.985500000003</v>
      </c>
      <c r="BH513" s="267">
        <v>11</v>
      </c>
      <c r="BI513" s="268">
        <v>35714.5605</v>
      </c>
      <c r="BJ513" s="252"/>
      <c r="BK513" s="253"/>
      <c r="BL513" s="267"/>
      <c r="BM513" s="268"/>
      <c r="BN513" s="252"/>
      <c r="BO513" s="253"/>
      <c r="BP513" s="267"/>
      <c r="BQ513" s="268"/>
      <c r="BR513" s="252"/>
      <c r="BS513" s="253"/>
      <c r="BT513" s="267"/>
      <c r="BU513" s="268"/>
      <c r="BV513" s="252"/>
      <c r="BW513" s="253"/>
      <c r="BX513" s="267"/>
      <c r="BY513" s="268"/>
      <c r="BZ513" s="252"/>
      <c r="CA513" s="253"/>
      <c r="CB513" s="267"/>
      <c r="CC513" s="268"/>
      <c r="CD513" s="255">
        <f t="shared" si="84"/>
        <v>10</v>
      </c>
      <c r="CE513" s="256">
        <f t="shared" si="85"/>
        <v>150736.41950000002</v>
      </c>
      <c r="CF513" s="257">
        <f t="shared" si="86"/>
        <v>11</v>
      </c>
      <c r="CG513" s="261">
        <f t="shared" si="87"/>
        <v>158471.3463934717</v>
      </c>
    </row>
    <row r="514" spans="1:85" s="263" customFormat="1" ht="12.75" customHeight="1">
      <c r="A514" s="440" t="s">
        <v>296</v>
      </c>
      <c r="B514" s="441" t="s">
        <v>344</v>
      </c>
      <c r="C514" s="441"/>
      <c r="D514" s="442">
        <v>221494</v>
      </c>
      <c r="E514" s="443">
        <v>13</v>
      </c>
      <c r="F514" s="252"/>
      <c r="G514" s="253"/>
      <c r="H514" s="267"/>
      <c r="I514" s="268"/>
      <c r="J514" s="252"/>
      <c r="K514" s="253"/>
      <c r="L514" s="267"/>
      <c r="M514" s="268"/>
      <c r="N514" s="252"/>
      <c r="O514" s="253"/>
      <c r="P514" s="267"/>
      <c r="Q514" s="268"/>
      <c r="R514" s="252"/>
      <c r="S514" s="253"/>
      <c r="T514" s="267"/>
      <c r="U514" s="268"/>
      <c r="V514" s="252"/>
      <c r="W514" s="253"/>
      <c r="X514" s="267"/>
      <c r="Y514" s="268"/>
      <c r="Z514" s="252"/>
      <c r="AA514" s="253"/>
      <c r="AB514" s="267"/>
      <c r="AC514" s="268"/>
      <c r="AD514" s="252"/>
      <c r="AE514" s="253"/>
      <c r="AF514" s="267"/>
      <c r="AG514" s="268"/>
      <c r="AH514" s="252"/>
      <c r="AI514" s="253"/>
      <c r="AJ514" s="267"/>
      <c r="AK514" s="268"/>
      <c r="AL514" s="252"/>
      <c r="AM514" s="253"/>
      <c r="AN514" s="267"/>
      <c r="AO514" s="268"/>
      <c r="AP514" s="255">
        <f t="shared" si="80"/>
        <v>0</v>
      </c>
      <c r="AQ514" s="256">
        <f t="shared" si="81"/>
        <v>0</v>
      </c>
      <c r="AR514" s="257">
        <f t="shared" si="82"/>
        <v>0</v>
      </c>
      <c r="AS514" s="258">
        <f t="shared" si="83"/>
        <v>0</v>
      </c>
      <c r="AT514" s="259">
        <v>21</v>
      </c>
      <c r="AU514" s="253">
        <v>100078.2</v>
      </c>
      <c r="AV514" s="267">
        <v>22</v>
      </c>
      <c r="AW514" s="268">
        <v>103309.8</v>
      </c>
      <c r="AX514" s="252">
        <v>21</v>
      </c>
      <c r="AY514" s="253">
        <v>162126.68400000004</v>
      </c>
      <c r="AZ514" s="267">
        <v>22</v>
      </c>
      <c r="BA514" s="268">
        <v>168336.10012139435</v>
      </c>
      <c r="BB514" s="252"/>
      <c r="BC514" s="253"/>
      <c r="BD514" s="267"/>
      <c r="BE514" s="268"/>
      <c r="BF514" s="252">
        <v>21</v>
      </c>
      <c r="BG514" s="253">
        <v>76559.823000000004</v>
      </c>
      <c r="BH514" s="267">
        <v>22</v>
      </c>
      <c r="BI514" s="268">
        <v>79031.997000000003</v>
      </c>
      <c r="BJ514" s="252"/>
      <c r="BK514" s="253"/>
      <c r="BL514" s="267"/>
      <c r="BM514" s="268"/>
      <c r="BN514" s="252"/>
      <c r="BO514" s="253"/>
      <c r="BP514" s="267"/>
      <c r="BQ514" s="268"/>
      <c r="BR514" s="252"/>
      <c r="BS514" s="253"/>
      <c r="BT514" s="267"/>
      <c r="BU514" s="268"/>
      <c r="BV514" s="252"/>
      <c r="BW514" s="253"/>
      <c r="BX514" s="267"/>
      <c r="BY514" s="268"/>
      <c r="BZ514" s="252"/>
      <c r="CA514" s="253"/>
      <c r="CB514" s="267"/>
      <c r="CC514" s="268"/>
      <c r="CD514" s="255">
        <f t="shared" si="84"/>
        <v>21</v>
      </c>
      <c r="CE514" s="256">
        <f t="shared" si="85"/>
        <v>338764.70700000005</v>
      </c>
      <c r="CF514" s="257">
        <f t="shared" si="86"/>
        <v>22</v>
      </c>
      <c r="CG514" s="261">
        <f t="shared" si="87"/>
        <v>350677.89712139434</v>
      </c>
    </row>
    <row r="515" spans="1:85" s="263" customFormat="1" ht="12.75" customHeight="1">
      <c r="A515" s="440" t="s">
        <v>296</v>
      </c>
      <c r="B515" s="441" t="s">
        <v>345</v>
      </c>
      <c r="C515" s="441"/>
      <c r="D515" s="442">
        <v>221634</v>
      </c>
      <c r="E515" s="443">
        <v>13</v>
      </c>
      <c r="F515" s="252"/>
      <c r="G515" s="253"/>
      <c r="H515" s="267"/>
      <c r="I515" s="268"/>
      <c r="J515" s="252"/>
      <c r="K515" s="253"/>
      <c r="L515" s="267"/>
      <c r="M515" s="268"/>
      <c r="N515" s="252"/>
      <c r="O515" s="253"/>
      <c r="P515" s="267"/>
      <c r="Q515" s="268"/>
      <c r="R515" s="252"/>
      <c r="S515" s="253"/>
      <c r="T515" s="267"/>
      <c r="U515" s="268"/>
      <c r="V515" s="252"/>
      <c r="W515" s="253"/>
      <c r="X515" s="267"/>
      <c r="Y515" s="268"/>
      <c r="Z515" s="252"/>
      <c r="AA515" s="253"/>
      <c r="AB515" s="267"/>
      <c r="AC515" s="268"/>
      <c r="AD515" s="252"/>
      <c r="AE515" s="253"/>
      <c r="AF515" s="267"/>
      <c r="AG515" s="268"/>
      <c r="AH515" s="252"/>
      <c r="AI515" s="253"/>
      <c r="AJ515" s="267"/>
      <c r="AK515" s="268"/>
      <c r="AL515" s="252"/>
      <c r="AM515" s="253"/>
      <c r="AN515" s="267"/>
      <c r="AO515" s="268"/>
      <c r="AP515" s="255">
        <f t="shared" si="80"/>
        <v>0</v>
      </c>
      <c r="AQ515" s="256">
        <f t="shared" si="81"/>
        <v>0</v>
      </c>
      <c r="AR515" s="257">
        <f t="shared" si="82"/>
        <v>0</v>
      </c>
      <c r="AS515" s="258">
        <f t="shared" si="83"/>
        <v>0</v>
      </c>
      <c r="AT515" s="259">
        <v>10</v>
      </c>
      <c r="AU515" s="253">
        <v>48613.2</v>
      </c>
      <c r="AV515" s="267">
        <v>9</v>
      </c>
      <c r="AW515" s="268">
        <v>43813</v>
      </c>
      <c r="AX515" s="252">
        <v>10</v>
      </c>
      <c r="AY515" s="253">
        <v>78753.384000000005</v>
      </c>
      <c r="AZ515" s="267">
        <v>9</v>
      </c>
      <c r="BA515" s="268">
        <v>71390.221979121547</v>
      </c>
      <c r="BB515" s="252"/>
      <c r="BC515" s="253"/>
      <c r="BD515" s="267"/>
      <c r="BE515" s="268"/>
      <c r="BF515" s="252">
        <v>10</v>
      </c>
      <c r="BG515" s="253">
        <v>37189.097999999998</v>
      </c>
      <c r="BH515" s="267">
        <v>9</v>
      </c>
      <c r="BI515" s="268">
        <v>33516.945</v>
      </c>
      <c r="BJ515" s="252"/>
      <c r="BK515" s="253"/>
      <c r="BL515" s="267"/>
      <c r="BM515" s="268"/>
      <c r="BN515" s="252"/>
      <c r="BO515" s="253"/>
      <c r="BP515" s="267"/>
      <c r="BQ515" s="268"/>
      <c r="BR515" s="252"/>
      <c r="BS515" s="253"/>
      <c r="BT515" s="267"/>
      <c r="BU515" s="268"/>
      <c r="BV515" s="252"/>
      <c r="BW515" s="253"/>
      <c r="BX515" s="267"/>
      <c r="BY515" s="268"/>
      <c r="BZ515" s="252"/>
      <c r="CA515" s="253"/>
      <c r="CB515" s="267"/>
      <c r="CC515" s="268"/>
      <c r="CD515" s="255">
        <f t="shared" si="84"/>
        <v>10</v>
      </c>
      <c r="CE515" s="256">
        <f t="shared" si="85"/>
        <v>164555.682</v>
      </c>
      <c r="CF515" s="257">
        <f t="shared" si="86"/>
        <v>9</v>
      </c>
      <c r="CG515" s="261">
        <f t="shared" si="87"/>
        <v>148720.16697912154</v>
      </c>
    </row>
    <row r="516" spans="1:85" s="263" customFormat="1" ht="12.75" customHeight="1">
      <c r="A516" s="444" t="s">
        <v>346</v>
      </c>
      <c r="B516" s="411" t="s">
        <v>347</v>
      </c>
      <c r="C516" s="411"/>
      <c r="D516" s="412">
        <v>228723</v>
      </c>
      <c r="E516" s="290">
        <v>1</v>
      </c>
      <c r="F516" s="252">
        <v>2316</v>
      </c>
      <c r="G516" s="253">
        <v>15012276</v>
      </c>
      <c r="H516" s="267">
        <v>2595</v>
      </c>
      <c r="I516" s="268">
        <v>16196469</v>
      </c>
      <c r="J516" s="252">
        <v>2316</v>
      </c>
      <c r="K516" s="253">
        <v>13562039</v>
      </c>
      <c r="L516" s="267">
        <v>2613</v>
      </c>
      <c r="M516" s="268">
        <v>14947784</v>
      </c>
      <c r="N516" s="252"/>
      <c r="O516" s="253"/>
      <c r="P516" s="267"/>
      <c r="Q516" s="268"/>
      <c r="R516" s="252">
        <v>2316</v>
      </c>
      <c r="S516" s="253">
        <v>13748241</v>
      </c>
      <c r="T516" s="267">
        <v>2613</v>
      </c>
      <c r="U516" s="268">
        <v>15696111</v>
      </c>
      <c r="V516" s="252">
        <v>2316</v>
      </c>
      <c r="W516" s="253">
        <v>186498</v>
      </c>
      <c r="X516" s="267">
        <v>2613</v>
      </c>
      <c r="Y516" s="268">
        <v>203409</v>
      </c>
      <c r="Z516" s="252">
        <v>0</v>
      </c>
      <c r="AA516" s="253">
        <v>0</v>
      </c>
      <c r="AB516" s="267">
        <v>0</v>
      </c>
      <c r="AC516" s="268">
        <v>0</v>
      </c>
      <c r="AD516" s="252">
        <v>2316</v>
      </c>
      <c r="AE516" s="253">
        <v>309308</v>
      </c>
      <c r="AF516" s="267">
        <v>2613</v>
      </c>
      <c r="AG516" s="268">
        <v>225693</v>
      </c>
      <c r="AH516" s="252">
        <v>0</v>
      </c>
      <c r="AI516" s="253">
        <v>0</v>
      </c>
      <c r="AJ516" s="267">
        <v>0</v>
      </c>
      <c r="AK516" s="268">
        <v>0</v>
      </c>
      <c r="AL516" s="252"/>
      <c r="AM516" s="253"/>
      <c r="AN516" s="267"/>
      <c r="AO516" s="268"/>
      <c r="AP516" s="255">
        <f t="shared" si="80"/>
        <v>2316</v>
      </c>
      <c r="AQ516" s="256">
        <f t="shared" si="81"/>
        <v>42818362</v>
      </c>
      <c r="AR516" s="257">
        <f t="shared" si="82"/>
        <v>2613</v>
      </c>
      <c r="AS516" s="258">
        <f t="shared" si="83"/>
        <v>47269466</v>
      </c>
      <c r="AT516" s="259"/>
      <c r="AU516" s="253"/>
      <c r="AV516" s="267">
        <v>0</v>
      </c>
      <c r="AW516" s="268">
        <v>0</v>
      </c>
      <c r="AX516" s="252"/>
      <c r="AY516" s="253"/>
      <c r="AZ516" s="267"/>
      <c r="BA516" s="268"/>
      <c r="BB516" s="252"/>
      <c r="BC516" s="253"/>
      <c r="BD516" s="267"/>
      <c r="BE516" s="268"/>
      <c r="BF516" s="252"/>
      <c r="BG516" s="253"/>
      <c r="BH516" s="267"/>
      <c r="BI516" s="268"/>
      <c r="BJ516" s="252"/>
      <c r="BK516" s="253"/>
      <c r="BL516" s="267"/>
      <c r="BM516" s="268"/>
      <c r="BN516" s="252"/>
      <c r="BO516" s="253"/>
      <c r="BP516" s="267">
        <v>0</v>
      </c>
      <c r="BQ516" s="268">
        <v>0</v>
      </c>
      <c r="BR516" s="252"/>
      <c r="BS516" s="253"/>
      <c r="BT516" s="267"/>
      <c r="BU516" s="268"/>
      <c r="BV516" s="252"/>
      <c r="BW516" s="253"/>
      <c r="BX516" s="267">
        <v>0</v>
      </c>
      <c r="BY516" s="268">
        <v>0</v>
      </c>
      <c r="BZ516" s="252"/>
      <c r="CA516" s="253"/>
      <c r="CB516" s="267"/>
      <c r="CC516" s="268"/>
      <c r="CD516" s="255">
        <f t="shared" si="84"/>
        <v>0</v>
      </c>
      <c r="CE516" s="256">
        <f t="shared" si="85"/>
        <v>0</v>
      </c>
      <c r="CF516" s="257">
        <f t="shared" si="86"/>
        <v>0</v>
      </c>
      <c r="CG516" s="261">
        <f t="shared" si="87"/>
        <v>0</v>
      </c>
    </row>
    <row r="517" spans="1:85" s="263" customFormat="1" ht="12.75" customHeight="1">
      <c r="A517" s="444" t="s">
        <v>346</v>
      </c>
      <c r="B517" s="411" t="s">
        <v>348</v>
      </c>
      <c r="C517" s="411"/>
      <c r="D517" s="412">
        <v>229115</v>
      </c>
      <c r="E517" s="290">
        <v>1</v>
      </c>
      <c r="F517" s="252">
        <v>1068</v>
      </c>
      <c r="G517" s="253">
        <v>5311668</v>
      </c>
      <c r="H517" s="267">
        <v>1083</v>
      </c>
      <c r="I517" s="268">
        <v>5574509</v>
      </c>
      <c r="J517" s="252">
        <v>988</v>
      </c>
      <c r="K517" s="253">
        <v>6167008</v>
      </c>
      <c r="L517" s="267">
        <v>1032</v>
      </c>
      <c r="M517" s="268">
        <v>6973726</v>
      </c>
      <c r="N517" s="252"/>
      <c r="O517" s="253"/>
      <c r="P517" s="267"/>
      <c r="Q517" s="268"/>
      <c r="R517" s="252">
        <v>1068</v>
      </c>
      <c r="S517" s="253">
        <v>5848474</v>
      </c>
      <c r="T517" s="267">
        <v>1087</v>
      </c>
      <c r="U517" s="268">
        <v>6057652</v>
      </c>
      <c r="V517" s="252"/>
      <c r="W517" s="253"/>
      <c r="X517" s="267"/>
      <c r="Y517" s="268"/>
      <c r="Z517" s="252">
        <v>0</v>
      </c>
      <c r="AA517" s="253">
        <v>0</v>
      </c>
      <c r="AB517" s="267">
        <v>0</v>
      </c>
      <c r="AC517" s="268">
        <v>0</v>
      </c>
      <c r="AD517" s="252">
        <v>1068</v>
      </c>
      <c r="AE517" s="253">
        <v>382695</v>
      </c>
      <c r="AF517" s="267">
        <v>1087</v>
      </c>
      <c r="AG517" s="268">
        <v>399465</v>
      </c>
      <c r="AH517" s="252">
        <v>0</v>
      </c>
      <c r="AI517" s="253">
        <v>0</v>
      </c>
      <c r="AJ517" s="267">
        <v>0</v>
      </c>
      <c r="AK517" s="268">
        <v>0</v>
      </c>
      <c r="AL517" s="252"/>
      <c r="AM517" s="253"/>
      <c r="AN517" s="267"/>
      <c r="AO517" s="268"/>
      <c r="AP517" s="255">
        <f t="shared" si="80"/>
        <v>1068</v>
      </c>
      <c r="AQ517" s="256">
        <f t="shared" si="81"/>
        <v>17709845</v>
      </c>
      <c r="AR517" s="257">
        <f t="shared" si="82"/>
        <v>1087</v>
      </c>
      <c r="AS517" s="258">
        <f t="shared" si="83"/>
        <v>19005352</v>
      </c>
      <c r="AT517" s="259">
        <v>80</v>
      </c>
      <c r="AU517" s="253">
        <v>646943</v>
      </c>
      <c r="AV517" s="267">
        <v>89</v>
      </c>
      <c r="AW517" s="268">
        <v>742032</v>
      </c>
      <c r="AX517" s="252">
        <v>78</v>
      </c>
      <c r="AY517" s="253">
        <v>529324</v>
      </c>
      <c r="AZ517" s="267">
        <v>85</v>
      </c>
      <c r="BA517" s="268">
        <v>623214</v>
      </c>
      <c r="BB517" s="252"/>
      <c r="BC517" s="253"/>
      <c r="BD517" s="267"/>
      <c r="BE517" s="268"/>
      <c r="BF517" s="252">
        <v>80</v>
      </c>
      <c r="BG517" s="253">
        <v>660103</v>
      </c>
      <c r="BH517" s="267">
        <v>89</v>
      </c>
      <c r="BI517" s="268">
        <v>734199</v>
      </c>
      <c r="BJ517" s="252"/>
      <c r="BK517" s="253"/>
      <c r="BL517" s="267"/>
      <c r="BM517" s="268"/>
      <c r="BN517" s="252">
        <v>0</v>
      </c>
      <c r="BO517" s="253">
        <v>0</v>
      </c>
      <c r="BP517" s="267">
        <v>0</v>
      </c>
      <c r="BQ517" s="268">
        <v>0</v>
      </c>
      <c r="BR517" s="252">
        <v>80</v>
      </c>
      <c r="BS517" s="253">
        <v>44921</v>
      </c>
      <c r="BT517" s="267">
        <v>89</v>
      </c>
      <c r="BU517" s="268">
        <v>51927</v>
      </c>
      <c r="BV517" s="252">
        <v>0</v>
      </c>
      <c r="BW517" s="253">
        <v>0</v>
      </c>
      <c r="BX517" s="267">
        <v>0</v>
      </c>
      <c r="BY517" s="268">
        <v>0</v>
      </c>
      <c r="BZ517" s="252"/>
      <c r="CA517" s="253"/>
      <c r="CB517" s="267"/>
      <c r="CC517" s="268"/>
      <c r="CD517" s="255">
        <f t="shared" si="84"/>
        <v>80</v>
      </c>
      <c r="CE517" s="256">
        <f t="shared" si="85"/>
        <v>1881291</v>
      </c>
      <c r="CF517" s="257">
        <f t="shared" si="86"/>
        <v>89</v>
      </c>
      <c r="CG517" s="261">
        <f t="shared" si="87"/>
        <v>2151372</v>
      </c>
    </row>
    <row r="518" spans="1:85" s="263" customFormat="1" ht="12.75" customHeight="1">
      <c r="A518" s="444" t="s">
        <v>346</v>
      </c>
      <c r="B518" s="411" t="s">
        <v>349</v>
      </c>
      <c r="C518" s="411"/>
      <c r="D518" s="412">
        <v>225511</v>
      </c>
      <c r="E518" s="290">
        <v>1</v>
      </c>
      <c r="F518" s="252">
        <v>1055</v>
      </c>
      <c r="G518" s="253">
        <v>6761634</v>
      </c>
      <c r="H518" s="267">
        <v>1072</v>
      </c>
      <c r="I518" s="268">
        <v>7104645</v>
      </c>
      <c r="J518" s="252">
        <v>977</v>
      </c>
      <c r="K518" s="253">
        <v>6105379</v>
      </c>
      <c r="L518" s="267">
        <v>1006</v>
      </c>
      <c r="M518" s="268">
        <v>6294304</v>
      </c>
      <c r="N518" s="252"/>
      <c r="O518" s="253"/>
      <c r="P518" s="267"/>
      <c r="Q518" s="268"/>
      <c r="R518" s="252">
        <v>1055</v>
      </c>
      <c r="S518" s="253">
        <v>6523192</v>
      </c>
      <c r="T518" s="267">
        <v>1081</v>
      </c>
      <c r="U518" s="268">
        <v>6902386</v>
      </c>
      <c r="V518" s="252">
        <v>1055</v>
      </c>
      <c r="W518" s="253">
        <v>512279</v>
      </c>
      <c r="X518" s="267">
        <v>1081</v>
      </c>
      <c r="Y518" s="268">
        <v>551033</v>
      </c>
      <c r="Z518" s="252">
        <v>977</v>
      </c>
      <c r="AA518" s="253">
        <v>26027</v>
      </c>
      <c r="AB518" s="267">
        <v>1006</v>
      </c>
      <c r="AC518" s="268">
        <v>26800</v>
      </c>
      <c r="AD518" s="252">
        <v>1055</v>
      </c>
      <c r="AE518" s="253">
        <v>419137</v>
      </c>
      <c r="AF518" s="267">
        <v>1081</v>
      </c>
      <c r="AG518" s="268">
        <v>450845</v>
      </c>
      <c r="AH518" s="252">
        <v>0</v>
      </c>
      <c r="AI518" s="253">
        <v>0</v>
      </c>
      <c r="AJ518" s="267">
        <v>0</v>
      </c>
      <c r="AK518" s="268">
        <v>0</v>
      </c>
      <c r="AL518" s="252"/>
      <c r="AM518" s="253"/>
      <c r="AN518" s="267"/>
      <c r="AO518" s="268"/>
      <c r="AP518" s="255">
        <f t="shared" si="80"/>
        <v>1055</v>
      </c>
      <c r="AQ518" s="256">
        <f t="shared" si="81"/>
        <v>20347648</v>
      </c>
      <c r="AR518" s="257">
        <f t="shared" si="82"/>
        <v>1081</v>
      </c>
      <c r="AS518" s="258">
        <f t="shared" si="83"/>
        <v>21330013</v>
      </c>
      <c r="AT518" s="259">
        <v>98</v>
      </c>
      <c r="AU518" s="253">
        <v>612429</v>
      </c>
      <c r="AV518" s="267">
        <v>108</v>
      </c>
      <c r="AW518" s="268">
        <v>682622</v>
      </c>
      <c r="AX518" s="252">
        <v>93</v>
      </c>
      <c r="AY518" s="253">
        <v>576247</v>
      </c>
      <c r="AZ518" s="267">
        <v>104</v>
      </c>
      <c r="BA518" s="268">
        <v>643252</v>
      </c>
      <c r="BB518" s="252"/>
      <c r="BC518" s="253"/>
      <c r="BD518" s="267"/>
      <c r="BE518" s="268"/>
      <c r="BF518" s="252">
        <v>98</v>
      </c>
      <c r="BG518" s="253">
        <v>631875</v>
      </c>
      <c r="BH518" s="267">
        <v>108</v>
      </c>
      <c r="BI518" s="268">
        <v>707793</v>
      </c>
      <c r="BJ518" s="252">
        <v>98</v>
      </c>
      <c r="BK518" s="253">
        <v>48896</v>
      </c>
      <c r="BL518" s="267">
        <v>108</v>
      </c>
      <c r="BM518" s="268">
        <v>55214</v>
      </c>
      <c r="BN518" s="252">
        <v>93</v>
      </c>
      <c r="BO518" s="253">
        <v>2478</v>
      </c>
      <c r="BP518" s="267">
        <v>104</v>
      </c>
      <c r="BQ518" s="268">
        <v>2771</v>
      </c>
      <c r="BR518" s="252">
        <v>98</v>
      </c>
      <c r="BS518" s="253">
        <v>40006</v>
      </c>
      <c r="BT518" s="267">
        <v>108</v>
      </c>
      <c r="BU518" s="268">
        <v>45175</v>
      </c>
      <c r="BV518" s="252">
        <v>0</v>
      </c>
      <c r="BW518" s="253">
        <v>0</v>
      </c>
      <c r="BX518" s="267">
        <v>0</v>
      </c>
      <c r="BY518" s="268">
        <v>0</v>
      </c>
      <c r="BZ518" s="252"/>
      <c r="CA518" s="253"/>
      <c r="CB518" s="267"/>
      <c r="CC518" s="268"/>
      <c r="CD518" s="255">
        <f t="shared" si="84"/>
        <v>98</v>
      </c>
      <c r="CE518" s="256">
        <f t="shared" si="85"/>
        <v>1911931</v>
      </c>
      <c r="CF518" s="257">
        <f t="shared" si="86"/>
        <v>108</v>
      </c>
      <c r="CG518" s="261">
        <f t="shared" si="87"/>
        <v>2136827</v>
      </c>
    </row>
    <row r="519" spans="1:85" s="263" customFormat="1" ht="12.75" customHeight="1">
      <c r="A519" s="444" t="s">
        <v>346</v>
      </c>
      <c r="B519" s="411" t="s">
        <v>350</v>
      </c>
      <c r="C519" s="411"/>
      <c r="D519" s="412">
        <v>227216</v>
      </c>
      <c r="E519" s="290">
        <v>1</v>
      </c>
      <c r="F519" s="252">
        <v>892</v>
      </c>
      <c r="G519" s="253">
        <v>4252918</v>
      </c>
      <c r="H519" s="267">
        <v>934</v>
      </c>
      <c r="I519" s="268">
        <v>4410457</v>
      </c>
      <c r="J519" s="252">
        <v>804</v>
      </c>
      <c r="K519" s="253">
        <v>3770302</v>
      </c>
      <c r="L519" s="267">
        <v>880</v>
      </c>
      <c r="M519" s="268">
        <v>4422648</v>
      </c>
      <c r="N519" s="252"/>
      <c r="O519" s="253"/>
      <c r="P519" s="267"/>
      <c r="Q519" s="268"/>
      <c r="R519" s="252">
        <v>897</v>
      </c>
      <c r="S519" s="253">
        <v>3608184</v>
      </c>
      <c r="T519" s="267">
        <v>945</v>
      </c>
      <c r="U519" s="268">
        <v>3805738</v>
      </c>
      <c r="V519" s="252"/>
      <c r="W519" s="253"/>
      <c r="X519" s="267"/>
      <c r="Y519" s="268"/>
      <c r="Z519" s="252">
        <v>801</v>
      </c>
      <c r="AA519" s="253">
        <v>15994</v>
      </c>
      <c r="AB519" s="267">
        <v>877</v>
      </c>
      <c r="AC519" s="268">
        <v>17522</v>
      </c>
      <c r="AD519" s="252"/>
      <c r="AE519" s="253"/>
      <c r="AF519" s="267"/>
      <c r="AG519" s="268"/>
      <c r="AH519" s="252">
        <v>0</v>
      </c>
      <c r="AI519" s="253">
        <v>0</v>
      </c>
      <c r="AJ519" s="267">
        <v>0</v>
      </c>
      <c r="AK519" s="268">
        <v>0</v>
      </c>
      <c r="AL519" s="252"/>
      <c r="AM519" s="253"/>
      <c r="AN519" s="267"/>
      <c r="AO519" s="268"/>
      <c r="AP519" s="255">
        <f t="shared" si="80"/>
        <v>897</v>
      </c>
      <c r="AQ519" s="256">
        <f t="shared" si="81"/>
        <v>11647398</v>
      </c>
      <c r="AR519" s="257">
        <f t="shared" si="82"/>
        <v>945</v>
      </c>
      <c r="AS519" s="258">
        <f t="shared" si="83"/>
        <v>12656365</v>
      </c>
      <c r="AT519" s="259">
        <v>51</v>
      </c>
      <c r="AU519" s="253">
        <v>386948</v>
      </c>
      <c r="AV519" s="267">
        <v>52</v>
      </c>
      <c r="AW519" s="268">
        <v>395142</v>
      </c>
      <c r="AX519" s="252">
        <v>51</v>
      </c>
      <c r="AY519" s="253">
        <v>245139</v>
      </c>
      <c r="AZ519" s="267">
        <v>49</v>
      </c>
      <c r="BA519" s="268">
        <v>244180</v>
      </c>
      <c r="BB519" s="252"/>
      <c r="BC519" s="253"/>
      <c r="BD519" s="267"/>
      <c r="BE519" s="268"/>
      <c r="BF519" s="252">
        <v>51</v>
      </c>
      <c r="BG519" s="253">
        <v>224743</v>
      </c>
      <c r="BH519" s="267">
        <v>52</v>
      </c>
      <c r="BI519" s="268">
        <v>216450</v>
      </c>
      <c r="BJ519" s="252"/>
      <c r="BK519" s="253"/>
      <c r="BL519" s="267"/>
      <c r="BM519" s="268"/>
      <c r="BN519" s="252">
        <v>50</v>
      </c>
      <c r="BO519" s="253">
        <v>999</v>
      </c>
      <c r="BP519" s="267">
        <v>48</v>
      </c>
      <c r="BQ519" s="268">
        <v>959</v>
      </c>
      <c r="BR519" s="252"/>
      <c r="BS519" s="253"/>
      <c r="BT519" s="267"/>
      <c r="BU519" s="268"/>
      <c r="BV519" s="252">
        <v>0</v>
      </c>
      <c r="BW519" s="253">
        <v>0</v>
      </c>
      <c r="BX519" s="267">
        <v>0</v>
      </c>
      <c r="BY519" s="268">
        <v>0</v>
      </c>
      <c r="BZ519" s="252"/>
      <c r="CA519" s="253"/>
      <c r="CB519" s="267"/>
      <c r="CC519" s="268"/>
      <c r="CD519" s="255">
        <f t="shared" si="84"/>
        <v>51</v>
      </c>
      <c r="CE519" s="256">
        <f t="shared" si="85"/>
        <v>857829</v>
      </c>
      <c r="CF519" s="257">
        <f t="shared" si="86"/>
        <v>52</v>
      </c>
      <c r="CG519" s="261">
        <f t="shared" si="87"/>
        <v>856731</v>
      </c>
    </row>
    <row r="520" spans="1:85" s="263" customFormat="1" ht="12.75" customHeight="1">
      <c r="A520" s="444" t="s">
        <v>346</v>
      </c>
      <c r="B520" s="411" t="s">
        <v>353</v>
      </c>
      <c r="C520" s="411"/>
      <c r="D520" s="412">
        <v>228769</v>
      </c>
      <c r="E520" s="290">
        <v>1</v>
      </c>
      <c r="F520" s="252">
        <v>821</v>
      </c>
      <c r="G520" s="253">
        <v>4942121</v>
      </c>
      <c r="H520" s="267">
        <v>864</v>
      </c>
      <c r="I520" s="268">
        <v>5204300</v>
      </c>
      <c r="J520" s="252">
        <v>821</v>
      </c>
      <c r="K520" s="253">
        <v>6951407</v>
      </c>
      <c r="L520" s="267">
        <v>864</v>
      </c>
      <c r="M520" s="268">
        <v>8190720</v>
      </c>
      <c r="N520" s="252"/>
      <c r="O520" s="253"/>
      <c r="P520" s="267"/>
      <c r="Q520" s="268"/>
      <c r="R520" s="252">
        <v>821</v>
      </c>
      <c r="S520" s="253">
        <v>4457450</v>
      </c>
      <c r="T520" s="267">
        <v>864</v>
      </c>
      <c r="U520" s="268">
        <v>4705814</v>
      </c>
      <c r="V520" s="252">
        <v>821</v>
      </c>
      <c r="W520" s="253">
        <v>23891</v>
      </c>
      <c r="X520" s="267">
        <v>864</v>
      </c>
      <c r="Y520" s="268">
        <v>40046</v>
      </c>
      <c r="Z520" s="252">
        <v>0</v>
      </c>
      <c r="AA520" s="253">
        <v>0</v>
      </c>
      <c r="AB520" s="267">
        <v>0</v>
      </c>
      <c r="AC520" s="268">
        <v>0</v>
      </c>
      <c r="AD520" s="252">
        <v>821</v>
      </c>
      <c r="AE520" s="253">
        <v>86186</v>
      </c>
      <c r="AF520" s="267">
        <v>864</v>
      </c>
      <c r="AG520" s="268">
        <v>97737</v>
      </c>
      <c r="AH520" s="252">
        <v>0</v>
      </c>
      <c r="AI520" s="253">
        <v>0</v>
      </c>
      <c r="AJ520" s="267">
        <v>0</v>
      </c>
      <c r="AK520" s="268">
        <v>0</v>
      </c>
      <c r="AL520" s="252"/>
      <c r="AM520" s="253"/>
      <c r="AN520" s="267"/>
      <c r="AO520" s="268"/>
      <c r="AP520" s="255">
        <f t="shared" si="80"/>
        <v>821</v>
      </c>
      <c r="AQ520" s="256">
        <f t="shared" si="81"/>
        <v>16461055</v>
      </c>
      <c r="AR520" s="257">
        <f t="shared" si="82"/>
        <v>864</v>
      </c>
      <c r="AS520" s="258">
        <f t="shared" si="83"/>
        <v>18238617</v>
      </c>
      <c r="AT520" s="259"/>
      <c r="AU520" s="253"/>
      <c r="AV520" s="267">
        <v>0</v>
      </c>
      <c r="AW520" s="268">
        <v>0</v>
      </c>
      <c r="AX520" s="252"/>
      <c r="AY520" s="253"/>
      <c r="AZ520" s="267"/>
      <c r="BA520" s="268"/>
      <c r="BB520" s="252"/>
      <c r="BC520" s="253"/>
      <c r="BD520" s="267"/>
      <c r="BE520" s="268"/>
      <c r="BF520" s="252"/>
      <c r="BG520" s="253"/>
      <c r="BH520" s="267"/>
      <c r="BI520" s="268"/>
      <c r="BJ520" s="252"/>
      <c r="BK520" s="253"/>
      <c r="BL520" s="267"/>
      <c r="BM520" s="268"/>
      <c r="BN520" s="252"/>
      <c r="BO520" s="253"/>
      <c r="BP520" s="267">
        <v>0</v>
      </c>
      <c r="BQ520" s="268">
        <v>0</v>
      </c>
      <c r="BR520" s="252"/>
      <c r="BS520" s="253"/>
      <c r="BT520" s="267"/>
      <c r="BU520" s="268"/>
      <c r="BV520" s="252"/>
      <c r="BW520" s="253"/>
      <c r="BX520" s="267">
        <v>0</v>
      </c>
      <c r="BY520" s="268">
        <v>0</v>
      </c>
      <c r="BZ520" s="252"/>
      <c r="CA520" s="253"/>
      <c r="CB520" s="267"/>
      <c r="CC520" s="268"/>
      <c r="CD520" s="255">
        <f t="shared" si="84"/>
        <v>0</v>
      </c>
      <c r="CE520" s="256">
        <f t="shared" si="85"/>
        <v>0</v>
      </c>
      <c r="CF520" s="257">
        <f t="shared" si="86"/>
        <v>0</v>
      </c>
      <c r="CG520" s="261">
        <f t="shared" si="87"/>
        <v>0</v>
      </c>
    </row>
    <row r="521" spans="1:85" s="263" customFormat="1" ht="12.75" customHeight="1">
      <c r="A521" s="444" t="s">
        <v>346</v>
      </c>
      <c r="B521" s="411" t="s">
        <v>351</v>
      </c>
      <c r="C521" s="411"/>
      <c r="D521" s="412">
        <v>228778</v>
      </c>
      <c r="E521" s="290">
        <v>1</v>
      </c>
      <c r="F521" s="252">
        <v>2556</v>
      </c>
      <c r="G521" s="253">
        <v>19617722</v>
      </c>
      <c r="H521" s="267">
        <v>3009</v>
      </c>
      <c r="I521" s="268">
        <v>22745346</v>
      </c>
      <c r="J521" s="252">
        <v>2539</v>
      </c>
      <c r="K521" s="253">
        <v>15564460</v>
      </c>
      <c r="L521" s="267">
        <v>2455</v>
      </c>
      <c r="M521" s="268">
        <v>16947870</v>
      </c>
      <c r="N521" s="252"/>
      <c r="O521" s="253"/>
      <c r="P521" s="267"/>
      <c r="Q521" s="268"/>
      <c r="R521" s="252">
        <v>2539</v>
      </c>
      <c r="S521" s="253">
        <v>16821133</v>
      </c>
      <c r="T521" s="267">
        <v>2455</v>
      </c>
      <c r="U521" s="268">
        <v>16647150</v>
      </c>
      <c r="V521" s="252">
        <v>2539</v>
      </c>
      <c r="W521" s="253">
        <v>59639</v>
      </c>
      <c r="X521" s="267">
        <v>2455</v>
      </c>
      <c r="Y521" s="268">
        <v>57362</v>
      </c>
      <c r="Z521" s="252">
        <v>0</v>
      </c>
      <c r="AA521" s="253">
        <v>0</v>
      </c>
      <c r="AB521" s="267">
        <v>0</v>
      </c>
      <c r="AC521" s="268">
        <v>0</v>
      </c>
      <c r="AD521" s="252">
        <v>2539</v>
      </c>
      <c r="AE521" s="253">
        <v>289767</v>
      </c>
      <c r="AF521" s="267">
        <v>2455</v>
      </c>
      <c r="AG521" s="268">
        <v>289373</v>
      </c>
      <c r="AH521" s="252">
        <v>0</v>
      </c>
      <c r="AI521" s="253">
        <v>0</v>
      </c>
      <c r="AJ521" s="267">
        <v>0</v>
      </c>
      <c r="AK521" s="268">
        <v>0</v>
      </c>
      <c r="AL521" s="252"/>
      <c r="AM521" s="253"/>
      <c r="AN521" s="267"/>
      <c r="AO521" s="268"/>
      <c r="AP521" s="255">
        <f t="shared" si="80"/>
        <v>2556</v>
      </c>
      <c r="AQ521" s="256">
        <f t="shared" si="81"/>
        <v>52352721</v>
      </c>
      <c r="AR521" s="257">
        <f t="shared" si="82"/>
        <v>3009</v>
      </c>
      <c r="AS521" s="258">
        <f t="shared" si="83"/>
        <v>56687101</v>
      </c>
      <c r="AT521" s="259"/>
      <c r="AU521" s="253"/>
      <c r="AV521" s="267">
        <v>0</v>
      </c>
      <c r="AW521" s="268">
        <v>0</v>
      </c>
      <c r="AX521" s="252"/>
      <c r="AY521" s="253"/>
      <c r="AZ521" s="267"/>
      <c r="BA521" s="268"/>
      <c r="BB521" s="252"/>
      <c r="BC521" s="253"/>
      <c r="BD521" s="267"/>
      <c r="BE521" s="268"/>
      <c r="BF521" s="252"/>
      <c r="BG521" s="253"/>
      <c r="BH521" s="267"/>
      <c r="BI521" s="268"/>
      <c r="BJ521" s="252"/>
      <c r="BK521" s="253"/>
      <c r="BL521" s="267"/>
      <c r="BM521" s="268"/>
      <c r="BN521" s="252"/>
      <c r="BO521" s="253"/>
      <c r="BP521" s="267">
        <v>0</v>
      </c>
      <c r="BQ521" s="268">
        <v>0</v>
      </c>
      <c r="BR521" s="252"/>
      <c r="BS521" s="253"/>
      <c r="BT521" s="267"/>
      <c r="BU521" s="268"/>
      <c r="BV521" s="252"/>
      <c r="BW521" s="253"/>
      <c r="BX521" s="267">
        <v>0</v>
      </c>
      <c r="BY521" s="268">
        <v>0</v>
      </c>
      <c r="BZ521" s="252"/>
      <c r="CA521" s="253"/>
      <c r="CB521" s="267"/>
      <c r="CC521" s="268"/>
      <c r="CD521" s="255">
        <f t="shared" si="84"/>
        <v>0</v>
      </c>
      <c r="CE521" s="256">
        <f t="shared" si="85"/>
        <v>0</v>
      </c>
      <c r="CF521" s="257">
        <f t="shared" si="86"/>
        <v>0</v>
      </c>
      <c r="CG521" s="261">
        <f t="shared" si="87"/>
        <v>0</v>
      </c>
    </row>
    <row r="522" spans="1:85" s="263" customFormat="1" ht="12.75" customHeight="1">
      <c r="A522" s="444" t="s">
        <v>346</v>
      </c>
      <c r="B522" s="411" t="s">
        <v>354</v>
      </c>
      <c r="C522" s="411"/>
      <c r="D522" s="412">
        <v>228787</v>
      </c>
      <c r="E522" s="290">
        <v>1</v>
      </c>
      <c r="F522" s="252">
        <v>481</v>
      </c>
      <c r="G522" s="253">
        <v>2503058</v>
      </c>
      <c r="H522" s="267">
        <v>586</v>
      </c>
      <c r="I522" s="268">
        <v>5269906</v>
      </c>
      <c r="J522" s="252">
        <v>473</v>
      </c>
      <c r="K522" s="253">
        <v>2608225</v>
      </c>
      <c r="L522" s="267">
        <v>576</v>
      </c>
      <c r="M522" s="268">
        <v>3441042</v>
      </c>
      <c r="N522" s="252"/>
      <c r="O522" s="253"/>
      <c r="P522" s="267"/>
      <c r="Q522" s="268"/>
      <c r="R522" s="252">
        <v>485</v>
      </c>
      <c r="S522" s="253">
        <v>3271174</v>
      </c>
      <c r="T522" s="267">
        <v>586</v>
      </c>
      <c r="U522" s="268">
        <v>4013962</v>
      </c>
      <c r="V522" s="252">
        <v>485</v>
      </c>
      <c r="W522" s="253">
        <v>15262</v>
      </c>
      <c r="X522" s="267">
        <v>586</v>
      </c>
      <c r="Y522" s="268">
        <v>30175</v>
      </c>
      <c r="Z522" s="252">
        <v>8</v>
      </c>
      <c r="AA522" s="253">
        <v>76</v>
      </c>
      <c r="AB522" s="267">
        <v>12</v>
      </c>
      <c r="AC522" s="268">
        <v>231</v>
      </c>
      <c r="AD522" s="252">
        <v>485</v>
      </c>
      <c r="AE522" s="253">
        <v>43113</v>
      </c>
      <c r="AF522" s="267">
        <v>587</v>
      </c>
      <c r="AG522" s="268">
        <v>58783</v>
      </c>
      <c r="AH522" s="252">
        <v>0</v>
      </c>
      <c r="AI522" s="253">
        <v>0</v>
      </c>
      <c r="AJ522" s="267">
        <v>0</v>
      </c>
      <c r="AK522" s="268">
        <v>0</v>
      </c>
      <c r="AL522" s="252"/>
      <c r="AM522" s="253"/>
      <c r="AN522" s="267"/>
      <c r="AO522" s="268"/>
      <c r="AP522" s="255">
        <f t="shared" si="80"/>
        <v>485</v>
      </c>
      <c r="AQ522" s="256">
        <f t="shared" si="81"/>
        <v>8440908</v>
      </c>
      <c r="AR522" s="257">
        <f t="shared" si="82"/>
        <v>587</v>
      </c>
      <c r="AS522" s="258">
        <f t="shared" si="83"/>
        <v>12814099</v>
      </c>
      <c r="AT522" s="259">
        <v>50</v>
      </c>
      <c r="AU522" s="253">
        <v>247362</v>
      </c>
      <c r="AV522" s="267">
        <v>2</v>
      </c>
      <c r="AW522" s="268">
        <v>20746</v>
      </c>
      <c r="AX522" s="252">
        <v>49</v>
      </c>
      <c r="AY522" s="253">
        <v>242911</v>
      </c>
      <c r="AZ522" s="267">
        <v>2</v>
      </c>
      <c r="BA522" s="268">
        <v>5739</v>
      </c>
      <c r="BB522" s="252"/>
      <c r="BC522" s="253"/>
      <c r="BD522" s="267"/>
      <c r="BE522" s="268"/>
      <c r="BF522" s="252">
        <v>51</v>
      </c>
      <c r="BG522" s="253">
        <v>348615</v>
      </c>
      <c r="BH522" s="267">
        <v>2</v>
      </c>
      <c r="BI522" s="268">
        <v>16003</v>
      </c>
      <c r="BJ522" s="252">
        <v>51</v>
      </c>
      <c r="BK522" s="253">
        <v>1670</v>
      </c>
      <c r="BL522" s="267">
        <v>2</v>
      </c>
      <c r="BM522" s="268">
        <v>99</v>
      </c>
      <c r="BN522" s="252">
        <v>0</v>
      </c>
      <c r="BO522" s="253">
        <v>0</v>
      </c>
      <c r="BP522" s="267">
        <v>0</v>
      </c>
      <c r="BQ522" s="268">
        <v>0</v>
      </c>
      <c r="BR522" s="252">
        <v>51</v>
      </c>
      <c r="BS522" s="253">
        <v>4714</v>
      </c>
      <c r="BT522" s="267">
        <v>2</v>
      </c>
      <c r="BU522" s="268">
        <v>217</v>
      </c>
      <c r="BV522" s="252">
        <v>0</v>
      </c>
      <c r="BW522" s="253">
        <v>0</v>
      </c>
      <c r="BX522" s="267">
        <v>0</v>
      </c>
      <c r="BY522" s="268">
        <v>0</v>
      </c>
      <c r="BZ522" s="252"/>
      <c r="CA522" s="253"/>
      <c r="CB522" s="267"/>
      <c r="CC522" s="268"/>
      <c r="CD522" s="255">
        <f t="shared" si="84"/>
        <v>51</v>
      </c>
      <c r="CE522" s="256">
        <f t="shared" si="85"/>
        <v>845272</v>
      </c>
      <c r="CF522" s="257">
        <f t="shared" si="86"/>
        <v>2</v>
      </c>
      <c r="CG522" s="261">
        <f t="shared" si="87"/>
        <v>42804</v>
      </c>
    </row>
    <row r="523" spans="1:85" s="263" customFormat="1" ht="12.75" customHeight="1">
      <c r="A523" s="444" t="s">
        <v>346</v>
      </c>
      <c r="B523" s="411" t="s">
        <v>352</v>
      </c>
      <c r="C523" s="530" t="s">
        <v>1268</v>
      </c>
      <c r="D523" s="412">
        <v>229179</v>
      </c>
      <c r="E523" s="290">
        <v>2</v>
      </c>
      <c r="F523" s="252">
        <v>423</v>
      </c>
      <c r="G523" s="253">
        <v>1920339</v>
      </c>
      <c r="H523" s="267">
        <v>409</v>
      </c>
      <c r="I523" s="268">
        <v>1879389</v>
      </c>
      <c r="J523" s="252">
        <v>386</v>
      </c>
      <c r="K523" s="253">
        <v>2367110</v>
      </c>
      <c r="L523" s="267">
        <v>388</v>
      </c>
      <c r="M523" s="268">
        <v>2540832</v>
      </c>
      <c r="N523" s="252"/>
      <c r="O523" s="253"/>
      <c r="P523" s="267"/>
      <c r="Q523" s="268"/>
      <c r="R523" s="252">
        <v>422</v>
      </c>
      <c r="S523" s="253">
        <v>1341743</v>
      </c>
      <c r="T523" s="267">
        <v>409</v>
      </c>
      <c r="U523" s="268">
        <v>1338106</v>
      </c>
      <c r="V523" s="252"/>
      <c r="W523" s="253"/>
      <c r="X523" s="267"/>
      <c r="Y523" s="268"/>
      <c r="Z523" s="252">
        <v>386</v>
      </c>
      <c r="AA523" s="253">
        <v>10283</v>
      </c>
      <c r="AB523" s="267">
        <v>388</v>
      </c>
      <c r="AC523" s="268">
        <v>11668</v>
      </c>
      <c r="AD523" s="252"/>
      <c r="AE523" s="253"/>
      <c r="AF523" s="267"/>
      <c r="AG523" s="268"/>
      <c r="AH523" s="252">
        <v>0</v>
      </c>
      <c r="AI523" s="253">
        <v>0</v>
      </c>
      <c r="AJ523" s="267">
        <v>0</v>
      </c>
      <c r="AK523" s="268">
        <v>0</v>
      </c>
      <c r="AL523" s="252"/>
      <c r="AM523" s="253"/>
      <c r="AN523" s="267"/>
      <c r="AO523" s="268"/>
      <c r="AP523" s="255">
        <f t="shared" si="80"/>
        <v>423</v>
      </c>
      <c r="AQ523" s="256">
        <f t="shared" si="81"/>
        <v>5639475</v>
      </c>
      <c r="AR523" s="257">
        <f t="shared" si="82"/>
        <v>409</v>
      </c>
      <c r="AS523" s="258">
        <f t="shared" si="83"/>
        <v>5769995</v>
      </c>
      <c r="AT523" s="259"/>
      <c r="AU523" s="253"/>
      <c r="AV523" s="267">
        <v>0</v>
      </c>
      <c r="AW523" s="268">
        <v>0</v>
      </c>
      <c r="AX523" s="252"/>
      <c r="AY523" s="253"/>
      <c r="AZ523" s="267"/>
      <c r="BA523" s="268"/>
      <c r="BB523" s="252"/>
      <c r="BC523" s="253"/>
      <c r="BD523" s="267"/>
      <c r="BE523" s="268"/>
      <c r="BF523" s="252"/>
      <c r="BG523" s="253"/>
      <c r="BH523" s="267"/>
      <c r="BI523" s="268"/>
      <c r="BJ523" s="252"/>
      <c r="BK523" s="253"/>
      <c r="BL523" s="267"/>
      <c r="BM523" s="268"/>
      <c r="BN523" s="252"/>
      <c r="BO523" s="253"/>
      <c r="BP523" s="267">
        <v>0</v>
      </c>
      <c r="BQ523" s="268">
        <v>0</v>
      </c>
      <c r="BR523" s="252"/>
      <c r="BS523" s="253"/>
      <c r="BT523" s="267"/>
      <c r="BU523" s="268"/>
      <c r="BV523" s="252"/>
      <c r="BW523" s="253"/>
      <c r="BX523" s="267">
        <v>0</v>
      </c>
      <c r="BY523" s="268">
        <v>0</v>
      </c>
      <c r="BZ523" s="252"/>
      <c r="CA523" s="253"/>
      <c r="CB523" s="267"/>
      <c r="CC523" s="268"/>
      <c r="CD523" s="255">
        <f t="shared" si="84"/>
        <v>0</v>
      </c>
      <c r="CE523" s="256">
        <f t="shared" si="85"/>
        <v>0</v>
      </c>
      <c r="CF523" s="257">
        <f t="shared" si="86"/>
        <v>0</v>
      </c>
      <c r="CG523" s="261">
        <f t="shared" si="87"/>
        <v>0</v>
      </c>
    </row>
    <row r="524" spans="1:85" s="263" customFormat="1" ht="12.75" customHeight="1">
      <c r="A524" s="444" t="s">
        <v>346</v>
      </c>
      <c r="B524" s="411" t="s">
        <v>365</v>
      </c>
      <c r="C524" s="411"/>
      <c r="D524" s="412">
        <v>228796</v>
      </c>
      <c r="E524" s="290">
        <v>2</v>
      </c>
      <c r="F524" s="252">
        <v>675</v>
      </c>
      <c r="G524" s="253">
        <v>3590538</v>
      </c>
      <c r="H524" s="267">
        <v>676</v>
      </c>
      <c r="I524" s="268">
        <v>4045404</v>
      </c>
      <c r="J524" s="252">
        <v>675</v>
      </c>
      <c r="K524" s="253">
        <v>4554873</v>
      </c>
      <c r="L524" s="267">
        <v>676</v>
      </c>
      <c r="M524" s="268">
        <v>5109019</v>
      </c>
      <c r="N524" s="252"/>
      <c r="O524" s="253"/>
      <c r="P524" s="267"/>
      <c r="Q524" s="268"/>
      <c r="R524" s="252">
        <v>675</v>
      </c>
      <c r="S524" s="253">
        <v>3231484</v>
      </c>
      <c r="T524" s="267">
        <v>676</v>
      </c>
      <c r="U524" s="268">
        <v>3640864</v>
      </c>
      <c r="V524" s="252">
        <v>675</v>
      </c>
      <c r="W524" s="253">
        <v>23024</v>
      </c>
      <c r="X524" s="267">
        <v>676</v>
      </c>
      <c r="Y524" s="268">
        <v>36078</v>
      </c>
      <c r="Z524" s="252">
        <v>0</v>
      </c>
      <c r="AA524" s="253">
        <v>0</v>
      </c>
      <c r="AB524" s="267">
        <v>0</v>
      </c>
      <c r="AC524" s="268">
        <v>0</v>
      </c>
      <c r="AD524" s="252">
        <v>675</v>
      </c>
      <c r="AE524" s="253">
        <v>84061</v>
      </c>
      <c r="AF524" s="267">
        <v>676</v>
      </c>
      <c r="AG524" s="268">
        <v>87095</v>
      </c>
      <c r="AH524" s="252">
        <v>0</v>
      </c>
      <c r="AI524" s="253">
        <v>0</v>
      </c>
      <c r="AJ524" s="267">
        <v>0</v>
      </c>
      <c r="AK524" s="268">
        <v>0</v>
      </c>
      <c r="AL524" s="252"/>
      <c r="AM524" s="253"/>
      <c r="AN524" s="267"/>
      <c r="AO524" s="268"/>
      <c r="AP524" s="255">
        <f t="shared" si="80"/>
        <v>675</v>
      </c>
      <c r="AQ524" s="256">
        <f t="shared" si="81"/>
        <v>11483980</v>
      </c>
      <c r="AR524" s="257">
        <f t="shared" si="82"/>
        <v>676</v>
      </c>
      <c r="AS524" s="258">
        <f t="shared" si="83"/>
        <v>12918460</v>
      </c>
      <c r="AT524" s="259"/>
      <c r="AU524" s="253"/>
      <c r="AV524" s="267">
        <v>0</v>
      </c>
      <c r="AW524" s="268">
        <v>0</v>
      </c>
      <c r="AX524" s="252"/>
      <c r="AY524" s="253"/>
      <c r="AZ524" s="267"/>
      <c r="BA524" s="268"/>
      <c r="BB524" s="252"/>
      <c r="BC524" s="253"/>
      <c r="BD524" s="267"/>
      <c r="BE524" s="268"/>
      <c r="BF524" s="252"/>
      <c r="BG524" s="253"/>
      <c r="BH524" s="267"/>
      <c r="BI524" s="268"/>
      <c r="BJ524" s="252"/>
      <c r="BK524" s="253"/>
      <c r="BL524" s="267"/>
      <c r="BM524" s="268"/>
      <c r="BN524" s="252"/>
      <c r="BO524" s="253"/>
      <c r="BP524" s="267">
        <v>0</v>
      </c>
      <c r="BQ524" s="268">
        <v>0</v>
      </c>
      <c r="BR524" s="252"/>
      <c r="BS524" s="253"/>
      <c r="BT524" s="267"/>
      <c r="BU524" s="268"/>
      <c r="BV524" s="252"/>
      <c r="BW524" s="253"/>
      <c r="BX524" s="267">
        <v>0</v>
      </c>
      <c r="BY524" s="268">
        <v>0</v>
      </c>
      <c r="BZ524" s="252"/>
      <c r="CA524" s="253"/>
      <c r="CB524" s="267"/>
      <c r="CC524" s="268"/>
      <c r="CD524" s="255">
        <f t="shared" si="84"/>
        <v>0</v>
      </c>
      <c r="CE524" s="256">
        <f t="shared" si="85"/>
        <v>0</v>
      </c>
      <c r="CF524" s="257">
        <f t="shared" si="86"/>
        <v>0</v>
      </c>
      <c r="CG524" s="261">
        <f t="shared" si="87"/>
        <v>0</v>
      </c>
    </row>
    <row r="525" spans="1:85" s="263" customFormat="1" ht="12.75" customHeight="1">
      <c r="A525" s="444" t="s">
        <v>346</v>
      </c>
      <c r="B525" s="411" t="s">
        <v>366</v>
      </c>
      <c r="C525" s="411"/>
      <c r="D525" s="412">
        <v>229027</v>
      </c>
      <c r="E525" s="290">
        <v>2</v>
      </c>
      <c r="F525" s="252">
        <v>607</v>
      </c>
      <c r="G525" s="253">
        <v>3931101</v>
      </c>
      <c r="H525" s="267">
        <v>840</v>
      </c>
      <c r="I525" s="268">
        <v>4792158</v>
      </c>
      <c r="J525" s="252">
        <v>584</v>
      </c>
      <c r="K525" s="253">
        <v>3648662</v>
      </c>
      <c r="L525" s="267">
        <v>765</v>
      </c>
      <c r="M525" s="268">
        <v>5302978</v>
      </c>
      <c r="N525" s="252"/>
      <c r="O525" s="253"/>
      <c r="P525" s="267"/>
      <c r="Q525" s="268"/>
      <c r="R525" s="252">
        <v>665</v>
      </c>
      <c r="S525" s="253">
        <v>3066549</v>
      </c>
      <c r="T525" s="267">
        <v>848</v>
      </c>
      <c r="U525" s="268">
        <v>3469534</v>
      </c>
      <c r="V525" s="252">
        <v>665</v>
      </c>
      <c r="W525" s="253">
        <v>23282</v>
      </c>
      <c r="X525" s="267">
        <v>848</v>
      </c>
      <c r="Y525" s="268">
        <v>46403</v>
      </c>
      <c r="Z525" s="252">
        <v>665</v>
      </c>
      <c r="AA525" s="253">
        <v>12928</v>
      </c>
      <c r="AB525" s="267">
        <v>848</v>
      </c>
      <c r="AC525" s="268">
        <v>16485</v>
      </c>
      <c r="AD525" s="252">
        <v>665</v>
      </c>
      <c r="AE525" s="253">
        <v>80619</v>
      </c>
      <c r="AF525" s="267">
        <v>848</v>
      </c>
      <c r="AG525" s="268">
        <v>88965</v>
      </c>
      <c r="AH525" s="252">
        <v>0</v>
      </c>
      <c r="AI525" s="253">
        <v>0</v>
      </c>
      <c r="AJ525" s="267">
        <v>0</v>
      </c>
      <c r="AK525" s="268">
        <v>0</v>
      </c>
      <c r="AL525" s="252"/>
      <c r="AM525" s="253"/>
      <c r="AN525" s="267"/>
      <c r="AO525" s="268"/>
      <c r="AP525" s="255">
        <f t="shared" si="80"/>
        <v>665</v>
      </c>
      <c r="AQ525" s="256">
        <f t="shared" si="81"/>
        <v>10763141</v>
      </c>
      <c r="AR525" s="257">
        <f t="shared" si="82"/>
        <v>848</v>
      </c>
      <c r="AS525" s="258">
        <f t="shared" si="83"/>
        <v>13716523</v>
      </c>
      <c r="AT525" s="259"/>
      <c r="AU525" s="253"/>
      <c r="AV525" s="267">
        <v>0</v>
      </c>
      <c r="AW525" s="268">
        <v>0</v>
      </c>
      <c r="AX525" s="252"/>
      <c r="AY525" s="253"/>
      <c r="AZ525" s="267"/>
      <c r="BA525" s="268"/>
      <c r="BB525" s="252"/>
      <c r="BC525" s="253"/>
      <c r="BD525" s="267"/>
      <c r="BE525" s="268"/>
      <c r="BF525" s="252"/>
      <c r="BG525" s="253"/>
      <c r="BH525" s="267"/>
      <c r="BI525" s="268"/>
      <c r="BJ525" s="252"/>
      <c r="BK525" s="253"/>
      <c r="BL525" s="267"/>
      <c r="BM525" s="268"/>
      <c r="BN525" s="252"/>
      <c r="BO525" s="253"/>
      <c r="BP525" s="267">
        <v>0</v>
      </c>
      <c r="BQ525" s="268">
        <v>0</v>
      </c>
      <c r="BR525" s="252"/>
      <c r="BS525" s="253"/>
      <c r="BT525" s="267"/>
      <c r="BU525" s="268"/>
      <c r="BV525" s="252"/>
      <c r="BW525" s="253"/>
      <c r="BX525" s="267">
        <v>0</v>
      </c>
      <c r="BY525" s="268">
        <v>0</v>
      </c>
      <c r="BZ525" s="252"/>
      <c r="CA525" s="253"/>
      <c r="CB525" s="267"/>
      <c r="CC525" s="268"/>
      <c r="CD525" s="255">
        <f t="shared" si="84"/>
        <v>0</v>
      </c>
      <c r="CE525" s="256">
        <f t="shared" si="85"/>
        <v>0</v>
      </c>
      <c r="CF525" s="257">
        <f t="shared" si="86"/>
        <v>0</v>
      </c>
      <c r="CG525" s="261">
        <f t="shared" si="87"/>
        <v>0</v>
      </c>
    </row>
    <row r="526" spans="1:85" s="263" customFormat="1" ht="12.75" customHeight="1">
      <c r="A526" s="444" t="s">
        <v>346</v>
      </c>
      <c r="B526" s="411" t="s">
        <v>355</v>
      </c>
      <c r="C526" s="411"/>
      <c r="D526" s="412">
        <v>222831</v>
      </c>
      <c r="E526" s="290">
        <v>3</v>
      </c>
      <c r="F526" s="252">
        <v>230</v>
      </c>
      <c r="G526" s="253">
        <v>731813</v>
      </c>
      <c r="H526" s="267">
        <v>241</v>
      </c>
      <c r="I526" s="268">
        <v>822905</v>
      </c>
      <c r="J526" s="252">
        <v>228</v>
      </c>
      <c r="K526" s="253">
        <v>1055487</v>
      </c>
      <c r="L526" s="267">
        <v>219</v>
      </c>
      <c r="M526" s="268">
        <v>1082289</v>
      </c>
      <c r="N526" s="252"/>
      <c r="O526" s="253"/>
      <c r="P526" s="267"/>
      <c r="Q526" s="268"/>
      <c r="R526" s="252">
        <v>230</v>
      </c>
      <c r="S526" s="253">
        <v>665264</v>
      </c>
      <c r="T526" s="267">
        <v>241</v>
      </c>
      <c r="U526" s="268">
        <v>858982</v>
      </c>
      <c r="V526" s="252"/>
      <c r="W526" s="253"/>
      <c r="X526" s="267"/>
      <c r="Y526" s="268"/>
      <c r="Z526" s="252">
        <v>0</v>
      </c>
      <c r="AA526" s="253">
        <v>0</v>
      </c>
      <c r="AB526" s="267">
        <v>0</v>
      </c>
      <c r="AC526" s="268">
        <v>0</v>
      </c>
      <c r="AD526" s="252"/>
      <c r="AE526" s="253"/>
      <c r="AF526" s="267"/>
      <c r="AG526" s="268"/>
      <c r="AH526" s="252">
        <v>0</v>
      </c>
      <c r="AI526" s="253">
        <v>0</v>
      </c>
      <c r="AJ526" s="267">
        <v>0</v>
      </c>
      <c r="AK526" s="268">
        <v>0</v>
      </c>
      <c r="AL526" s="252"/>
      <c r="AM526" s="253"/>
      <c r="AN526" s="267"/>
      <c r="AO526" s="268"/>
      <c r="AP526" s="255">
        <f t="shared" si="80"/>
        <v>230</v>
      </c>
      <c r="AQ526" s="256">
        <f t="shared" si="81"/>
        <v>2452564</v>
      </c>
      <c r="AR526" s="257">
        <f t="shared" si="82"/>
        <v>241</v>
      </c>
      <c r="AS526" s="258">
        <f t="shared" si="83"/>
        <v>2764176</v>
      </c>
      <c r="AT526" s="259">
        <v>17</v>
      </c>
      <c r="AU526" s="253">
        <v>95948</v>
      </c>
      <c r="AV526" s="267">
        <v>19</v>
      </c>
      <c r="AW526" s="268">
        <v>112302</v>
      </c>
      <c r="AX526" s="252">
        <v>16</v>
      </c>
      <c r="AY526" s="253">
        <v>103995</v>
      </c>
      <c r="AZ526" s="267">
        <v>17</v>
      </c>
      <c r="BA526" s="268">
        <v>117451</v>
      </c>
      <c r="BB526" s="252"/>
      <c r="BC526" s="253"/>
      <c r="BD526" s="267"/>
      <c r="BE526" s="268"/>
      <c r="BF526" s="252">
        <v>17</v>
      </c>
      <c r="BG526" s="253">
        <v>93940</v>
      </c>
      <c r="BH526" s="267">
        <v>19</v>
      </c>
      <c r="BI526" s="268">
        <v>103154</v>
      </c>
      <c r="BJ526" s="252"/>
      <c r="BK526" s="253"/>
      <c r="BL526" s="267"/>
      <c r="BM526" s="268"/>
      <c r="BN526" s="252">
        <v>0</v>
      </c>
      <c r="BO526" s="253">
        <v>0</v>
      </c>
      <c r="BP526" s="267">
        <v>0</v>
      </c>
      <c r="BQ526" s="268">
        <v>0</v>
      </c>
      <c r="BR526" s="252"/>
      <c r="BS526" s="253"/>
      <c r="BT526" s="267"/>
      <c r="BU526" s="268"/>
      <c r="BV526" s="252">
        <v>0</v>
      </c>
      <c r="BW526" s="253">
        <v>0</v>
      </c>
      <c r="BX526" s="267">
        <v>0</v>
      </c>
      <c r="BY526" s="268">
        <v>0</v>
      </c>
      <c r="BZ526" s="252"/>
      <c r="CA526" s="253"/>
      <c r="CB526" s="267"/>
      <c r="CC526" s="268"/>
      <c r="CD526" s="255">
        <f t="shared" si="84"/>
        <v>17</v>
      </c>
      <c r="CE526" s="256">
        <f t="shared" si="85"/>
        <v>293883</v>
      </c>
      <c r="CF526" s="257">
        <f t="shared" si="86"/>
        <v>19</v>
      </c>
      <c r="CG526" s="261">
        <f t="shared" si="87"/>
        <v>332907</v>
      </c>
    </row>
    <row r="527" spans="1:85" s="263" customFormat="1" ht="12.75" customHeight="1">
      <c r="A527" s="444" t="s">
        <v>346</v>
      </c>
      <c r="B527" s="411" t="s">
        <v>356</v>
      </c>
      <c r="C527" s="411"/>
      <c r="D527" s="412">
        <v>226091</v>
      </c>
      <c r="E527" s="290">
        <v>3</v>
      </c>
      <c r="F527" s="252">
        <v>411</v>
      </c>
      <c r="G527" s="253">
        <v>2397034</v>
      </c>
      <c r="H527" s="267">
        <v>423</v>
      </c>
      <c r="I527" s="268">
        <v>2324253</v>
      </c>
      <c r="J527" s="252">
        <v>369</v>
      </c>
      <c r="K527" s="253">
        <v>2246206</v>
      </c>
      <c r="L527" s="267">
        <v>374</v>
      </c>
      <c r="M527" s="268">
        <v>2292540</v>
      </c>
      <c r="N527" s="252"/>
      <c r="O527" s="253"/>
      <c r="P527" s="267"/>
      <c r="Q527" s="268"/>
      <c r="R527" s="252">
        <v>383</v>
      </c>
      <c r="S527" s="253">
        <v>1771818</v>
      </c>
      <c r="T527" s="267">
        <v>406</v>
      </c>
      <c r="U527" s="268">
        <v>1831671</v>
      </c>
      <c r="V527" s="252"/>
      <c r="W527" s="253"/>
      <c r="X527" s="267"/>
      <c r="Y527" s="268"/>
      <c r="Z527" s="252">
        <v>369</v>
      </c>
      <c r="AA527" s="253">
        <v>9830</v>
      </c>
      <c r="AB527" s="267">
        <v>374</v>
      </c>
      <c r="AC527" s="268">
        <v>10098</v>
      </c>
      <c r="AD527" s="252"/>
      <c r="AE527" s="253"/>
      <c r="AF527" s="267"/>
      <c r="AG527" s="268"/>
      <c r="AH527" s="252">
        <v>0</v>
      </c>
      <c r="AI527" s="253">
        <v>0</v>
      </c>
      <c r="AJ527" s="267">
        <v>0</v>
      </c>
      <c r="AK527" s="268">
        <v>0</v>
      </c>
      <c r="AL527" s="252"/>
      <c r="AM527" s="253"/>
      <c r="AN527" s="267"/>
      <c r="AO527" s="268"/>
      <c r="AP527" s="255">
        <f t="shared" si="80"/>
        <v>411</v>
      </c>
      <c r="AQ527" s="256">
        <f t="shared" si="81"/>
        <v>6424888</v>
      </c>
      <c r="AR527" s="257">
        <f t="shared" si="82"/>
        <v>423</v>
      </c>
      <c r="AS527" s="258">
        <f t="shared" si="83"/>
        <v>6458562</v>
      </c>
      <c r="AT527" s="259">
        <v>1</v>
      </c>
      <c r="AU527" s="253">
        <v>7596</v>
      </c>
      <c r="AV527" s="267">
        <v>1</v>
      </c>
      <c r="AW527" s="268">
        <v>7866</v>
      </c>
      <c r="AX527" s="252">
        <v>1</v>
      </c>
      <c r="AY527" s="253">
        <v>9036</v>
      </c>
      <c r="AZ527" s="267">
        <v>1</v>
      </c>
      <c r="BA527" s="268">
        <v>9203</v>
      </c>
      <c r="BB527" s="252"/>
      <c r="BC527" s="253"/>
      <c r="BD527" s="267"/>
      <c r="BE527" s="268"/>
      <c r="BF527" s="252">
        <v>1</v>
      </c>
      <c r="BG527" s="253">
        <v>5076</v>
      </c>
      <c r="BH527" s="267">
        <v>1</v>
      </c>
      <c r="BI527" s="268">
        <v>6622</v>
      </c>
      <c r="BJ527" s="252"/>
      <c r="BK527" s="253"/>
      <c r="BL527" s="267"/>
      <c r="BM527" s="268"/>
      <c r="BN527" s="252">
        <v>1</v>
      </c>
      <c r="BO527" s="253">
        <v>27</v>
      </c>
      <c r="BP527" s="267">
        <v>1</v>
      </c>
      <c r="BQ527" s="268">
        <v>27</v>
      </c>
      <c r="BR527" s="252"/>
      <c r="BS527" s="253"/>
      <c r="BT527" s="267"/>
      <c r="BU527" s="268"/>
      <c r="BV527" s="252">
        <v>0</v>
      </c>
      <c r="BW527" s="253">
        <v>0</v>
      </c>
      <c r="BX527" s="267">
        <v>0</v>
      </c>
      <c r="BY527" s="268">
        <v>0</v>
      </c>
      <c r="BZ527" s="252"/>
      <c r="CA527" s="253"/>
      <c r="CB527" s="267"/>
      <c r="CC527" s="268"/>
      <c r="CD527" s="255">
        <f t="shared" si="84"/>
        <v>1</v>
      </c>
      <c r="CE527" s="256">
        <f t="shared" si="85"/>
        <v>21735</v>
      </c>
      <c r="CF527" s="257">
        <f t="shared" si="86"/>
        <v>1</v>
      </c>
      <c r="CG527" s="261">
        <f t="shared" si="87"/>
        <v>23718</v>
      </c>
    </row>
    <row r="528" spans="1:85" s="263" customFormat="1" ht="12.75" customHeight="1">
      <c r="A528" s="444" t="s">
        <v>346</v>
      </c>
      <c r="B528" s="411" t="s">
        <v>1044</v>
      </c>
      <c r="C528" s="411"/>
      <c r="D528" s="412">
        <v>226833</v>
      </c>
      <c r="E528" s="290">
        <v>3</v>
      </c>
      <c r="F528" s="252">
        <v>221</v>
      </c>
      <c r="G528" s="253">
        <v>872801</v>
      </c>
      <c r="H528" s="267">
        <v>222</v>
      </c>
      <c r="I528" s="268">
        <v>993035</v>
      </c>
      <c r="J528" s="252">
        <v>216</v>
      </c>
      <c r="K528" s="253">
        <v>1346162</v>
      </c>
      <c r="L528" s="267">
        <v>218</v>
      </c>
      <c r="M528" s="268">
        <v>1484442</v>
      </c>
      <c r="N528" s="252"/>
      <c r="O528" s="253"/>
      <c r="P528" s="267"/>
      <c r="Q528" s="268"/>
      <c r="R528" s="252">
        <v>222</v>
      </c>
      <c r="S528" s="253">
        <v>1032492</v>
      </c>
      <c r="T528" s="267">
        <v>223</v>
      </c>
      <c r="U528" s="268">
        <v>1094388</v>
      </c>
      <c r="V528" s="252"/>
      <c r="W528" s="253"/>
      <c r="X528" s="267"/>
      <c r="Y528" s="268"/>
      <c r="Z528" s="252">
        <v>216</v>
      </c>
      <c r="AA528" s="253">
        <v>5754</v>
      </c>
      <c r="AB528" s="267">
        <v>218</v>
      </c>
      <c r="AC528" s="268">
        <v>5886</v>
      </c>
      <c r="AD528" s="252"/>
      <c r="AE528" s="253"/>
      <c r="AF528" s="267"/>
      <c r="AG528" s="268"/>
      <c r="AH528" s="252">
        <v>0</v>
      </c>
      <c r="AI528" s="253">
        <v>0</v>
      </c>
      <c r="AJ528" s="267">
        <v>0</v>
      </c>
      <c r="AK528" s="268">
        <v>0</v>
      </c>
      <c r="AL528" s="252"/>
      <c r="AM528" s="253"/>
      <c r="AN528" s="267"/>
      <c r="AO528" s="268"/>
      <c r="AP528" s="255">
        <f t="shared" si="80"/>
        <v>222</v>
      </c>
      <c r="AQ528" s="256">
        <f t="shared" si="81"/>
        <v>3257209</v>
      </c>
      <c r="AR528" s="257">
        <f t="shared" si="82"/>
        <v>223</v>
      </c>
      <c r="AS528" s="258">
        <f t="shared" si="83"/>
        <v>3577751</v>
      </c>
      <c r="AT528" s="259"/>
      <c r="AU528" s="253"/>
      <c r="AV528" s="267">
        <v>0</v>
      </c>
      <c r="AW528" s="268">
        <v>0</v>
      </c>
      <c r="AX528" s="252"/>
      <c r="AY528" s="253"/>
      <c r="AZ528" s="267"/>
      <c r="BA528" s="268"/>
      <c r="BB528" s="252"/>
      <c r="BC528" s="253"/>
      <c r="BD528" s="267"/>
      <c r="BE528" s="268"/>
      <c r="BF528" s="252"/>
      <c r="BG528" s="253"/>
      <c r="BH528" s="267"/>
      <c r="BI528" s="268"/>
      <c r="BJ528" s="252"/>
      <c r="BK528" s="253"/>
      <c r="BL528" s="267"/>
      <c r="BM528" s="268"/>
      <c r="BN528" s="252"/>
      <c r="BO528" s="253"/>
      <c r="BP528" s="267">
        <v>0</v>
      </c>
      <c r="BQ528" s="268">
        <v>0</v>
      </c>
      <c r="BR528" s="252"/>
      <c r="BS528" s="253"/>
      <c r="BT528" s="267"/>
      <c r="BU528" s="268"/>
      <c r="BV528" s="252"/>
      <c r="BW528" s="253"/>
      <c r="BX528" s="267">
        <v>0</v>
      </c>
      <c r="BY528" s="268">
        <v>0</v>
      </c>
      <c r="BZ528" s="252"/>
      <c r="CA528" s="253"/>
      <c r="CB528" s="267"/>
      <c r="CC528" s="268"/>
      <c r="CD528" s="255">
        <f t="shared" si="84"/>
        <v>0</v>
      </c>
      <c r="CE528" s="256">
        <f t="shared" si="85"/>
        <v>0</v>
      </c>
      <c r="CF528" s="257">
        <f t="shared" si="86"/>
        <v>0</v>
      </c>
      <c r="CG528" s="261">
        <f t="shared" si="87"/>
        <v>0</v>
      </c>
    </row>
    <row r="529" spans="1:85" s="263" customFormat="1" ht="12.75" customHeight="1">
      <c r="A529" s="444" t="s">
        <v>346</v>
      </c>
      <c r="B529" s="411" t="s">
        <v>357</v>
      </c>
      <c r="C529" s="411"/>
      <c r="D529" s="412">
        <v>227526</v>
      </c>
      <c r="E529" s="290">
        <v>3</v>
      </c>
      <c r="F529" s="252">
        <v>288</v>
      </c>
      <c r="G529" s="253">
        <v>1172722</v>
      </c>
      <c r="H529" s="267">
        <v>279</v>
      </c>
      <c r="I529" s="268">
        <v>1202853</v>
      </c>
      <c r="J529" s="252"/>
      <c r="K529" s="253"/>
      <c r="L529" s="267"/>
      <c r="M529" s="268"/>
      <c r="N529" s="252"/>
      <c r="O529" s="253"/>
      <c r="P529" s="267"/>
      <c r="Q529" s="268"/>
      <c r="R529" s="252">
        <v>286</v>
      </c>
      <c r="S529" s="253">
        <v>1237116</v>
      </c>
      <c r="T529" s="267">
        <v>290</v>
      </c>
      <c r="U529" s="268">
        <v>1365148</v>
      </c>
      <c r="V529" s="252">
        <v>286</v>
      </c>
      <c r="W529" s="253">
        <v>16171</v>
      </c>
      <c r="X529" s="267">
        <v>290</v>
      </c>
      <c r="Y529" s="268">
        <v>17845</v>
      </c>
      <c r="Z529" s="252">
        <v>264</v>
      </c>
      <c r="AA529" s="253">
        <v>1243176</v>
      </c>
      <c r="AB529" s="267">
        <v>278</v>
      </c>
      <c r="AC529" s="268">
        <v>1245407</v>
      </c>
      <c r="AD529" s="252">
        <v>286</v>
      </c>
      <c r="AE529" s="253">
        <v>40429</v>
      </c>
      <c r="AF529" s="267">
        <v>290</v>
      </c>
      <c r="AG529" s="268">
        <v>44613</v>
      </c>
      <c r="AH529" s="252">
        <v>0</v>
      </c>
      <c r="AI529" s="253">
        <v>0</v>
      </c>
      <c r="AJ529" s="267">
        <v>0</v>
      </c>
      <c r="AK529" s="268">
        <v>0</v>
      </c>
      <c r="AL529" s="252"/>
      <c r="AM529" s="253"/>
      <c r="AN529" s="267"/>
      <c r="AO529" s="268"/>
      <c r="AP529" s="255">
        <f t="shared" si="80"/>
        <v>288</v>
      </c>
      <c r="AQ529" s="256">
        <f t="shared" si="81"/>
        <v>3709614</v>
      </c>
      <c r="AR529" s="257">
        <f t="shared" si="82"/>
        <v>290</v>
      </c>
      <c r="AS529" s="258">
        <f t="shared" si="83"/>
        <v>3875866</v>
      </c>
      <c r="AT529" s="259">
        <v>49</v>
      </c>
      <c r="AU529" s="253">
        <v>325931</v>
      </c>
      <c r="AV529" s="267">
        <v>56</v>
      </c>
      <c r="AW529" s="268">
        <v>389550</v>
      </c>
      <c r="AX529" s="252"/>
      <c r="AY529" s="253"/>
      <c r="AZ529" s="267"/>
      <c r="BA529" s="268"/>
      <c r="BB529" s="252"/>
      <c r="BC529" s="253"/>
      <c r="BD529" s="267"/>
      <c r="BE529" s="268"/>
      <c r="BF529" s="252">
        <v>49</v>
      </c>
      <c r="BG529" s="253">
        <v>418599</v>
      </c>
      <c r="BH529" s="267">
        <v>57</v>
      </c>
      <c r="BI529" s="268">
        <v>417900</v>
      </c>
      <c r="BJ529" s="252">
        <v>49</v>
      </c>
      <c r="BK529" s="253">
        <v>5472</v>
      </c>
      <c r="BL529" s="267">
        <v>57</v>
      </c>
      <c r="BM529" s="268">
        <v>5463</v>
      </c>
      <c r="BN529" s="252">
        <v>44</v>
      </c>
      <c r="BO529" s="253">
        <v>283271</v>
      </c>
      <c r="BP529" s="267">
        <v>54</v>
      </c>
      <c r="BQ529" s="268">
        <v>338583</v>
      </c>
      <c r="BR529" s="252">
        <v>49</v>
      </c>
      <c r="BS529" s="253">
        <v>13680</v>
      </c>
      <c r="BT529" s="267">
        <v>57</v>
      </c>
      <c r="BU529" s="268">
        <v>13657</v>
      </c>
      <c r="BV529" s="252">
        <v>0</v>
      </c>
      <c r="BW529" s="253">
        <v>0</v>
      </c>
      <c r="BX529" s="267">
        <v>0</v>
      </c>
      <c r="BY529" s="268">
        <v>0</v>
      </c>
      <c r="BZ529" s="252"/>
      <c r="CA529" s="253"/>
      <c r="CB529" s="267"/>
      <c r="CC529" s="268"/>
      <c r="CD529" s="255">
        <f t="shared" si="84"/>
        <v>49</v>
      </c>
      <c r="CE529" s="256">
        <f t="shared" si="85"/>
        <v>1046953</v>
      </c>
      <c r="CF529" s="257">
        <f t="shared" si="86"/>
        <v>57</v>
      </c>
      <c r="CG529" s="261">
        <f t="shared" si="87"/>
        <v>1165153</v>
      </c>
    </row>
    <row r="530" spans="1:85" s="263" customFormat="1" ht="12.75" customHeight="1">
      <c r="A530" s="444" t="s">
        <v>346</v>
      </c>
      <c r="B530" s="411" t="s">
        <v>358</v>
      </c>
      <c r="C530" s="411"/>
      <c r="D530" s="412">
        <v>227881</v>
      </c>
      <c r="E530" s="290">
        <v>3</v>
      </c>
      <c r="F530" s="252">
        <v>488</v>
      </c>
      <c r="G530" s="253">
        <v>2296531</v>
      </c>
      <c r="H530" s="267">
        <v>519</v>
      </c>
      <c r="I530" s="268">
        <v>2031132</v>
      </c>
      <c r="J530" s="252">
        <v>479</v>
      </c>
      <c r="K530" s="253">
        <v>2707764</v>
      </c>
      <c r="L530" s="267">
        <v>509</v>
      </c>
      <c r="M530" s="268">
        <v>2646763</v>
      </c>
      <c r="N530" s="252"/>
      <c r="O530" s="253"/>
      <c r="P530" s="267"/>
      <c r="Q530" s="268"/>
      <c r="R530" s="252">
        <v>486</v>
      </c>
      <c r="S530" s="253">
        <v>2171806</v>
      </c>
      <c r="T530" s="267">
        <v>519</v>
      </c>
      <c r="U530" s="268">
        <v>1906869</v>
      </c>
      <c r="V530" s="252"/>
      <c r="W530" s="253"/>
      <c r="X530" s="267"/>
      <c r="Y530" s="268"/>
      <c r="Z530" s="252">
        <v>263</v>
      </c>
      <c r="AA530" s="253">
        <v>12384</v>
      </c>
      <c r="AB530" s="267">
        <v>286</v>
      </c>
      <c r="AC530" s="268">
        <v>13490</v>
      </c>
      <c r="AD530" s="252"/>
      <c r="AE530" s="253"/>
      <c r="AF530" s="267"/>
      <c r="AG530" s="268"/>
      <c r="AH530" s="252">
        <v>0</v>
      </c>
      <c r="AI530" s="253">
        <v>0</v>
      </c>
      <c r="AJ530" s="267">
        <v>0</v>
      </c>
      <c r="AK530" s="268">
        <v>0</v>
      </c>
      <c r="AL530" s="252"/>
      <c r="AM530" s="253"/>
      <c r="AN530" s="267"/>
      <c r="AO530" s="268"/>
      <c r="AP530" s="255">
        <f t="shared" si="80"/>
        <v>488</v>
      </c>
      <c r="AQ530" s="256">
        <f t="shared" si="81"/>
        <v>7188485</v>
      </c>
      <c r="AR530" s="257">
        <f t="shared" si="82"/>
        <v>519</v>
      </c>
      <c r="AS530" s="258">
        <f t="shared" si="83"/>
        <v>6598254</v>
      </c>
      <c r="AT530" s="259"/>
      <c r="AU530" s="253"/>
      <c r="AV530" s="267">
        <v>0</v>
      </c>
      <c r="AW530" s="268">
        <v>0</v>
      </c>
      <c r="AX530" s="252"/>
      <c r="AY530" s="253"/>
      <c r="AZ530" s="267"/>
      <c r="BA530" s="268"/>
      <c r="BB530" s="252"/>
      <c r="BC530" s="253"/>
      <c r="BD530" s="267"/>
      <c r="BE530" s="268"/>
      <c r="BF530" s="252"/>
      <c r="BG530" s="253"/>
      <c r="BH530" s="267"/>
      <c r="BI530" s="268"/>
      <c r="BJ530" s="252"/>
      <c r="BK530" s="253"/>
      <c r="BL530" s="267"/>
      <c r="BM530" s="268"/>
      <c r="BN530" s="252"/>
      <c r="BO530" s="253"/>
      <c r="BP530" s="267">
        <v>0</v>
      </c>
      <c r="BQ530" s="268">
        <v>0</v>
      </c>
      <c r="BR530" s="252"/>
      <c r="BS530" s="253"/>
      <c r="BT530" s="267"/>
      <c r="BU530" s="268"/>
      <c r="BV530" s="252"/>
      <c r="BW530" s="253"/>
      <c r="BX530" s="267">
        <v>0</v>
      </c>
      <c r="BY530" s="268">
        <v>0</v>
      </c>
      <c r="BZ530" s="252"/>
      <c r="CA530" s="253"/>
      <c r="CB530" s="267"/>
      <c r="CC530" s="268"/>
      <c r="CD530" s="255">
        <f t="shared" si="84"/>
        <v>0</v>
      </c>
      <c r="CE530" s="256">
        <f t="shared" si="85"/>
        <v>0</v>
      </c>
      <c r="CF530" s="257">
        <f t="shared" si="86"/>
        <v>0</v>
      </c>
      <c r="CG530" s="261">
        <f t="shared" si="87"/>
        <v>0</v>
      </c>
    </row>
    <row r="531" spans="1:85" s="263" customFormat="1" ht="12.75" customHeight="1">
      <c r="A531" s="444" t="s">
        <v>346</v>
      </c>
      <c r="B531" s="411" t="s">
        <v>359</v>
      </c>
      <c r="C531" s="411"/>
      <c r="D531" s="412">
        <v>228431</v>
      </c>
      <c r="E531" s="290">
        <v>3</v>
      </c>
      <c r="F531" s="252">
        <v>335</v>
      </c>
      <c r="G531" s="253">
        <v>1560461</v>
      </c>
      <c r="H531" s="267">
        <v>434</v>
      </c>
      <c r="I531" s="268">
        <v>1569170</v>
      </c>
      <c r="J531" s="252">
        <v>353</v>
      </c>
      <c r="K531" s="253">
        <v>1994731</v>
      </c>
      <c r="L531" s="267">
        <v>356</v>
      </c>
      <c r="M531" s="268">
        <v>2111957</v>
      </c>
      <c r="N531" s="252"/>
      <c r="O531" s="253"/>
      <c r="P531" s="267"/>
      <c r="Q531" s="268"/>
      <c r="R531" s="252"/>
      <c r="S531" s="253"/>
      <c r="T531" s="267"/>
      <c r="U531" s="268"/>
      <c r="V531" s="252"/>
      <c r="W531" s="253"/>
      <c r="X531" s="267"/>
      <c r="Y531" s="268"/>
      <c r="Z531" s="252">
        <v>0</v>
      </c>
      <c r="AA531" s="253">
        <v>0</v>
      </c>
      <c r="AB531" s="267">
        <v>0</v>
      </c>
      <c r="AC531" s="268">
        <v>0</v>
      </c>
      <c r="AD531" s="252"/>
      <c r="AE531" s="253"/>
      <c r="AF531" s="267"/>
      <c r="AG531" s="268"/>
      <c r="AH531" s="252">
        <v>0</v>
      </c>
      <c r="AI531" s="253">
        <v>0</v>
      </c>
      <c r="AJ531" s="267">
        <v>0</v>
      </c>
      <c r="AK531" s="268">
        <v>0</v>
      </c>
      <c r="AL531" s="252"/>
      <c r="AM531" s="253"/>
      <c r="AN531" s="267"/>
      <c r="AO531" s="268"/>
      <c r="AP531" s="255">
        <f t="shared" si="80"/>
        <v>353</v>
      </c>
      <c r="AQ531" s="256">
        <f t="shared" si="81"/>
        <v>3555192</v>
      </c>
      <c r="AR531" s="257">
        <f t="shared" si="82"/>
        <v>434</v>
      </c>
      <c r="AS531" s="258">
        <f t="shared" si="83"/>
        <v>3681127</v>
      </c>
      <c r="AT531" s="259">
        <v>76</v>
      </c>
      <c r="AU531" s="253">
        <v>356385</v>
      </c>
      <c r="AV531" s="267">
        <v>109</v>
      </c>
      <c r="AW531" s="268">
        <v>394981</v>
      </c>
      <c r="AX531" s="252">
        <v>76</v>
      </c>
      <c r="AY531" s="253">
        <v>431800</v>
      </c>
      <c r="AZ531" s="267">
        <v>84</v>
      </c>
      <c r="BA531" s="268">
        <v>497686</v>
      </c>
      <c r="BB531" s="252"/>
      <c r="BC531" s="253"/>
      <c r="BD531" s="267"/>
      <c r="BE531" s="268"/>
      <c r="BF531" s="252"/>
      <c r="BG531" s="253"/>
      <c r="BH531" s="267"/>
      <c r="BI531" s="268"/>
      <c r="BJ531" s="252"/>
      <c r="BK531" s="253"/>
      <c r="BL531" s="267"/>
      <c r="BM531" s="268"/>
      <c r="BN531" s="252">
        <v>0</v>
      </c>
      <c r="BO531" s="253">
        <v>0</v>
      </c>
      <c r="BP531" s="267">
        <v>0</v>
      </c>
      <c r="BQ531" s="268">
        <v>0</v>
      </c>
      <c r="BR531" s="252"/>
      <c r="BS531" s="253"/>
      <c r="BT531" s="267"/>
      <c r="BU531" s="268"/>
      <c r="BV531" s="252">
        <v>0</v>
      </c>
      <c r="BW531" s="253">
        <v>0</v>
      </c>
      <c r="BX531" s="267">
        <v>0</v>
      </c>
      <c r="BY531" s="268">
        <v>0</v>
      </c>
      <c r="BZ531" s="252"/>
      <c r="CA531" s="253"/>
      <c r="CB531" s="267"/>
      <c r="CC531" s="268"/>
      <c r="CD531" s="255">
        <f t="shared" si="84"/>
        <v>76</v>
      </c>
      <c r="CE531" s="256">
        <f t="shared" si="85"/>
        <v>788185</v>
      </c>
      <c r="CF531" s="257">
        <f t="shared" si="86"/>
        <v>109</v>
      </c>
      <c r="CG531" s="261">
        <f t="shared" si="87"/>
        <v>892667</v>
      </c>
    </row>
    <row r="532" spans="1:85" s="263" customFormat="1" ht="12.75" customHeight="1">
      <c r="A532" s="444" t="s">
        <v>346</v>
      </c>
      <c r="B532" s="411" t="s">
        <v>360</v>
      </c>
      <c r="C532" s="411"/>
      <c r="D532" s="412">
        <v>228501</v>
      </c>
      <c r="E532" s="290">
        <v>3</v>
      </c>
      <c r="F532" s="252">
        <v>115</v>
      </c>
      <c r="G532" s="253">
        <v>452627</v>
      </c>
      <c r="H532" s="267">
        <v>115</v>
      </c>
      <c r="I532" s="268">
        <v>458816</v>
      </c>
      <c r="J532" s="252">
        <v>116</v>
      </c>
      <c r="K532" s="253">
        <v>722840</v>
      </c>
      <c r="L532" s="267">
        <v>115</v>
      </c>
      <c r="M532" s="268">
        <v>771461</v>
      </c>
      <c r="N532" s="252"/>
      <c r="O532" s="253"/>
      <c r="P532" s="267"/>
      <c r="Q532" s="268"/>
      <c r="R532" s="252">
        <v>118</v>
      </c>
      <c r="S532" s="253">
        <v>497020</v>
      </c>
      <c r="T532" s="267">
        <v>118</v>
      </c>
      <c r="U532" s="268">
        <v>497902</v>
      </c>
      <c r="V532" s="252">
        <v>118</v>
      </c>
      <c r="W532" s="253">
        <v>51212</v>
      </c>
      <c r="X532" s="267">
        <v>118</v>
      </c>
      <c r="Y532" s="268">
        <v>51212</v>
      </c>
      <c r="Z532" s="252">
        <v>118</v>
      </c>
      <c r="AA532" s="253">
        <v>3144</v>
      </c>
      <c r="AB532" s="267">
        <v>115</v>
      </c>
      <c r="AC532" s="268">
        <v>3064</v>
      </c>
      <c r="AD532" s="252">
        <v>118</v>
      </c>
      <c r="AE532" s="253">
        <v>81214</v>
      </c>
      <c r="AF532" s="267">
        <v>118</v>
      </c>
      <c r="AG532" s="268">
        <v>81988</v>
      </c>
      <c r="AH532" s="252">
        <v>0</v>
      </c>
      <c r="AI532" s="253">
        <v>0</v>
      </c>
      <c r="AJ532" s="267">
        <v>0</v>
      </c>
      <c r="AK532" s="268">
        <v>0</v>
      </c>
      <c r="AL532" s="252"/>
      <c r="AM532" s="253"/>
      <c r="AN532" s="267"/>
      <c r="AO532" s="268"/>
      <c r="AP532" s="255">
        <f t="shared" si="80"/>
        <v>118</v>
      </c>
      <c r="AQ532" s="256">
        <f t="shared" si="81"/>
        <v>1808057</v>
      </c>
      <c r="AR532" s="257">
        <f t="shared" si="82"/>
        <v>118</v>
      </c>
      <c r="AS532" s="258">
        <f t="shared" si="83"/>
        <v>1864443</v>
      </c>
      <c r="AT532" s="259">
        <v>10</v>
      </c>
      <c r="AU532" s="253">
        <v>60514</v>
      </c>
      <c r="AV532" s="267">
        <v>8</v>
      </c>
      <c r="AW532" s="268">
        <v>50511</v>
      </c>
      <c r="AX532" s="252">
        <v>10</v>
      </c>
      <c r="AY532" s="253">
        <v>60096</v>
      </c>
      <c r="AZ532" s="267">
        <v>9</v>
      </c>
      <c r="BA532" s="268">
        <v>62371</v>
      </c>
      <c r="BB532" s="252"/>
      <c r="BC532" s="253"/>
      <c r="BD532" s="267"/>
      <c r="BE532" s="268"/>
      <c r="BF532" s="252">
        <v>10</v>
      </c>
      <c r="BG532" s="253">
        <v>61903</v>
      </c>
      <c r="BH532" s="267">
        <v>9</v>
      </c>
      <c r="BI532" s="268">
        <v>55610</v>
      </c>
      <c r="BJ532" s="252">
        <v>10</v>
      </c>
      <c r="BK532" s="253">
        <v>4340</v>
      </c>
      <c r="BL532" s="267">
        <v>9</v>
      </c>
      <c r="BM532" s="268">
        <v>3906</v>
      </c>
      <c r="BN532" s="252">
        <v>10</v>
      </c>
      <c r="BO532" s="253">
        <v>267</v>
      </c>
      <c r="BP532" s="267">
        <v>9</v>
      </c>
      <c r="BQ532" s="268">
        <v>240</v>
      </c>
      <c r="BR532" s="252">
        <v>10</v>
      </c>
      <c r="BS532" s="253">
        <v>10115</v>
      </c>
      <c r="BT532" s="267">
        <v>9</v>
      </c>
      <c r="BU532" s="268">
        <v>9153</v>
      </c>
      <c r="BV532" s="252">
        <v>0</v>
      </c>
      <c r="BW532" s="253">
        <v>0</v>
      </c>
      <c r="BX532" s="267">
        <v>0</v>
      </c>
      <c r="BY532" s="268">
        <v>0</v>
      </c>
      <c r="BZ532" s="252"/>
      <c r="CA532" s="253"/>
      <c r="CB532" s="267"/>
      <c r="CC532" s="268"/>
      <c r="CD532" s="255">
        <f t="shared" si="84"/>
        <v>10</v>
      </c>
      <c r="CE532" s="256">
        <f t="shared" si="85"/>
        <v>197235</v>
      </c>
      <c r="CF532" s="257">
        <f t="shared" si="86"/>
        <v>9</v>
      </c>
      <c r="CG532" s="261">
        <f t="shared" si="87"/>
        <v>181791</v>
      </c>
    </row>
    <row r="533" spans="1:85" s="263" customFormat="1" ht="12.75" customHeight="1">
      <c r="A533" s="444" t="s">
        <v>346</v>
      </c>
      <c r="B533" s="411" t="s">
        <v>1045</v>
      </c>
      <c r="C533" s="411"/>
      <c r="D533" s="412">
        <v>228529</v>
      </c>
      <c r="E533" s="290">
        <v>3</v>
      </c>
      <c r="F533" s="252">
        <v>280</v>
      </c>
      <c r="G533" s="253">
        <v>1129800</v>
      </c>
      <c r="H533" s="267">
        <v>282</v>
      </c>
      <c r="I533" s="268">
        <v>1161033</v>
      </c>
      <c r="J533" s="252">
        <v>280</v>
      </c>
      <c r="K533" s="253">
        <v>1025360</v>
      </c>
      <c r="L533" s="267">
        <v>282</v>
      </c>
      <c r="M533" s="268">
        <v>1568202</v>
      </c>
      <c r="N533" s="252"/>
      <c r="O533" s="253"/>
      <c r="P533" s="267"/>
      <c r="Q533" s="268"/>
      <c r="R533" s="252">
        <v>280</v>
      </c>
      <c r="S533" s="253">
        <v>1215760</v>
      </c>
      <c r="T533" s="267">
        <v>282</v>
      </c>
      <c r="U533" s="268">
        <v>1311043</v>
      </c>
      <c r="V533" s="252">
        <v>280</v>
      </c>
      <c r="W533" s="253">
        <v>15960</v>
      </c>
      <c r="X533" s="267">
        <v>282</v>
      </c>
      <c r="Y533" s="268">
        <v>16390</v>
      </c>
      <c r="Z533" s="252">
        <v>0</v>
      </c>
      <c r="AA533" s="253">
        <v>0</v>
      </c>
      <c r="AB533" s="267">
        <v>0</v>
      </c>
      <c r="AC533" s="268">
        <v>0</v>
      </c>
      <c r="AD533" s="252">
        <v>280</v>
      </c>
      <c r="AE533" s="253">
        <v>24640</v>
      </c>
      <c r="AF533" s="267">
        <v>282</v>
      </c>
      <c r="AG533" s="268">
        <v>16390</v>
      </c>
      <c r="AH533" s="252">
        <v>0</v>
      </c>
      <c r="AI533" s="253">
        <v>0</v>
      </c>
      <c r="AJ533" s="267">
        <v>0</v>
      </c>
      <c r="AK533" s="268">
        <v>0</v>
      </c>
      <c r="AL533" s="252"/>
      <c r="AM533" s="253"/>
      <c r="AN533" s="267"/>
      <c r="AO533" s="268"/>
      <c r="AP533" s="255">
        <f t="shared" si="80"/>
        <v>280</v>
      </c>
      <c r="AQ533" s="256">
        <f t="shared" si="81"/>
        <v>3411520</v>
      </c>
      <c r="AR533" s="257">
        <f t="shared" si="82"/>
        <v>282</v>
      </c>
      <c r="AS533" s="258">
        <f t="shared" si="83"/>
        <v>4073058</v>
      </c>
      <c r="AT533" s="259">
        <v>65</v>
      </c>
      <c r="AU533" s="253">
        <v>369850</v>
      </c>
      <c r="AV533" s="267">
        <v>62</v>
      </c>
      <c r="AW533" s="268">
        <v>394248</v>
      </c>
      <c r="AX533" s="252">
        <v>65</v>
      </c>
      <c r="AY533" s="253">
        <v>238680</v>
      </c>
      <c r="AZ533" s="267">
        <v>62</v>
      </c>
      <c r="BA533" s="268">
        <v>344782</v>
      </c>
      <c r="BB533" s="252"/>
      <c r="BC533" s="253"/>
      <c r="BD533" s="267"/>
      <c r="BE533" s="268"/>
      <c r="BF533" s="252">
        <v>65</v>
      </c>
      <c r="BG533" s="253">
        <v>392210</v>
      </c>
      <c r="BH533" s="267">
        <v>62</v>
      </c>
      <c r="BI533" s="268">
        <v>409465</v>
      </c>
      <c r="BJ533" s="252">
        <v>65</v>
      </c>
      <c r="BK533" s="253">
        <v>5590</v>
      </c>
      <c r="BL533" s="267">
        <v>62</v>
      </c>
      <c r="BM533" s="268">
        <v>5536</v>
      </c>
      <c r="BN533" s="252">
        <v>0</v>
      </c>
      <c r="BO533" s="253">
        <v>0</v>
      </c>
      <c r="BP533" s="267">
        <v>0</v>
      </c>
      <c r="BQ533" s="268">
        <v>0</v>
      </c>
      <c r="BR533" s="252">
        <v>65</v>
      </c>
      <c r="BS533" s="253">
        <v>8385</v>
      </c>
      <c r="BT533" s="267">
        <v>62</v>
      </c>
      <c r="BU533" s="268">
        <v>5542</v>
      </c>
      <c r="BV533" s="252">
        <v>0</v>
      </c>
      <c r="BW533" s="253">
        <v>0</v>
      </c>
      <c r="BX533" s="267">
        <v>0</v>
      </c>
      <c r="BY533" s="268">
        <v>0</v>
      </c>
      <c r="BZ533" s="252"/>
      <c r="CA533" s="253"/>
      <c r="CB533" s="267"/>
      <c r="CC533" s="268"/>
      <c r="CD533" s="255">
        <f t="shared" si="84"/>
        <v>65</v>
      </c>
      <c r="CE533" s="256">
        <f t="shared" si="85"/>
        <v>1014715</v>
      </c>
      <c r="CF533" s="257">
        <f t="shared" si="86"/>
        <v>62</v>
      </c>
      <c r="CG533" s="261">
        <f t="shared" si="87"/>
        <v>1159573</v>
      </c>
    </row>
    <row r="534" spans="1:85" s="263" customFormat="1" ht="12.75" customHeight="1">
      <c r="A534" s="444" t="s">
        <v>346</v>
      </c>
      <c r="B534" s="411" t="s">
        <v>370</v>
      </c>
      <c r="C534" s="411"/>
      <c r="D534" s="412">
        <v>226152</v>
      </c>
      <c r="E534" s="290">
        <v>3</v>
      </c>
      <c r="F534" s="252">
        <v>53</v>
      </c>
      <c r="G534" s="253">
        <v>244637</v>
      </c>
      <c r="H534" s="267">
        <v>162</v>
      </c>
      <c r="I534" s="268">
        <v>670219</v>
      </c>
      <c r="J534" s="252">
        <v>53</v>
      </c>
      <c r="K534" s="253">
        <v>279999</v>
      </c>
      <c r="L534" s="267">
        <v>174</v>
      </c>
      <c r="M534" s="268">
        <v>943008</v>
      </c>
      <c r="N534" s="252"/>
      <c r="O534" s="253"/>
      <c r="P534" s="267"/>
      <c r="Q534" s="268"/>
      <c r="R534" s="252">
        <v>53</v>
      </c>
      <c r="S534" s="253">
        <v>268909</v>
      </c>
      <c r="T534" s="267">
        <v>174</v>
      </c>
      <c r="U534" s="268">
        <v>827573</v>
      </c>
      <c r="V534" s="252">
        <v>53</v>
      </c>
      <c r="W534" s="253">
        <v>3538</v>
      </c>
      <c r="X534" s="267">
        <v>174</v>
      </c>
      <c r="Y534" s="268">
        <v>10888</v>
      </c>
      <c r="Z534" s="252">
        <v>0</v>
      </c>
      <c r="AA534" s="253">
        <v>0</v>
      </c>
      <c r="AB534" s="267">
        <v>0</v>
      </c>
      <c r="AC534" s="268">
        <v>0</v>
      </c>
      <c r="AD534" s="252">
        <v>53</v>
      </c>
      <c r="AE534" s="253">
        <v>1782</v>
      </c>
      <c r="AF534" s="267">
        <v>174</v>
      </c>
      <c r="AG534" s="268">
        <v>16316</v>
      </c>
      <c r="AH534" s="252">
        <v>0</v>
      </c>
      <c r="AI534" s="253">
        <v>0</v>
      </c>
      <c r="AJ534" s="267">
        <v>0</v>
      </c>
      <c r="AK534" s="268">
        <v>0</v>
      </c>
      <c r="AL534" s="252"/>
      <c r="AM534" s="253"/>
      <c r="AN534" s="267"/>
      <c r="AO534" s="268"/>
      <c r="AP534" s="255">
        <f t="shared" si="80"/>
        <v>53</v>
      </c>
      <c r="AQ534" s="256">
        <f t="shared" si="81"/>
        <v>798865</v>
      </c>
      <c r="AR534" s="257">
        <f t="shared" si="82"/>
        <v>174</v>
      </c>
      <c r="AS534" s="258">
        <f t="shared" si="83"/>
        <v>2468004</v>
      </c>
      <c r="AT534" s="259">
        <v>9</v>
      </c>
      <c r="AU534" s="253">
        <v>63402</v>
      </c>
      <c r="AV534" s="267">
        <v>23</v>
      </c>
      <c r="AW534" s="268">
        <v>171842</v>
      </c>
      <c r="AX534" s="252">
        <v>10</v>
      </c>
      <c r="AY534" s="253">
        <v>52830</v>
      </c>
      <c r="AZ534" s="267">
        <v>23</v>
      </c>
      <c r="BA534" s="268">
        <v>123226</v>
      </c>
      <c r="BB534" s="252"/>
      <c r="BC534" s="253"/>
      <c r="BD534" s="267"/>
      <c r="BE534" s="268"/>
      <c r="BF534" s="252">
        <v>10</v>
      </c>
      <c r="BG534" s="253">
        <v>74824</v>
      </c>
      <c r="BH534" s="267">
        <v>23</v>
      </c>
      <c r="BI534" s="268">
        <v>172971</v>
      </c>
      <c r="BJ534" s="252">
        <v>10</v>
      </c>
      <c r="BK534" s="253">
        <v>1300</v>
      </c>
      <c r="BL534" s="267">
        <v>23</v>
      </c>
      <c r="BM534" s="268">
        <v>2458</v>
      </c>
      <c r="BN534" s="252">
        <v>0</v>
      </c>
      <c r="BO534" s="253">
        <v>0</v>
      </c>
      <c r="BP534" s="267">
        <v>0</v>
      </c>
      <c r="BQ534" s="268">
        <v>0</v>
      </c>
      <c r="BR534" s="252">
        <v>10</v>
      </c>
      <c r="BS534" s="253">
        <v>660</v>
      </c>
      <c r="BT534" s="267">
        <v>23</v>
      </c>
      <c r="BU534" s="268">
        <v>3686</v>
      </c>
      <c r="BV534" s="252">
        <v>0</v>
      </c>
      <c r="BW534" s="253">
        <v>0</v>
      </c>
      <c r="BX534" s="267">
        <v>0</v>
      </c>
      <c r="BY534" s="268">
        <v>0</v>
      </c>
      <c r="BZ534" s="252"/>
      <c r="CA534" s="253"/>
      <c r="CB534" s="267"/>
      <c r="CC534" s="268"/>
      <c r="CD534" s="255">
        <f t="shared" si="84"/>
        <v>10</v>
      </c>
      <c r="CE534" s="256">
        <f t="shared" si="85"/>
        <v>193016</v>
      </c>
      <c r="CF534" s="257">
        <f t="shared" si="86"/>
        <v>23</v>
      </c>
      <c r="CG534" s="261">
        <f t="shared" si="87"/>
        <v>474183</v>
      </c>
    </row>
    <row r="535" spans="1:85" s="263" customFormat="1" ht="12.75" customHeight="1">
      <c r="A535" s="444" t="s">
        <v>346</v>
      </c>
      <c r="B535" s="411" t="s">
        <v>1046</v>
      </c>
      <c r="C535" s="411"/>
      <c r="D535" s="412">
        <v>224554</v>
      </c>
      <c r="E535" s="290">
        <v>3</v>
      </c>
      <c r="F535" s="252">
        <v>252</v>
      </c>
      <c r="G535" s="253">
        <v>985103</v>
      </c>
      <c r="H535" s="267">
        <v>252</v>
      </c>
      <c r="I535" s="268">
        <v>852563</v>
      </c>
      <c r="J535" s="252">
        <v>252</v>
      </c>
      <c r="K535" s="253">
        <v>886737</v>
      </c>
      <c r="L535" s="267">
        <v>252</v>
      </c>
      <c r="M535" s="268">
        <v>900396</v>
      </c>
      <c r="N535" s="252"/>
      <c r="O535" s="253"/>
      <c r="P535" s="267"/>
      <c r="Q535" s="268"/>
      <c r="R535" s="252">
        <v>252</v>
      </c>
      <c r="S535" s="253">
        <v>1187019</v>
      </c>
      <c r="T535" s="267">
        <v>252</v>
      </c>
      <c r="U535" s="268">
        <v>1163684</v>
      </c>
      <c r="V535" s="252">
        <v>252</v>
      </c>
      <c r="W535" s="253">
        <v>76457</v>
      </c>
      <c r="X535" s="267">
        <v>252</v>
      </c>
      <c r="Y535" s="268">
        <v>76457</v>
      </c>
      <c r="Z535" s="252">
        <v>252</v>
      </c>
      <c r="AA535" s="253">
        <v>9057</v>
      </c>
      <c r="AB535" s="267">
        <v>252</v>
      </c>
      <c r="AC535" s="268">
        <v>9072</v>
      </c>
      <c r="AD535" s="252">
        <v>252</v>
      </c>
      <c r="AE535" s="253">
        <v>76457</v>
      </c>
      <c r="AF535" s="267">
        <v>252</v>
      </c>
      <c r="AG535" s="268">
        <v>76457</v>
      </c>
      <c r="AH535" s="252">
        <v>0</v>
      </c>
      <c r="AI535" s="253">
        <v>0</v>
      </c>
      <c r="AJ535" s="267">
        <v>0</v>
      </c>
      <c r="AK535" s="268">
        <v>0</v>
      </c>
      <c r="AL535" s="252"/>
      <c r="AM535" s="253"/>
      <c r="AN535" s="267"/>
      <c r="AO535" s="268"/>
      <c r="AP535" s="255">
        <f t="shared" si="80"/>
        <v>252</v>
      </c>
      <c r="AQ535" s="256">
        <f t="shared" si="81"/>
        <v>3220830</v>
      </c>
      <c r="AR535" s="257">
        <f t="shared" si="82"/>
        <v>252</v>
      </c>
      <c r="AS535" s="258">
        <f t="shared" si="83"/>
        <v>3078629</v>
      </c>
      <c r="AT535" s="259">
        <v>15</v>
      </c>
      <c r="AU535" s="253">
        <v>49258</v>
      </c>
      <c r="AV535" s="267">
        <v>16</v>
      </c>
      <c r="AW535" s="268">
        <v>56180</v>
      </c>
      <c r="AX535" s="252">
        <v>15</v>
      </c>
      <c r="AY535" s="253">
        <v>63158</v>
      </c>
      <c r="AZ535" s="267">
        <v>16</v>
      </c>
      <c r="BA535" s="268">
        <v>81840</v>
      </c>
      <c r="BB535" s="252"/>
      <c r="BC535" s="253"/>
      <c r="BD535" s="267"/>
      <c r="BE535" s="268"/>
      <c r="BF535" s="252">
        <v>15</v>
      </c>
      <c r="BG535" s="253">
        <v>59056</v>
      </c>
      <c r="BH535" s="267">
        <v>16</v>
      </c>
      <c r="BI535" s="268">
        <v>66857</v>
      </c>
      <c r="BJ535" s="252">
        <v>15</v>
      </c>
      <c r="BK535" s="253">
        <v>1930</v>
      </c>
      <c r="BL535" s="267">
        <v>16</v>
      </c>
      <c r="BM535" s="268">
        <v>2457</v>
      </c>
      <c r="BN535" s="252">
        <v>15</v>
      </c>
      <c r="BO535" s="253">
        <v>484</v>
      </c>
      <c r="BP535" s="267">
        <v>16</v>
      </c>
      <c r="BQ535" s="268">
        <v>576</v>
      </c>
      <c r="BR535" s="252">
        <v>15</v>
      </c>
      <c r="BS535" s="253">
        <v>3860</v>
      </c>
      <c r="BT535" s="267">
        <v>16</v>
      </c>
      <c r="BU535" s="268">
        <v>4457</v>
      </c>
      <c r="BV535" s="252">
        <v>0</v>
      </c>
      <c r="BW535" s="253">
        <v>0</v>
      </c>
      <c r="BX535" s="267">
        <v>0</v>
      </c>
      <c r="BY535" s="268">
        <v>0</v>
      </c>
      <c r="BZ535" s="252"/>
      <c r="CA535" s="253"/>
      <c r="CB535" s="267"/>
      <c r="CC535" s="268"/>
      <c r="CD535" s="255">
        <f t="shared" si="84"/>
        <v>15</v>
      </c>
      <c r="CE535" s="256">
        <f t="shared" si="85"/>
        <v>177746</v>
      </c>
      <c r="CF535" s="257">
        <f t="shared" si="86"/>
        <v>16</v>
      </c>
      <c r="CG535" s="261">
        <f t="shared" si="87"/>
        <v>212367</v>
      </c>
    </row>
    <row r="536" spans="1:85" s="263" customFormat="1" ht="12.75" customHeight="1">
      <c r="A536" s="444" t="s">
        <v>346</v>
      </c>
      <c r="B536" s="411" t="s">
        <v>361</v>
      </c>
      <c r="C536" s="411"/>
      <c r="D536" s="412">
        <v>224147</v>
      </c>
      <c r="E536" s="290">
        <v>3</v>
      </c>
      <c r="F536" s="252">
        <v>235</v>
      </c>
      <c r="G536" s="253">
        <v>1129647</v>
      </c>
      <c r="H536" s="267">
        <v>327</v>
      </c>
      <c r="I536" s="268">
        <v>1492940</v>
      </c>
      <c r="J536" s="252">
        <v>249</v>
      </c>
      <c r="K536" s="253">
        <v>1218233</v>
      </c>
      <c r="L536" s="267">
        <v>243</v>
      </c>
      <c r="M536" s="268">
        <v>1329232</v>
      </c>
      <c r="N536" s="252"/>
      <c r="O536" s="253"/>
      <c r="P536" s="267"/>
      <c r="Q536" s="268"/>
      <c r="R536" s="252">
        <v>249</v>
      </c>
      <c r="S536" s="253">
        <v>1518302</v>
      </c>
      <c r="T536" s="267">
        <v>243</v>
      </c>
      <c r="U536" s="268">
        <v>1688107</v>
      </c>
      <c r="V536" s="252">
        <v>249</v>
      </c>
      <c r="W536" s="253">
        <v>19748</v>
      </c>
      <c r="X536" s="267">
        <v>243</v>
      </c>
      <c r="Y536" s="268">
        <v>22067</v>
      </c>
      <c r="Z536" s="252">
        <v>0</v>
      </c>
      <c r="AA536" s="253">
        <v>0</v>
      </c>
      <c r="AB536" s="267">
        <v>0</v>
      </c>
      <c r="AC536" s="268">
        <v>0</v>
      </c>
      <c r="AD536" s="252">
        <v>249</v>
      </c>
      <c r="AE536" s="253">
        <v>99254</v>
      </c>
      <c r="AF536" s="267">
        <v>243</v>
      </c>
      <c r="AG536" s="268">
        <v>70000</v>
      </c>
      <c r="AH536" s="252">
        <v>0</v>
      </c>
      <c r="AI536" s="253">
        <v>0</v>
      </c>
      <c r="AJ536" s="267">
        <v>0</v>
      </c>
      <c r="AK536" s="268">
        <v>0</v>
      </c>
      <c r="AL536" s="252"/>
      <c r="AM536" s="253"/>
      <c r="AN536" s="267"/>
      <c r="AO536" s="268"/>
      <c r="AP536" s="255">
        <f t="shared" si="80"/>
        <v>249</v>
      </c>
      <c r="AQ536" s="256">
        <f t="shared" si="81"/>
        <v>3985184</v>
      </c>
      <c r="AR536" s="257">
        <f t="shared" si="82"/>
        <v>327</v>
      </c>
      <c r="AS536" s="258">
        <f t="shared" si="83"/>
        <v>4602346</v>
      </c>
      <c r="AT536" s="259"/>
      <c r="AU536" s="253"/>
      <c r="AV536" s="267">
        <v>0</v>
      </c>
      <c r="AW536" s="268">
        <v>0</v>
      </c>
      <c r="AX536" s="252"/>
      <c r="AY536" s="253"/>
      <c r="AZ536" s="267"/>
      <c r="BA536" s="268"/>
      <c r="BB536" s="252"/>
      <c r="BC536" s="253"/>
      <c r="BD536" s="267"/>
      <c r="BE536" s="268"/>
      <c r="BF536" s="252"/>
      <c r="BG536" s="253"/>
      <c r="BH536" s="267"/>
      <c r="BI536" s="268"/>
      <c r="BJ536" s="252"/>
      <c r="BK536" s="253"/>
      <c r="BL536" s="267"/>
      <c r="BM536" s="268"/>
      <c r="BN536" s="252"/>
      <c r="BO536" s="253"/>
      <c r="BP536" s="267">
        <v>0</v>
      </c>
      <c r="BQ536" s="268">
        <v>0</v>
      </c>
      <c r="BR536" s="252"/>
      <c r="BS536" s="253"/>
      <c r="BT536" s="267"/>
      <c r="BU536" s="268"/>
      <c r="BV536" s="252"/>
      <c r="BW536" s="253"/>
      <c r="BX536" s="267">
        <v>0</v>
      </c>
      <c r="BY536" s="268">
        <v>0</v>
      </c>
      <c r="BZ536" s="252"/>
      <c r="CA536" s="253"/>
      <c r="CB536" s="267"/>
      <c r="CC536" s="268"/>
      <c r="CD536" s="255">
        <f t="shared" si="84"/>
        <v>0</v>
      </c>
      <c r="CE536" s="256">
        <f t="shared" si="85"/>
        <v>0</v>
      </c>
      <c r="CF536" s="257">
        <f t="shared" si="86"/>
        <v>0</v>
      </c>
      <c r="CG536" s="261">
        <f t="shared" si="87"/>
        <v>0</v>
      </c>
    </row>
    <row r="537" spans="1:85" s="263" customFormat="1" ht="12.75" customHeight="1">
      <c r="A537" s="444" t="s">
        <v>346</v>
      </c>
      <c r="B537" s="411" t="s">
        <v>362</v>
      </c>
      <c r="C537" s="411"/>
      <c r="D537" s="412">
        <v>228705</v>
      </c>
      <c r="E537" s="290">
        <v>3</v>
      </c>
      <c r="F537" s="252">
        <v>305</v>
      </c>
      <c r="G537" s="253">
        <v>1261131</v>
      </c>
      <c r="H537" s="267">
        <v>323</v>
      </c>
      <c r="I537" s="268">
        <v>1252481</v>
      </c>
      <c r="J537" s="252">
        <v>305</v>
      </c>
      <c r="K537" s="253">
        <v>1555267</v>
      </c>
      <c r="L537" s="267">
        <v>323</v>
      </c>
      <c r="M537" s="268">
        <v>166191</v>
      </c>
      <c r="N537" s="252"/>
      <c r="O537" s="253"/>
      <c r="P537" s="267"/>
      <c r="Q537" s="268"/>
      <c r="R537" s="252">
        <v>305</v>
      </c>
      <c r="S537" s="253">
        <v>1418728</v>
      </c>
      <c r="T537" s="267">
        <v>323</v>
      </c>
      <c r="U537" s="268">
        <v>1592232</v>
      </c>
      <c r="V537" s="252">
        <v>305</v>
      </c>
      <c r="W537" s="253">
        <v>18690</v>
      </c>
      <c r="X537" s="267">
        <v>323</v>
      </c>
      <c r="Y537" s="268">
        <v>20561</v>
      </c>
      <c r="Z537" s="252">
        <v>0</v>
      </c>
      <c r="AA537" s="253">
        <v>0</v>
      </c>
      <c r="AB537" s="267">
        <v>0</v>
      </c>
      <c r="AC537" s="268">
        <v>0</v>
      </c>
      <c r="AD537" s="252">
        <v>305</v>
      </c>
      <c r="AE537" s="253">
        <v>28467</v>
      </c>
      <c r="AF537" s="267">
        <v>323</v>
      </c>
      <c r="AG537" s="268">
        <v>20561</v>
      </c>
      <c r="AH537" s="252">
        <v>0</v>
      </c>
      <c r="AI537" s="253">
        <v>0</v>
      </c>
      <c r="AJ537" s="267">
        <v>0</v>
      </c>
      <c r="AK537" s="268">
        <v>0</v>
      </c>
      <c r="AL537" s="252"/>
      <c r="AM537" s="253"/>
      <c r="AN537" s="267"/>
      <c r="AO537" s="268"/>
      <c r="AP537" s="255">
        <f t="shared" ref="AP537:AP600" si="88">MAX(AL537,AH537,AD537,Z537,V537,R537,N537,J537,F537)</f>
        <v>305</v>
      </c>
      <c r="AQ537" s="256">
        <f t="shared" ref="AQ537:AQ600" si="89">SUM(AM537,AI537,AE537,AA537,W537,S537,O537,K537,G537)</f>
        <v>4282283</v>
      </c>
      <c r="AR537" s="257">
        <f t="shared" ref="AR537:AR600" si="90">MAX(AN537,AJ537,AF537,AB537,X537,T537,P537,L537,H537)</f>
        <v>323</v>
      </c>
      <c r="AS537" s="258">
        <f t="shared" ref="AS537:AS600" si="91">SUM(AO537,AK537,AG537,AC537,Y537,U537,Q537,M537,I537)</f>
        <v>3052026</v>
      </c>
      <c r="AT537" s="259">
        <v>35</v>
      </c>
      <c r="AU537" s="253">
        <v>213064</v>
      </c>
      <c r="AV537" s="267">
        <v>37</v>
      </c>
      <c r="AW537" s="268">
        <v>540053</v>
      </c>
      <c r="AX537" s="252">
        <v>35</v>
      </c>
      <c r="AY537" s="253">
        <v>188164</v>
      </c>
      <c r="AZ537" s="267">
        <v>37</v>
      </c>
      <c r="BA537" s="268">
        <v>261142</v>
      </c>
      <c r="BB537" s="252"/>
      <c r="BC537" s="253"/>
      <c r="BD537" s="267"/>
      <c r="BE537" s="268"/>
      <c r="BF537" s="252">
        <v>35</v>
      </c>
      <c r="BG537" s="253">
        <v>248876</v>
      </c>
      <c r="BH537" s="267">
        <v>37</v>
      </c>
      <c r="BI537" s="268">
        <v>246249</v>
      </c>
      <c r="BJ537" s="252">
        <v>35</v>
      </c>
      <c r="BK537" s="253">
        <v>3366</v>
      </c>
      <c r="BL537" s="267">
        <v>37</v>
      </c>
      <c r="BM537" s="268">
        <v>3301</v>
      </c>
      <c r="BN537" s="252">
        <v>0</v>
      </c>
      <c r="BO537" s="253">
        <v>0</v>
      </c>
      <c r="BP537" s="267">
        <v>0</v>
      </c>
      <c r="BQ537" s="268">
        <v>0</v>
      </c>
      <c r="BR537" s="252">
        <v>35</v>
      </c>
      <c r="BS537" s="253">
        <v>5028</v>
      </c>
      <c r="BT537" s="267">
        <v>37</v>
      </c>
      <c r="BU537" s="268">
        <v>3301</v>
      </c>
      <c r="BV537" s="252">
        <v>0</v>
      </c>
      <c r="BW537" s="253">
        <v>0</v>
      </c>
      <c r="BX537" s="267">
        <v>0</v>
      </c>
      <c r="BY537" s="268">
        <v>0</v>
      </c>
      <c r="BZ537" s="252"/>
      <c r="CA537" s="253"/>
      <c r="CB537" s="267"/>
      <c r="CC537" s="268"/>
      <c r="CD537" s="255">
        <f t="shared" ref="CD537:CD600" si="92">MAX(BZ537,BV537,BR537,BN537,BJ537,BF537,BB537,AX537,AT537)</f>
        <v>35</v>
      </c>
      <c r="CE537" s="256">
        <f t="shared" ref="CE537:CE600" si="93">SUM(CA537,BW537,BS537,BO537,BK537,BG537,BC537,AY537,AU537)</f>
        <v>658498</v>
      </c>
      <c r="CF537" s="257">
        <f t="shared" ref="CF537:CF600" si="94">MAX(CB537,BX537,BT537,BP537,BL537,BH537,BD537,AZ537,AV537)</f>
        <v>37</v>
      </c>
      <c r="CG537" s="261">
        <f t="shared" ref="CG537:CG600" si="95">SUM(CC537,BY537,BU537,BQ537,BM537,BI537,BE537,BA537,AW537)</f>
        <v>1054046</v>
      </c>
    </row>
    <row r="538" spans="1:85" s="263" customFormat="1" ht="12.75" customHeight="1">
      <c r="A538" s="444" t="s">
        <v>346</v>
      </c>
      <c r="B538" s="411" t="s">
        <v>363</v>
      </c>
      <c r="C538" s="411"/>
      <c r="D538" s="412">
        <v>229063</v>
      </c>
      <c r="E538" s="290">
        <v>3</v>
      </c>
      <c r="F538" s="252">
        <v>263</v>
      </c>
      <c r="G538" s="253">
        <v>4642342</v>
      </c>
      <c r="H538" s="267">
        <v>274</v>
      </c>
      <c r="I538" s="268">
        <v>4983924</v>
      </c>
      <c r="J538" s="252">
        <v>324</v>
      </c>
      <c r="K538" s="253">
        <v>379267</v>
      </c>
      <c r="L538" s="267">
        <v>333</v>
      </c>
      <c r="M538" s="268">
        <v>396012</v>
      </c>
      <c r="N538" s="252"/>
      <c r="O538" s="253"/>
      <c r="P538" s="267"/>
      <c r="Q538" s="268"/>
      <c r="R538" s="252">
        <v>300</v>
      </c>
      <c r="S538" s="253">
        <v>1332360</v>
      </c>
      <c r="T538" s="267">
        <v>303</v>
      </c>
      <c r="U538" s="268">
        <v>1372128</v>
      </c>
      <c r="V538" s="252"/>
      <c r="W538" s="253"/>
      <c r="X538" s="267"/>
      <c r="Y538" s="268"/>
      <c r="Z538" s="252">
        <v>0</v>
      </c>
      <c r="AA538" s="253">
        <v>0</v>
      </c>
      <c r="AB538" s="267">
        <v>0</v>
      </c>
      <c r="AC538" s="268">
        <v>0</v>
      </c>
      <c r="AD538" s="252"/>
      <c r="AE538" s="253"/>
      <c r="AF538" s="267"/>
      <c r="AG538" s="268"/>
      <c r="AH538" s="252">
        <v>0</v>
      </c>
      <c r="AI538" s="253">
        <v>0</v>
      </c>
      <c r="AJ538" s="267">
        <v>0</v>
      </c>
      <c r="AK538" s="268">
        <v>0</v>
      </c>
      <c r="AL538" s="252"/>
      <c r="AM538" s="253"/>
      <c r="AN538" s="267"/>
      <c r="AO538" s="268"/>
      <c r="AP538" s="255">
        <f t="shared" si="88"/>
        <v>324</v>
      </c>
      <c r="AQ538" s="256">
        <f t="shared" si="89"/>
        <v>6353969</v>
      </c>
      <c r="AR538" s="257">
        <f t="shared" si="90"/>
        <v>333</v>
      </c>
      <c r="AS538" s="258">
        <f t="shared" si="91"/>
        <v>6752064</v>
      </c>
      <c r="AT538" s="259">
        <v>50</v>
      </c>
      <c r="AU538" s="253">
        <v>1061619</v>
      </c>
      <c r="AV538" s="267">
        <v>21</v>
      </c>
      <c r="AW538" s="268">
        <v>441132</v>
      </c>
      <c r="AX538" s="252">
        <v>61</v>
      </c>
      <c r="AY538" s="253">
        <v>100290</v>
      </c>
      <c r="AZ538" s="267">
        <v>27</v>
      </c>
      <c r="BA538" s="268">
        <v>38616</v>
      </c>
      <c r="BB538" s="252"/>
      <c r="BC538" s="253"/>
      <c r="BD538" s="267"/>
      <c r="BE538" s="268"/>
      <c r="BF538" s="252">
        <v>49</v>
      </c>
      <c r="BG538" s="253">
        <v>284569</v>
      </c>
      <c r="BH538" s="267">
        <v>24</v>
      </c>
      <c r="BI538" s="268">
        <v>127428</v>
      </c>
      <c r="BJ538" s="252"/>
      <c r="BK538" s="253"/>
      <c r="BL538" s="267"/>
      <c r="BM538" s="268"/>
      <c r="BN538" s="252">
        <v>0</v>
      </c>
      <c r="BO538" s="253">
        <v>0</v>
      </c>
      <c r="BP538" s="267">
        <v>0</v>
      </c>
      <c r="BQ538" s="268">
        <v>0</v>
      </c>
      <c r="BR538" s="252"/>
      <c r="BS538" s="253"/>
      <c r="BT538" s="267"/>
      <c r="BU538" s="268"/>
      <c r="BV538" s="252">
        <v>0</v>
      </c>
      <c r="BW538" s="253">
        <v>0</v>
      </c>
      <c r="BX538" s="267">
        <v>0</v>
      </c>
      <c r="BY538" s="268">
        <v>0</v>
      </c>
      <c r="BZ538" s="252"/>
      <c r="CA538" s="253"/>
      <c r="CB538" s="267"/>
      <c r="CC538" s="268"/>
      <c r="CD538" s="255">
        <f t="shared" si="92"/>
        <v>61</v>
      </c>
      <c r="CE538" s="256">
        <f t="shared" si="93"/>
        <v>1446478</v>
      </c>
      <c r="CF538" s="257">
        <f t="shared" si="94"/>
        <v>27</v>
      </c>
      <c r="CG538" s="261">
        <f t="shared" si="95"/>
        <v>607176</v>
      </c>
    </row>
    <row r="539" spans="1:85" s="263" customFormat="1" ht="12.75" customHeight="1">
      <c r="A539" s="444" t="s">
        <v>346</v>
      </c>
      <c r="B539" s="445" t="s">
        <v>1047</v>
      </c>
      <c r="C539" s="445"/>
      <c r="D539" s="412">
        <v>228459</v>
      </c>
      <c r="E539" s="290">
        <v>3</v>
      </c>
      <c r="F539" s="252">
        <v>945</v>
      </c>
      <c r="G539" s="253">
        <v>2722682</v>
      </c>
      <c r="H539" s="267">
        <v>1008</v>
      </c>
      <c r="I539" s="268">
        <v>2663465</v>
      </c>
      <c r="J539" s="252">
        <v>945</v>
      </c>
      <c r="K539" s="253">
        <v>1956316</v>
      </c>
      <c r="L539" s="267">
        <v>1008</v>
      </c>
      <c r="M539" s="268">
        <v>1904933</v>
      </c>
      <c r="N539" s="252">
        <v>945</v>
      </c>
      <c r="O539" s="253">
        <v>9483</v>
      </c>
      <c r="P539" s="267">
        <v>1008</v>
      </c>
      <c r="Q539" s="268">
        <v>10115</v>
      </c>
      <c r="R539" s="252">
        <v>945</v>
      </c>
      <c r="S539" s="253">
        <v>4384229</v>
      </c>
      <c r="T539" s="267">
        <v>1008</v>
      </c>
      <c r="U539" s="268">
        <v>4622653</v>
      </c>
      <c r="V539" s="252">
        <v>945</v>
      </c>
      <c r="W539" s="253">
        <v>4523</v>
      </c>
      <c r="X539" s="267">
        <v>1008</v>
      </c>
      <c r="Y539" s="268">
        <v>4780</v>
      </c>
      <c r="Z539" s="252">
        <v>945</v>
      </c>
      <c r="AA539" s="253">
        <v>9483</v>
      </c>
      <c r="AB539" s="267">
        <v>1008</v>
      </c>
      <c r="AC539" s="268">
        <v>10115</v>
      </c>
      <c r="AD539" s="252"/>
      <c r="AE539" s="253"/>
      <c r="AF539" s="267"/>
      <c r="AG539" s="268"/>
      <c r="AH539" s="252">
        <v>0</v>
      </c>
      <c r="AI539" s="253">
        <v>0</v>
      </c>
      <c r="AJ539" s="267">
        <v>0</v>
      </c>
      <c r="AK539" s="268">
        <v>0</v>
      </c>
      <c r="AL539" s="252"/>
      <c r="AM539" s="253"/>
      <c r="AN539" s="267"/>
      <c r="AO539" s="268"/>
      <c r="AP539" s="255">
        <f t="shared" si="88"/>
        <v>945</v>
      </c>
      <c r="AQ539" s="256">
        <f t="shared" si="89"/>
        <v>9086716</v>
      </c>
      <c r="AR539" s="257">
        <f t="shared" si="90"/>
        <v>1008</v>
      </c>
      <c r="AS539" s="258">
        <f t="shared" si="91"/>
        <v>9216061</v>
      </c>
      <c r="AT539" s="259">
        <v>38</v>
      </c>
      <c r="AU539" s="253">
        <v>275524</v>
      </c>
      <c r="AV539" s="267">
        <v>45</v>
      </c>
      <c r="AW539" s="268">
        <v>272370</v>
      </c>
      <c r="AX539" s="252">
        <v>38</v>
      </c>
      <c r="AY539" s="253">
        <v>153469</v>
      </c>
      <c r="AZ539" s="267">
        <v>45</v>
      </c>
      <c r="BA539" s="268">
        <v>165514</v>
      </c>
      <c r="BB539" s="252">
        <v>38</v>
      </c>
      <c r="BC539" s="253">
        <v>508</v>
      </c>
      <c r="BD539" s="267">
        <v>45</v>
      </c>
      <c r="BE539" s="268">
        <v>602</v>
      </c>
      <c r="BF539" s="252">
        <v>38</v>
      </c>
      <c r="BG539" s="253">
        <v>233738</v>
      </c>
      <c r="BH539" s="267">
        <v>45</v>
      </c>
      <c r="BI539" s="268">
        <v>276534</v>
      </c>
      <c r="BJ539" s="252">
        <v>38</v>
      </c>
      <c r="BK539" s="253">
        <v>379</v>
      </c>
      <c r="BL539" s="267">
        <v>45</v>
      </c>
      <c r="BM539" s="268">
        <v>435</v>
      </c>
      <c r="BN539" s="252">
        <v>38</v>
      </c>
      <c r="BO539" s="253">
        <v>508</v>
      </c>
      <c r="BP539" s="267">
        <v>45</v>
      </c>
      <c r="BQ539" s="268">
        <v>602</v>
      </c>
      <c r="BR539" s="252"/>
      <c r="BS539" s="253"/>
      <c r="BT539" s="267"/>
      <c r="BU539" s="268"/>
      <c r="BV539" s="252">
        <v>0</v>
      </c>
      <c r="BW539" s="253">
        <v>0</v>
      </c>
      <c r="BX539" s="267">
        <v>0</v>
      </c>
      <c r="BY539" s="268">
        <v>0</v>
      </c>
      <c r="BZ539" s="252"/>
      <c r="CA539" s="253"/>
      <c r="CB539" s="267"/>
      <c r="CC539" s="268"/>
      <c r="CD539" s="255">
        <f t="shared" si="92"/>
        <v>38</v>
      </c>
      <c r="CE539" s="256">
        <f t="shared" si="93"/>
        <v>664126</v>
      </c>
      <c r="CF539" s="257">
        <f t="shared" si="94"/>
        <v>45</v>
      </c>
      <c r="CG539" s="261">
        <f t="shared" si="95"/>
        <v>716057</v>
      </c>
    </row>
    <row r="540" spans="1:85" s="263" customFormat="1" ht="12.75" customHeight="1">
      <c r="A540" s="444" t="s">
        <v>346</v>
      </c>
      <c r="B540" s="411" t="s">
        <v>364</v>
      </c>
      <c r="C540" s="411"/>
      <c r="D540" s="412">
        <v>225414</v>
      </c>
      <c r="E540" s="290">
        <v>3</v>
      </c>
      <c r="F540" s="252">
        <v>224</v>
      </c>
      <c r="G540" s="253">
        <v>1099333</v>
      </c>
      <c r="H540" s="267">
        <v>226</v>
      </c>
      <c r="I540" s="268">
        <v>1128471</v>
      </c>
      <c r="J540" s="252">
        <v>213</v>
      </c>
      <c r="K540" s="253">
        <v>1296274</v>
      </c>
      <c r="L540" s="267">
        <v>212</v>
      </c>
      <c r="M540" s="268">
        <v>1311976</v>
      </c>
      <c r="N540" s="252"/>
      <c r="O540" s="253"/>
      <c r="P540" s="267"/>
      <c r="Q540" s="268"/>
      <c r="R540" s="252">
        <v>224</v>
      </c>
      <c r="S540" s="253">
        <v>1183922</v>
      </c>
      <c r="T540" s="267">
        <v>226</v>
      </c>
      <c r="U540" s="268">
        <v>1220235</v>
      </c>
      <c r="V540" s="252"/>
      <c r="W540" s="253"/>
      <c r="X540" s="267"/>
      <c r="Y540" s="268"/>
      <c r="Z540" s="252">
        <v>213</v>
      </c>
      <c r="AA540" s="253">
        <v>5674</v>
      </c>
      <c r="AB540" s="267">
        <v>212</v>
      </c>
      <c r="AC540" s="268">
        <v>5648</v>
      </c>
      <c r="AD540" s="252"/>
      <c r="AE540" s="253"/>
      <c r="AF540" s="267"/>
      <c r="AG540" s="268"/>
      <c r="AH540" s="252">
        <v>0</v>
      </c>
      <c r="AI540" s="253">
        <v>0</v>
      </c>
      <c r="AJ540" s="267">
        <v>0</v>
      </c>
      <c r="AK540" s="268">
        <v>0</v>
      </c>
      <c r="AL540" s="252"/>
      <c r="AM540" s="253"/>
      <c r="AN540" s="267"/>
      <c r="AO540" s="268"/>
      <c r="AP540" s="255">
        <f t="shared" si="88"/>
        <v>224</v>
      </c>
      <c r="AQ540" s="256">
        <f t="shared" si="89"/>
        <v>3585203</v>
      </c>
      <c r="AR540" s="257">
        <f t="shared" si="90"/>
        <v>226</v>
      </c>
      <c r="AS540" s="258">
        <f t="shared" si="91"/>
        <v>3666330</v>
      </c>
      <c r="AT540" s="259">
        <v>4</v>
      </c>
      <c r="AU540" s="253">
        <v>24053</v>
      </c>
      <c r="AV540" s="267">
        <v>4</v>
      </c>
      <c r="AW540" s="268">
        <v>21743</v>
      </c>
      <c r="AX540" s="252">
        <v>4</v>
      </c>
      <c r="AY540" s="253">
        <v>23679</v>
      </c>
      <c r="AZ540" s="267">
        <v>4</v>
      </c>
      <c r="BA540" s="268">
        <v>23679</v>
      </c>
      <c r="BB540" s="252"/>
      <c r="BC540" s="253"/>
      <c r="BD540" s="267"/>
      <c r="BE540" s="268"/>
      <c r="BF540" s="252">
        <v>4</v>
      </c>
      <c r="BG540" s="253">
        <v>25483</v>
      </c>
      <c r="BH540" s="267">
        <v>4</v>
      </c>
      <c r="BI540" s="268">
        <v>26161</v>
      </c>
      <c r="BJ540" s="252"/>
      <c r="BK540" s="253"/>
      <c r="BL540" s="267"/>
      <c r="BM540" s="268"/>
      <c r="BN540" s="252">
        <v>4</v>
      </c>
      <c r="BO540" s="253">
        <v>107</v>
      </c>
      <c r="BP540" s="267">
        <v>4</v>
      </c>
      <c r="BQ540" s="268">
        <v>107</v>
      </c>
      <c r="BR540" s="252"/>
      <c r="BS540" s="253"/>
      <c r="BT540" s="267"/>
      <c r="BU540" s="268"/>
      <c r="BV540" s="252">
        <v>0</v>
      </c>
      <c r="BW540" s="253">
        <v>0</v>
      </c>
      <c r="BX540" s="267">
        <v>0</v>
      </c>
      <c r="BY540" s="268">
        <v>0</v>
      </c>
      <c r="BZ540" s="252"/>
      <c r="CA540" s="253"/>
      <c r="CB540" s="267"/>
      <c r="CC540" s="268"/>
      <c r="CD540" s="255">
        <f t="shared" si="92"/>
        <v>4</v>
      </c>
      <c r="CE540" s="256">
        <f t="shared" si="93"/>
        <v>73322</v>
      </c>
      <c r="CF540" s="257">
        <f t="shared" si="94"/>
        <v>4</v>
      </c>
      <c r="CG540" s="261">
        <f t="shared" si="95"/>
        <v>71690</v>
      </c>
    </row>
    <row r="541" spans="1:85" s="263" customFormat="1" ht="12.75" customHeight="1">
      <c r="A541" s="444" t="s">
        <v>346</v>
      </c>
      <c r="B541" s="411" t="s">
        <v>367</v>
      </c>
      <c r="C541" s="411"/>
      <c r="D541" s="412">
        <v>228802</v>
      </c>
      <c r="E541" s="290">
        <v>3</v>
      </c>
      <c r="F541" s="252">
        <v>258</v>
      </c>
      <c r="G541" s="253">
        <v>1245831</v>
      </c>
      <c r="H541" s="267">
        <v>268</v>
      </c>
      <c r="I541" s="268">
        <v>1408818</v>
      </c>
      <c r="J541" s="252">
        <v>258</v>
      </c>
      <c r="K541" s="253">
        <v>1857600</v>
      </c>
      <c r="L541" s="267">
        <v>268</v>
      </c>
      <c r="M541" s="268">
        <v>2074320</v>
      </c>
      <c r="N541" s="252"/>
      <c r="O541" s="253"/>
      <c r="P541" s="267"/>
      <c r="Q541" s="268"/>
      <c r="R541" s="252">
        <v>258</v>
      </c>
      <c r="S541" s="253">
        <v>1121248</v>
      </c>
      <c r="T541" s="267">
        <v>268</v>
      </c>
      <c r="U541" s="268">
        <v>1267936</v>
      </c>
      <c r="V541" s="252">
        <v>258</v>
      </c>
      <c r="W541" s="253">
        <v>5201</v>
      </c>
      <c r="X541" s="267">
        <v>268</v>
      </c>
      <c r="Y541" s="268">
        <v>5403</v>
      </c>
      <c r="Z541" s="252">
        <v>258</v>
      </c>
      <c r="AA541" s="253">
        <v>4644</v>
      </c>
      <c r="AB541" s="267">
        <v>268</v>
      </c>
      <c r="AC541" s="268">
        <v>6593</v>
      </c>
      <c r="AD541" s="252">
        <v>258</v>
      </c>
      <c r="AE541" s="253">
        <v>11872</v>
      </c>
      <c r="AF541" s="267">
        <v>268</v>
      </c>
      <c r="AG541" s="268">
        <v>16409</v>
      </c>
      <c r="AH541" s="252">
        <v>12</v>
      </c>
      <c r="AI541" s="253">
        <v>72504</v>
      </c>
      <c r="AJ541" s="267">
        <v>24</v>
      </c>
      <c r="AK541" s="268">
        <v>127730</v>
      </c>
      <c r="AL541" s="252"/>
      <c r="AM541" s="253"/>
      <c r="AN541" s="267"/>
      <c r="AO541" s="268"/>
      <c r="AP541" s="255">
        <f t="shared" si="88"/>
        <v>258</v>
      </c>
      <c r="AQ541" s="256">
        <f t="shared" si="89"/>
        <v>4318900</v>
      </c>
      <c r="AR541" s="257">
        <f t="shared" si="90"/>
        <v>268</v>
      </c>
      <c r="AS541" s="258">
        <f t="shared" si="91"/>
        <v>4907209</v>
      </c>
      <c r="AT541" s="259"/>
      <c r="AU541" s="253"/>
      <c r="AV541" s="267">
        <v>0</v>
      </c>
      <c r="AW541" s="268">
        <v>0</v>
      </c>
      <c r="AX541" s="252"/>
      <c r="AY541" s="253"/>
      <c r="AZ541" s="267"/>
      <c r="BA541" s="268"/>
      <c r="BB541" s="252"/>
      <c r="BC541" s="253"/>
      <c r="BD541" s="267"/>
      <c r="BE541" s="268"/>
      <c r="BF541" s="252"/>
      <c r="BG541" s="253"/>
      <c r="BH541" s="267"/>
      <c r="BI541" s="268"/>
      <c r="BJ541" s="252"/>
      <c r="BK541" s="253"/>
      <c r="BL541" s="267"/>
      <c r="BM541" s="268"/>
      <c r="BN541" s="252"/>
      <c r="BO541" s="253"/>
      <c r="BP541" s="267">
        <v>0</v>
      </c>
      <c r="BQ541" s="268">
        <v>0</v>
      </c>
      <c r="BR541" s="252"/>
      <c r="BS541" s="253"/>
      <c r="BT541" s="267"/>
      <c r="BU541" s="268"/>
      <c r="BV541" s="252"/>
      <c r="BW541" s="253"/>
      <c r="BX541" s="267">
        <v>0</v>
      </c>
      <c r="BY541" s="268">
        <v>0</v>
      </c>
      <c r="BZ541" s="252"/>
      <c r="CA541" s="253"/>
      <c r="CB541" s="267"/>
      <c r="CC541" s="268"/>
      <c r="CD541" s="255">
        <f t="shared" si="92"/>
        <v>0</v>
      </c>
      <c r="CE541" s="256">
        <f t="shared" si="93"/>
        <v>0</v>
      </c>
      <c r="CF541" s="257">
        <f t="shared" si="94"/>
        <v>0</v>
      </c>
      <c r="CG541" s="261">
        <f t="shared" si="95"/>
        <v>0</v>
      </c>
    </row>
    <row r="542" spans="1:85" s="263" customFormat="1" ht="12.75" customHeight="1">
      <c r="A542" s="444" t="s">
        <v>346</v>
      </c>
      <c r="B542" s="411" t="s">
        <v>368</v>
      </c>
      <c r="C542" s="411"/>
      <c r="D542" s="412">
        <v>227368</v>
      </c>
      <c r="E542" s="290">
        <v>3</v>
      </c>
      <c r="F542" s="252">
        <v>637</v>
      </c>
      <c r="G542" s="253">
        <v>3551772</v>
      </c>
      <c r="H542" s="267">
        <v>631</v>
      </c>
      <c r="I542" s="268">
        <v>2881981</v>
      </c>
      <c r="J542" s="252">
        <v>442</v>
      </c>
      <c r="K542" s="253">
        <v>280667</v>
      </c>
      <c r="L542" s="267">
        <v>582</v>
      </c>
      <c r="M542" s="268">
        <v>3352306</v>
      </c>
      <c r="N542" s="252">
        <v>238</v>
      </c>
      <c r="O542" s="253">
        <v>65972</v>
      </c>
      <c r="P542" s="267"/>
      <c r="Q542" s="268"/>
      <c r="R542" s="252">
        <v>637</v>
      </c>
      <c r="S542" s="253">
        <v>2643489</v>
      </c>
      <c r="T542" s="267">
        <v>634</v>
      </c>
      <c r="U542" s="268">
        <v>2657832</v>
      </c>
      <c r="V542" s="252"/>
      <c r="W542" s="253"/>
      <c r="X542" s="267">
        <v>603</v>
      </c>
      <c r="Y542" s="268">
        <v>27625</v>
      </c>
      <c r="Z542" s="252">
        <v>0</v>
      </c>
      <c r="AA542" s="253">
        <v>0</v>
      </c>
      <c r="AB542" s="267">
        <v>0</v>
      </c>
      <c r="AC542" s="268">
        <v>0</v>
      </c>
      <c r="AD542" s="252">
        <v>562</v>
      </c>
      <c r="AE542" s="253">
        <v>273150</v>
      </c>
      <c r="AF542" s="267">
        <v>638</v>
      </c>
      <c r="AG542" s="268">
        <v>548227</v>
      </c>
      <c r="AH542" s="252">
        <v>0</v>
      </c>
      <c r="AI542" s="253">
        <v>0</v>
      </c>
      <c r="AJ542" s="267">
        <v>0</v>
      </c>
      <c r="AK542" s="268">
        <v>0</v>
      </c>
      <c r="AL542" s="252"/>
      <c r="AM542" s="253"/>
      <c r="AN542" s="267">
        <v>636</v>
      </c>
      <c r="AO542" s="268">
        <v>49494</v>
      </c>
      <c r="AP542" s="255">
        <f t="shared" si="88"/>
        <v>637</v>
      </c>
      <c r="AQ542" s="256">
        <f t="shared" si="89"/>
        <v>6815050</v>
      </c>
      <c r="AR542" s="257">
        <f t="shared" si="90"/>
        <v>638</v>
      </c>
      <c r="AS542" s="258">
        <f t="shared" si="91"/>
        <v>9517465</v>
      </c>
      <c r="AT542" s="259">
        <v>18</v>
      </c>
      <c r="AU542" s="253">
        <v>124824</v>
      </c>
      <c r="AV542" s="267">
        <v>19</v>
      </c>
      <c r="AW542" s="268">
        <v>115550</v>
      </c>
      <c r="AX542" s="252">
        <v>12</v>
      </c>
      <c r="AY542" s="253">
        <v>7553</v>
      </c>
      <c r="AZ542" s="267">
        <v>17</v>
      </c>
      <c r="BA542" s="268">
        <v>92038</v>
      </c>
      <c r="BB542" s="252">
        <v>11</v>
      </c>
      <c r="BC542" s="253">
        <v>3851</v>
      </c>
      <c r="BD542" s="267"/>
      <c r="BE542" s="268"/>
      <c r="BF542" s="252">
        <v>18</v>
      </c>
      <c r="BG542" s="253">
        <v>96233</v>
      </c>
      <c r="BH542" s="267">
        <v>19</v>
      </c>
      <c r="BI542" s="268">
        <v>104082</v>
      </c>
      <c r="BJ542" s="252"/>
      <c r="BK542" s="253"/>
      <c r="BL542" s="267">
        <v>19</v>
      </c>
      <c r="BM542" s="268">
        <v>865</v>
      </c>
      <c r="BN542" s="252">
        <v>0</v>
      </c>
      <c r="BO542" s="253">
        <v>0</v>
      </c>
      <c r="BP542" s="267">
        <v>0</v>
      </c>
      <c r="BQ542" s="268">
        <v>0</v>
      </c>
      <c r="BR542" s="252">
        <v>15</v>
      </c>
      <c r="BS542" s="253">
        <v>7460</v>
      </c>
      <c r="BT542" s="267">
        <v>19</v>
      </c>
      <c r="BU542" s="268">
        <v>1912</v>
      </c>
      <c r="BV542" s="252">
        <v>0</v>
      </c>
      <c r="BW542" s="253">
        <v>0</v>
      </c>
      <c r="BX542" s="267">
        <v>0</v>
      </c>
      <c r="BY542" s="268">
        <v>0</v>
      </c>
      <c r="BZ542" s="252"/>
      <c r="CA542" s="253"/>
      <c r="CB542" s="267"/>
      <c r="CC542" s="268"/>
      <c r="CD542" s="255">
        <f t="shared" si="92"/>
        <v>18</v>
      </c>
      <c r="CE542" s="256">
        <f t="shared" si="93"/>
        <v>239921</v>
      </c>
      <c r="CF542" s="257">
        <f t="shared" si="94"/>
        <v>19</v>
      </c>
      <c r="CG542" s="261">
        <f t="shared" si="95"/>
        <v>314447</v>
      </c>
    </row>
    <row r="543" spans="1:85" s="263" customFormat="1" ht="12.75" customHeight="1">
      <c r="A543" s="444" t="s">
        <v>346</v>
      </c>
      <c r="B543" s="411" t="s">
        <v>369</v>
      </c>
      <c r="C543" s="411"/>
      <c r="D543" s="412">
        <v>229814</v>
      </c>
      <c r="E543" s="290">
        <v>3</v>
      </c>
      <c r="F543" s="252">
        <v>231</v>
      </c>
      <c r="G543" s="253">
        <v>949892</v>
      </c>
      <c r="H543" s="267">
        <v>227</v>
      </c>
      <c r="I543" s="268">
        <v>948563</v>
      </c>
      <c r="J543" s="252">
        <v>225</v>
      </c>
      <c r="K543" s="253">
        <v>1368722</v>
      </c>
      <c r="L543" s="267">
        <v>227</v>
      </c>
      <c r="M543" s="268">
        <v>1353249</v>
      </c>
      <c r="N543" s="252"/>
      <c r="O543" s="253"/>
      <c r="P543" s="267"/>
      <c r="Q543" s="268"/>
      <c r="R543" s="252">
        <v>228</v>
      </c>
      <c r="S543" s="253">
        <v>1040574</v>
      </c>
      <c r="T543" s="267">
        <v>231</v>
      </c>
      <c r="U543" s="268">
        <v>1044495</v>
      </c>
      <c r="V543" s="252">
        <v>228</v>
      </c>
      <c r="W543" s="253">
        <v>13602</v>
      </c>
      <c r="X543" s="267">
        <v>231</v>
      </c>
      <c r="Y543" s="268">
        <v>13654</v>
      </c>
      <c r="Z543" s="252">
        <v>225</v>
      </c>
      <c r="AA543" s="253">
        <v>8930</v>
      </c>
      <c r="AB543" s="267">
        <v>227</v>
      </c>
      <c r="AC543" s="268">
        <v>10814</v>
      </c>
      <c r="AD543" s="252">
        <v>228</v>
      </c>
      <c r="AE543" s="253">
        <v>20403</v>
      </c>
      <c r="AF543" s="267">
        <v>231</v>
      </c>
      <c r="AG543" s="268">
        <v>13654</v>
      </c>
      <c r="AH543" s="252">
        <v>0</v>
      </c>
      <c r="AI543" s="253">
        <v>0</v>
      </c>
      <c r="AJ543" s="267">
        <v>0</v>
      </c>
      <c r="AK543" s="268">
        <v>0</v>
      </c>
      <c r="AL543" s="252"/>
      <c r="AM543" s="253"/>
      <c r="AN543" s="267"/>
      <c r="AO543" s="268"/>
      <c r="AP543" s="255">
        <f t="shared" si="88"/>
        <v>231</v>
      </c>
      <c r="AQ543" s="256">
        <f t="shared" si="89"/>
        <v>3402123</v>
      </c>
      <c r="AR543" s="257">
        <f t="shared" si="90"/>
        <v>231</v>
      </c>
      <c r="AS543" s="258">
        <f t="shared" si="91"/>
        <v>3384429</v>
      </c>
      <c r="AT543" s="259">
        <v>18</v>
      </c>
      <c r="AU543" s="253">
        <v>111455</v>
      </c>
      <c r="AV543" s="267">
        <v>0</v>
      </c>
      <c r="AW543" s="268">
        <v>0</v>
      </c>
      <c r="AX543" s="252">
        <v>16</v>
      </c>
      <c r="AY543" s="253">
        <v>106938</v>
      </c>
      <c r="AZ543" s="267"/>
      <c r="BA543" s="268"/>
      <c r="BB543" s="252"/>
      <c r="BC543" s="253"/>
      <c r="BD543" s="267"/>
      <c r="BE543" s="268"/>
      <c r="BF543" s="252">
        <v>18</v>
      </c>
      <c r="BG543" s="253">
        <v>120805</v>
      </c>
      <c r="BH543" s="267"/>
      <c r="BI543" s="268"/>
      <c r="BJ543" s="252">
        <v>18</v>
      </c>
      <c r="BK543" s="253">
        <v>1631</v>
      </c>
      <c r="BL543" s="267"/>
      <c r="BM543" s="268"/>
      <c r="BN543" s="252">
        <v>16</v>
      </c>
      <c r="BO543" s="253">
        <v>640</v>
      </c>
      <c r="BP543" s="267">
        <v>0</v>
      </c>
      <c r="BQ543" s="268">
        <v>0</v>
      </c>
      <c r="BR543" s="252">
        <v>18</v>
      </c>
      <c r="BS543" s="253">
        <v>2447</v>
      </c>
      <c r="BT543" s="267"/>
      <c r="BU543" s="268"/>
      <c r="BV543" s="252">
        <v>0</v>
      </c>
      <c r="BW543" s="253">
        <v>0</v>
      </c>
      <c r="BX543" s="267">
        <v>0</v>
      </c>
      <c r="BY543" s="268">
        <v>0</v>
      </c>
      <c r="BZ543" s="252"/>
      <c r="CA543" s="253"/>
      <c r="CB543" s="267"/>
      <c r="CC543" s="268"/>
      <c r="CD543" s="255">
        <f t="shared" si="92"/>
        <v>18</v>
      </c>
      <c r="CE543" s="256">
        <f t="shared" si="93"/>
        <v>343916</v>
      </c>
      <c r="CF543" s="257">
        <f t="shared" si="94"/>
        <v>0</v>
      </c>
      <c r="CG543" s="261">
        <f t="shared" si="95"/>
        <v>0</v>
      </c>
    </row>
    <row r="544" spans="1:85" s="263" customFormat="1" ht="12.75" customHeight="1">
      <c r="A544" s="444" t="s">
        <v>346</v>
      </c>
      <c r="B544" s="411" t="s">
        <v>371</v>
      </c>
      <c r="C544" s="411"/>
      <c r="D544" s="412">
        <v>224545</v>
      </c>
      <c r="E544" s="290">
        <v>4</v>
      </c>
      <c r="F544" s="252">
        <v>161</v>
      </c>
      <c r="G544" s="253">
        <v>672522</v>
      </c>
      <c r="H544" s="267">
        <v>56</v>
      </c>
      <c r="I544" s="268">
        <v>264320</v>
      </c>
      <c r="J544" s="252">
        <v>163</v>
      </c>
      <c r="K544" s="253">
        <v>851324</v>
      </c>
      <c r="L544" s="267">
        <v>56</v>
      </c>
      <c r="M544" s="268">
        <v>330512</v>
      </c>
      <c r="N544" s="252"/>
      <c r="O544" s="253"/>
      <c r="P544" s="267"/>
      <c r="Q544" s="268"/>
      <c r="R544" s="252">
        <v>163</v>
      </c>
      <c r="S544" s="253">
        <v>783929</v>
      </c>
      <c r="T544" s="267">
        <v>56</v>
      </c>
      <c r="U544" s="268">
        <v>296175</v>
      </c>
      <c r="V544" s="252">
        <v>163</v>
      </c>
      <c r="W544" s="253">
        <v>10282</v>
      </c>
      <c r="X544" s="267">
        <v>56</v>
      </c>
      <c r="Y544" s="268">
        <v>3808</v>
      </c>
      <c r="Z544" s="252">
        <v>0</v>
      </c>
      <c r="AA544" s="253">
        <v>0</v>
      </c>
      <c r="AB544" s="267">
        <v>0</v>
      </c>
      <c r="AC544" s="268">
        <v>0</v>
      </c>
      <c r="AD544" s="252">
        <v>163</v>
      </c>
      <c r="AE544" s="253">
        <v>15527</v>
      </c>
      <c r="AF544" s="267">
        <v>56</v>
      </c>
      <c r="AG544" s="268">
        <v>1960</v>
      </c>
      <c r="AH544" s="252">
        <v>0</v>
      </c>
      <c r="AI544" s="253">
        <v>0</v>
      </c>
      <c r="AJ544" s="267">
        <v>0</v>
      </c>
      <c r="AK544" s="268">
        <v>0</v>
      </c>
      <c r="AL544" s="252"/>
      <c r="AM544" s="253"/>
      <c r="AN544" s="267"/>
      <c r="AO544" s="268"/>
      <c r="AP544" s="255">
        <f t="shared" si="88"/>
        <v>163</v>
      </c>
      <c r="AQ544" s="256">
        <f t="shared" si="89"/>
        <v>2333584</v>
      </c>
      <c r="AR544" s="257">
        <f t="shared" si="90"/>
        <v>56</v>
      </c>
      <c r="AS544" s="258">
        <f t="shared" si="91"/>
        <v>896775</v>
      </c>
      <c r="AT544" s="259">
        <v>25</v>
      </c>
      <c r="AU544" s="253">
        <v>180641</v>
      </c>
      <c r="AV544" s="267">
        <v>6</v>
      </c>
      <c r="AW544" s="268">
        <v>42750</v>
      </c>
      <c r="AX544" s="252">
        <v>25</v>
      </c>
      <c r="AY544" s="253">
        <v>129775</v>
      </c>
      <c r="AZ544" s="267">
        <v>6</v>
      </c>
      <c r="BA544" s="268">
        <v>33738</v>
      </c>
      <c r="BB544" s="252"/>
      <c r="BC544" s="253"/>
      <c r="BD544" s="267"/>
      <c r="BE544" s="268"/>
      <c r="BF544" s="252">
        <v>25</v>
      </c>
      <c r="BG544" s="253">
        <v>189767</v>
      </c>
      <c r="BH544" s="267">
        <v>6</v>
      </c>
      <c r="BI544" s="268">
        <v>45372</v>
      </c>
      <c r="BJ544" s="252">
        <v>25</v>
      </c>
      <c r="BK544" s="253">
        <v>2529</v>
      </c>
      <c r="BL544" s="267">
        <v>6</v>
      </c>
      <c r="BM544" s="268">
        <v>790</v>
      </c>
      <c r="BN544" s="252">
        <v>0</v>
      </c>
      <c r="BO544" s="253">
        <v>0</v>
      </c>
      <c r="BP544" s="267">
        <v>0</v>
      </c>
      <c r="BQ544" s="268">
        <v>0</v>
      </c>
      <c r="BR544" s="252">
        <v>25</v>
      </c>
      <c r="BS544" s="253">
        <v>3791</v>
      </c>
      <c r="BT544" s="267">
        <v>6</v>
      </c>
      <c r="BU544" s="268">
        <v>399</v>
      </c>
      <c r="BV544" s="252">
        <v>0</v>
      </c>
      <c r="BW544" s="253">
        <v>0</v>
      </c>
      <c r="BX544" s="267">
        <v>0</v>
      </c>
      <c r="BY544" s="268">
        <v>0</v>
      </c>
      <c r="BZ544" s="252"/>
      <c r="CA544" s="253"/>
      <c r="CB544" s="267"/>
      <c r="CC544" s="268"/>
      <c r="CD544" s="255">
        <f t="shared" si="92"/>
        <v>25</v>
      </c>
      <c r="CE544" s="256">
        <f t="shared" si="93"/>
        <v>506503</v>
      </c>
      <c r="CF544" s="257">
        <f t="shared" si="94"/>
        <v>6</v>
      </c>
      <c r="CG544" s="261">
        <f t="shared" si="95"/>
        <v>123049</v>
      </c>
    </row>
    <row r="545" spans="1:85" s="263" customFormat="1" ht="12.75" customHeight="1">
      <c r="A545" s="444" t="s">
        <v>346</v>
      </c>
      <c r="B545" s="411" t="s">
        <v>376</v>
      </c>
      <c r="C545" s="411"/>
      <c r="D545" s="412">
        <v>225502</v>
      </c>
      <c r="E545" s="290">
        <v>4</v>
      </c>
      <c r="F545" s="252">
        <v>101</v>
      </c>
      <c r="G545" s="253">
        <v>498267</v>
      </c>
      <c r="H545" s="267">
        <v>111</v>
      </c>
      <c r="I545" s="268">
        <v>544311</v>
      </c>
      <c r="J545" s="252">
        <v>85</v>
      </c>
      <c r="K545" s="253">
        <v>528556</v>
      </c>
      <c r="L545" s="267">
        <v>101</v>
      </c>
      <c r="M545" s="268">
        <v>623319</v>
      </c>
      <c r="N545" s="252"/>
      <c r="O545" s="253"/>
      <c r="P545" s="267"/>
      <c r="Q545" s="268"/>
      <c r="R545" s="252">
        <v>101</v>
      </c>
      <c r="S545" s="253">
        <v>559709</v>
      </c>
      <c r="T545" s="267">
        <v>110</v>
      </c>
      <c r="U545" s="268">
        <v>611788</v>
      </c>
      <c r="V545" s="252">
        <v>101</v>
      </c>
      <c r="W545" s="253">
        <v>1464</v>
      </c>
      <c r="X545" s="267">
        <v>110</v>
      </c>
      <c r="Y545" s="268">
        <v>1602</v>
      </c>
      <c r="Z545" s="252">
        <v>85</v>
      </c>
      <c r="AA545" s="253">
        <v>2264</v>
      </c>
      <c r="AB545" s="267">
        <v>101</v>
      </c>
      <c r="AC545" s="268">
        <v>2691</v>
      </c>
      <c r="AD545" s="252">
        <v>101</v>
      </c>
      <c r="AE545" s="253">
        <v>36610</v>
      </c>
      <c r="AF545" s="267">
        <v>110</v>
      </c>
      <c r="AG545" s="268">
        <v>40043</v>
      </c>
      <c r="AH545" s="252">
        <v>0</v>
      </c>
      <c r="AI545" s="253">
        <v>0</v>
      </c>
      <c r="AJ545" s="267">
        <v>0</v>
      </c>
      <c r="AK545" s="268">
        <v>0</v>
      </c>
      <c r="AL545" s="252"/>
      <c r="AM545" s="253"/>
      <c r="AN545" s="267"/>
      <c r="AO545" s="268"/>
      <c r="AP545" s="255">
        <f t="shared" si="88"/>
        <v>101</v>
      </c>
      <c r="AQ545" s="256">
        <f t="shared" si="89"/>
        <v>1626870</v>
      </c>
      <c r="AR545" s="257">
        <f t="shared" si="90"/>
        <v>111</v>
      </c>
      <c r="AS545" s="258">
        <f t="shared" si="91"/>
        <v>1823754</v>
      </c>
      <c r="AT545" s="259">
        <v>4</v>
      </c>
      <c r="AU545" s="253">
        <v>37528</v>
      </c>
      <c r="AV545" s="267">
        <v>4</v>
      </c>
      <c r="AW545" s="268">
        <v>39736</v>
      </c>
      <c r="AX545" s="252">
        <v>3</v>
      </c>
      <c r="AY545" s="253">
        <v>25266</v>
      </c>
      <c r="AZ545" s="267">
        <v>4</v>
      </c>
      <c r="BA545" s="268">
        <v>34278</v>
      </c>
      <c r="BB545" s="252"/>
      <c r="BC545" s="253"/>
      <c r="BD545" s="267"/>
      <c r="BE545" s="268"/>
      <c r="BF545" s="252">
        <v>4</v>
      </c>
      <c r="BG545" s="253">
        <v>34395</v>
      </c>
      <c r="BH545" s="267">
        <v>4</v>
      </c>
      <c r="BI545" s="268">
        <v>34873</v>
      </c>
      <c r="BJ545" s="252">
        <v>4</v>
      </c>
      <c r="BK545" s="253">
        <v>109</v>
      </c>
      <c r="BL545" s="267">
        <v>4</v>
      </c>
      <c r="BM545" s="268">
        <v>116</v>
      </c>
      <c r="BN545" s="252">
        <v>3</v>
      </c>
      <c r="BO545" s="253">
        <v>80</v>
      </c>
      <c r="BP545" s="267">
        <v>4</v>
      </c>
      <c r="BQ545" s="268">
        <v>107</v>
      </c>
      <c r="BR545" s="252">
        <v>4</v>
      </c>
      <c r="BS545" s="253">
        <v>2727</v>
      </c>
      <c r="BT545" s="267">
        <v>4</v>
      </c>
      <c r="BU545" s="268">
        <v>2892</v>
      </c>
      <c r="BV545" s="252">
        <v>0</v>
      </c>
      <c r="BW545" s="253">
        <v>0</v>
      </c>
      <c r="BX545" s="267">
        <v>0</v>
      </c>
      <c r="BY545" s="268">
        <v>0</v>
      </c>
      <c r="BZ545" s="252"/>
      <c r="CA545" s="253"/>
      <c r="CB545" s="267"/>
      <c r="CC545" s="268"/>
      <c r="CD545" s="255">
        <f t="shared" si="92"/>
        <v>4</v>
      </c>
      <c r="CE545" s="256">
        <f t="shared" si="93"/>
        <v>100105</v>
      </c>
      <c r="CF545" s="257">
        <f t="shared" si="94"/>
        <v>4</v>
      </c>
      <c r="CG545" s="261">
        <f t="shared" si="95"/>
        <v>112002</v>
      </c>
    </row>
    <row r="546" spans="1:85" s="263" customFormat="1" ht="12.75" customHeight="1">
      <c r="A546" s="444" t="s">
        <v>346</v>
      </c>
      <c r="B546" s="531" t="s">
        <v>372</v>
      </c>
      <c r="C546" s="532" t="s">
        <v>1269</v>
      </c>
      <c r="D546" s="412">
        <v>227377</v>
      </c>
      <c r="E546" s="533">
        <v>3</v>
      </c>
      <c r="F546" s="252">
        <v>303</v>
      </c>
      <c r="G546" s="253">
        <v>1458547</v>
      </c>
      <c r="H546" s="267">
        <v>344</v>
      </c>
      <c r="I546" s="268">
        <v>1334125</v>
      </c>
      <c r="J546" s="252">
        <v>334</v>
      </c>
      <c r="K546" s="253">
        <v>2037486</v>
      </c>
      <c r="L546" s="267">
        <v>363</v>
      </c>
      <c r="M546" s="268">
        <v>2802252</v>
      </c>
      <c r="N546" s="252"/>
      <c r="O546" s="253"/>
      <c r="P546" s="267"/>
      <c r="Q546" s="268"/>
      <c r="R546" s="252">
        <v>343</v>
      </c>
      <c r="S546" s="253">
        <v>1280566</v>
      </c>
      <c r="T546" s="267">
        <v>344</v>
      </c>
      <c r="U546" s="268">
        <v>1313312</v>
      </c>
      <c r="V546" s="252">
        <v>343</v>
      </c>
      <c r="W546" s="253">
        <v>99760</v>
      </c>
      <c r="X546" s="267">
        <v>344</v>
      </c>
      <c r="Y546" s="268">
        <v>70062</v>
      </c>
      <c r="Z546" s="252">
        <v>0</v>
      </c>
      <c r="AA546" s="253">
        <v>0</v>
      </c>
      <c r="AB546" s="267">
        <v>0</v>
      </c>
      <c r="AC546" s="268">
        <v>0</v>
      </c>
      <c r="AD546" s="252">
        <v>343</v>
      </c>
      <c r="AE546" s="253">
        <v>30981</v>
      </c>
      <c r="AF546" s="267">
        <v>344</v>
      </c>
      <c r="AG546" s="268">
        <v>33680</v>
      </c>
      <c r="AH546" s="252">
        <v>0</v>
      </c>
      <c r="AI546" s="253">
        <v>0</v>
      </c>
      <c r="AJ546" s="267">
        <v>0</v>
      </c>
      <c r="AK546" s="268">
        <v>0</v>
      </c>
      <c r="AL546" s="252"/>
      <c r="AM546" s="253"/>
      <c r="AN546" s="267"/>
      <c r="AO546" s="268"/>
      <c r="AP546" s="255">
        <f t="shared" si="88"/>
        <v>343</v>
      </c>
      <c r="AQ546" s="256">
        <f t="shared" si="89"/>
        <v>4907340</v>
      </c>
      <c r="AR546" s="257">
        <f t="shared" si="90"/>
        <v>363</v>
      </c>
      <c r="AS546" s="258">
        <f t="shared" si="91"/>
        <v>5553431</v>
      </c>
      <c r="AT546" s="259">
        <v>46</v>
      </c>
      <c r="AU546" s="253">
        <v>216704</v>
      </c>
      <c r="AV546" s="267">
        <v>45</v>
      </c>
      <c r="AW546" s="268">
        <v>208294</v>
      </c>
      <c r="AX546" s="252">
        <v>46</v>
      </c>
      <c r="AY546" s="253">
        <v>262375</v>
      </c>
      <c r="AZ546" s="267">
        <v>45</v>
      </c>
      <c r="BA546" s="268">
        <v>308964</v>
      </c>
      <c r="BB546" s="252"/>
      <c r="BC546" s="253"/>
      <c r="BD546" s="267"/>
      <c r="BE546" s="268"/>
      <c r="BF546" s="252">
        <v>46</v>
      </c>
      <c r="BG546" s="253">
        <v>173225</v>
      </c>
      <c r="BH546" s="267">
        <v>45</v>
      </c>
      <c r="BI546" s="268">
        <v>166648</v>
      </c>
      <c r="BJ546" s="252">
        <v>46</v>
      </c>
      <c r="BK546" s="253">
        <v>13495</v>
      </c>
      <c r="BL546" s="267">
        <v>45</v>
      </c>
      <c r="BM546" s="268">
        <v>9258</v>
      </c>
      <c r="BN546" s="252">
        <v>0</v>
      </c>
      <c r="BO546" s="253">
        <v>0</v>
      </c>
      <c r="BP546" s="267">
        <v>0</v>
      </c>
      <c r="BQ546" s="268">
        <v>0</v>
      </c>
      <c r="BR546" s="252">
        <v>46</v>
      </c>
      <c r="BS546" s="253">
        <v>4191</v>
      </c>
      <c r="BT546" s="267">
        <v>45</v>
      </c>
      <c r="BU546" s="268">
        <v>4274</v>
      </c>
      <c r="BV546" s="252">
        <v>0</v>
      </c>
      <c r="BW546" s="253">
        <v>0</v>
      </c>
      <c r="BX546" s="267">
        <v>0</v>
      </c>
      <c r="BY546" s="268">
        <v>0</v>
      </c>
      <c r="BZ546" s="252"/>
      <c r="CA546" s="253"/>
      <c r="CB546" s="267"/>
      <c r="CC546" s="268"/>
      <c r="CD546" s="255">
        <f t="shared" si="92"/>
        <v>46</v>
      </c>
      <c r="CE546" s="256">
        <f t="shared" si="93"/>
        <v>669990</v>
      </c>
      <c r="CF546" s="257">
        <f t="shared" si="94"/>
        <v>45</v>
      </c>
      <c r="CG546" s="261">
        <f t="shared" si="95"/>
        <v>697438</v>
      </c>
    </row>
    <row r="547" spans="1:85" s="263" customFormat="1" ht="12.75" customHeight="1">
      <c r="A547" s="444" t="s">
        <v>346</v>
      </c>
      <c r="B547" s="411" t="s">
        <v>373</v>
      </c>
      <c r="C547" s="530" t="s">
        <v>1270</v>
      </c>
      <c r="D547" s="412">
        <v>229018</v>
      </c>
      <c r="E547" s="290">
        <v>4</v>
      </c>
      <c r="F547" s="252">
        <v>119</v>
      </c>
      <c r="G547" s="253">
        <v>574636</v>
      </c>
      <c r="H547" s="267">
        <v>135</v>
      </c>
      <c r="I547" s="268">
        <v>647852</v>
      </c>
      <c r="J547" s="252">
        <v>73</v>
      </c>
      <c r="K547" s="253">
        <v>57234</v>
      </c>
      <c r="L547" s="267">
        <v>135</v>
      </c>
      <c r="M547" s="268">
        <v>82428</v>
      </c>
      <c r="N547" s="252"/>
      <c r="O547" s="253"/>
      <c r="P547" s="267"/>
      <c r="Q547" s="268"/>
      <c r="R547" s="252">
        <v>74</v>
      </c>
      <c r="S547" s="253">
        <v>560351</v>
      </c>
      <c r="T547" s="267">
        <v>137</v>
      </c>
      <c r="U547" s="268">
        <v>734989</v>
      </c>
      <c r="V547" s="252">
        <v>74</v>
      </c>
      <c r="W547" s="253">
        <v>36624</v>
      </c>
      <c r="X547" s="267">
        <v>137</v>
      </c>
      <c r="Y547" s="268">
        <v>26263</v>
      </c>
      <c r="Z547" s="252">
        <v>0</v>
      </c>
      <c r="AA547" s="253">
        <v>0</v>
      </c>
      <c r="AB547" s="267">
        <v>0</v>
      </c>
      <c r="AC547" s="268">
        <v>0</v>
      </c>
      <c r="AD547" s="252">
        <v>74</v>
      </c>
      <c r="AE547" s="253">
        <v>8424</v>
      </c>
      <c r="AF547" s="267">
        <v>137</v>
      </c>
      <c r="AG547" s="268">
        <v>12700</v>
      </c>
      <c r="AH547" s="252">
        <v>0</v>
      </c>
      <c r="AI547" s="253">
        <v>0</v>
      </c>
      <c r="AJ547" s="267">
        <v>0</v>
      </c>
      <c r="AK547" s="268">
        <v>0</v>
      </c>
      <c r="AL547" s="252"/>
      <c r="AM547" s="253"/>
      <c r="AN547" s="267"/>
      <c r="AO547" s="268"/>
      <c r="AP547" s="255">
        <f t="shared" si="88"/>
        <v>119</v>
      </c>
      <c r="AQ547" s="256">
        <f t="shared" si="89"/>
        <v>1237269</v>
      </c>
      <c r="AR547" s="257">
        <f t="shared" si="90"/>
        <v>137</v>
      </c>
      <c r="AS547" s="258">
        <f t="shared" si="91"/>
        <v>1504232</v>
      </c>
      <c r="AT547" s="259"/>
      <c r="AU547" s="253"/>
      <c r="AV547" s="267">
        <v>0</v>
      </c>
      <c r="AW547" s="268">
        <v>0</v>
      </c>
      <c r="AX547" s="252"/>
      <c r="AY547" s="253"/>
      <c r="AZ547" s="267"/>
      <c r="BA547" s="268"/>
      <c r="BB547" s="252"/>
      <c r="BC547" s="253"/>
      <c r="BD547" s="267"/>
      <c r="BE547" s="268"/>
      <c r="BF547" s="252"/>
      <c r="BG547" s="253"/>
      <c r="BH547" s="267"/>
      <c r="BI547" s="268"/>
      <c r="BJ547" s="252"/>
      <c r="BK547" s="253"/>
      <c r="BL547" s="267"/>
      <c r="BM547" s="268"/>
      <c r="BN547" s="252"/>
      <c r="BO547" s="253"/>
      <c r="BP547" s="267">
        <v>0</v>
      </c>
      <c r="BQ547" s="268">
        <v>0</v>
      </c>
      <c r="BR547" s="252"/>
      <c r="BS547" s="253"/>
      <c r="BT547" s="267"/>
      <c r="BU547" s="268"/>
      <c r="BV547" s="252"/>
      <c r="BW547" s="253"/>
      <c r="BX547" s="267">
        <v>0</v>
      </c>
      <c r="BY547" s="268">
        <v>0</v>
      </c>
      <c r="BZ547" s="252"/>
      <c r="CA547" s="253"/>
      <c r="CB547" s="267"/>
      <c r="CC547" s="268"/>
      <c r="CD547" s="255">
        <f t="shared" si="92"/>
        <v>0</v>
      </c>
      <c r="CE547" s="256">
        <f t="shared" si="93"/>
        <v>0</v>
      </c>
      <c r="CF547" s="257">
        <f t="shared" si="94"/>
        <v>0</v>
      </c>
      <c r="CG547" s="261">
        <f t="shared" si="95"/>
        <v>0</v>
      </c>
    </row>
    <row r="548" spans="1:85" s="263" customFormat="1" ht="12.75" customHeight="1">
      <c r="A548" s="444" t="s">
        <v>346</v>
      </c>
      <c r="B548" s="411" t="s">
        <v>374</v>
      </c>
      <c r="C548" s="411"/>
      <c r="D548" s="412" t="s">
        <v>1048</v>
      </c>
      <c r="E548" s="290">
        <v>5</v>
      </c>
      <c r="F548" s="252"/>
      <c r="G548" s="253"/>
      <c r="H548" s="267">
        <v>0</v>
      </c>
      <c r="I548" s="268">
        <v>0</v>
      </c>
      <c r="J548" s="252"/>
      <c r="K548" s="253"/>
      <c r="L548" s="267"/>
      <c r="M548" s="268"/>
      <c r="N548" s="252"/>
      <c r="O548" s="253"/>
      <c r="P548" s="267"/>
      <c r="Q548" s="268"/>
      <c r="R548" s="252"/>
      <c r="S548" s="253"/>
      <c r="T548" s="267"/>
      <c r="U548" s="268"/>
      <c r="V548" s="252"/>
      <c r="W548" s="253"/>
      <c r="X548" s="267"/>
      <c r="Y548" s="268"/>
      <c r="Z548" s="252"/>
      <c r="AA548" s="253"/>
      <c r="AB548" s="267">
        <v>0</v>
      </c>
      <c r="AC548" s="268">
        <v>0</v>
      </c>
      <c r="AD548" s="252"/>
      <c r="AE548" s="253"/>
      <c r="AF548" s="267"/>
      <c r="AG548" s="268"/>
      <c r="AH548" s="252"/>
      <c r="AI548" s="253"/>
      <c r="AJ548" s="267">
        <v>0</v>
      </c>
      <c r="AK548" s="268">
        <v>0</v>
      </c>
      <c r="AL548" s="252"/>
      <c r="AM548" s="253"/>
      <c r="AN548" s="267"/>
      <c r="AO548" s="268"/>
      <c r="AP548" s="255">
        <f t="shared" si="88"/>
        <v>0</v>
      </c>
      <c r="AQ548" s="256">
        <f t="shared" si="89"/>
        <v>0</v>
      </c>
      <c r="AR548" s="257">
        <f t="shared" si="90"/>
        <v>0</v>
      </c>
      <c r="AS548" s="258">
        <f t="shared" si="91"/>
        <v>0</v>
      </c>
      <c r="AT548" s="259"/>
      <c r="AU548" s="253"/>
      <c r="AV548" s="267">
        <v>0</v>
      </c>
      <c r="AW548" s="268">
        <v>0</v>
      </c>
      <c r="AX548" s="252"/>
      <c r="AY548" s="253"/>
      <c r="AZ548" s="267"/>
      <c r="BA548" s="268"/>
      <c r="BB548" s="252"/>
      <c r="BC548" s="253"/>
      <c r="BD548" s="267"/>
      <c r="BE548" s="268"/>
      <c r="BF548" s="252"/>
      <c r="BG548" s="253"/>
      <c r="BH548" s="267"/>
      <c r="BI548" s="268"/>
      <c r="BJ548" s="252"/>
      <c r="BK548" s="253"/>
      <c r="BL548" s="267"/>
      <c r="BM548" s="268"/>
      <c r="BN548" s="252"/>
      <c r="BO548" s="253"/>
      <c r="BP548" s="267">
        <v>0</v>
      </c>
      <c r="BQ548" s="268">
        <v>0</v>
      </c>
      <c r="BR548" s="252"/>
      <c r="BS548" s="253"/>
      <c r="BT548" s="267"/>
      <c r="BU548" s="268"/>
      <c r="BV548" s="252"/>
      <c r="BW548" s="253"/>
      <c r="BX548" s="267">
        <v>0</v>
      </c>
      <c r="BY548" s="268">
        <v>0</v>
      </c>
      <c r="BZ548" s="252"/>
      <c r="CA548" s="253"/>
      <c r="CB548" s="267"/>
      <c r="CC548" s="268"/>
      <c r="CD548" s="255">
        <f t="shared" si="92"/>
        <v>0</v>
      </c>
      <c r="CE548" s="256">
        <f t="shared" si="93"/>
        <v>0</v>
      </c>
      <c r="CF548" s="257">
        <f t="shared" si="94"/>
        <v>0</v>
      </c>
      <c r="CG548" s="261">
        <f t="shared" si="95"/>
        <v>0</v>
      </c>
    </row>
    <row r="549" spans="1:85" s="263" customFormat="1" ht="12.75" customHeight="1">
      <c r="A549" s="444" t="s">
        <v>346</v>
      </c>
      <c r="B549" s="411" t="s">
        <v>375</v>
      </c>
      <c r="C549" s="411"/>
      <c r="D549" s="412">
        <v>225432</v>
      </c>
      <c r="E549" s="290">
        <v>5</v>
      </c>
      <c r="F549" s="252">
        <v>276</v>
      </c>
      <c r="G549" s="253">
        <v>1179020</v>
      </c>
      <c r="H549" s="267">
        <v>276</v>
      </c>
      <c r="I549" s="268">
        <v>1247541</v>
      </c>
      <c r="J549" s="252">
        <v>240</v>
      </c>
      <c r="K549" s="253">
        <v>1382415</v>
      </c>
      <c r="L549" s="267">
        <v>239</v>
      </c>
      <c r="M549" s="268">
        <v>1385726</v>
      </c>
      <c r="N549" s="252"/>
      <c r="O549" s="253"/>
      <c r="P549" s="267"/>
      <c r="Q549" s="268"/>
      <c r="R549" s="252">
        <v>276</v>
      </c>
      <c r="S549" s="253">
        <v>1299810</v>
      </c>
      <c r="T549" s="267">
        <v>275</v>
      </c>
      <c r="U549" s="268">
        <v>1369742</v>
      </c>
      <c r="V549" s="252">
        <v>276</v>
      </c>
      <c r="W549" s="253">
        <v>33982</v>
      </c>
      <c r="X549" s="267">
        <v>276</v>
      </c>
      <c r="Y549" s="268">
        <v>35908</v>
      </c>
      <c r="Z549" s="252">
        <v>240</v>
      </c>
      <c r="AA549" s="253">
        <v>6394</v>
      </c>
      <c r="AB549" s="267">
        <v>239</v>
      </c>
      <c r="AC549" s="268">
        <v>6367</v>
      </c>
      <c r="AD549" s="252">
        <v>276</v>
      </c>
      <c r="AE549" s="253">
        <v>33982</v>
      </c>
      <c r="AF549" s="267">
        <v>276</v>
      </c>
      <c r="AG549" s="268">
        <v>35908</v>
      </c>
      <c r="AH549" s="252">
        <v>0</v>
      </c>
      <c r="AI549" s="253">
        <v>0</v>
      </c>
      <c r="AJ549" s="267">
        <v>0</v>
      </c>
      <c r="AK549" s="268">
        <v>0</v>
      </c>
      <c r="AL549" s="252"/>
      <c r="AM549" s="253"/>
      <c r="AN549" s="267"/>
      <c r="AO549" s="268"/>
      <c r="AP549" s="255">
        <f t="shared" si="88"/>
        <v>276</v>
      </c>
      <c r="AQ549" s="256">
        <f t="shared" si="89"/>
        <v>3935603</v>
      </c>
      <c r="AR549" s="257">
        <f t="shared" si="90"/>
        <v>276</v>
      </c>
      <c r="AS549" s="258">
        <f t="shared" si="91"/>
        <v>4081192</v>
      </c>
      <c r="AT549" s="259">
        <v>14</v>
      </c>
      <c r="AU549" s="253">
        <v>90741</v>
      </c>
      <c r="AV549" s="267">
        <v>15</v>
      </c>
      <c r="AW549" s="268">
        <v>106172</v>
      </c>
      <c r="AX549" s="252">
        <v>13</v>
      </c>
      <c r="AY549" s="253">
        <v>75659</v>
      </c>
      <c r="AZ549" s="267">
        <v>15</v>
      </c>
      <c r="BA549" s="268">
        <v>89269</v>
      </c>
      <c r="BB549" s="252"/>
      <c r="BC549" s="253"/>
      <c r="BD549" s="267"/>
      <c r="BE549" s="268"/>
      <c r="BF549" s="252">
        <v>14</v>
      </c>
      <c r="BG549" s="253">
        <v>95378</v>
      </c>
      <c r="BH549" s="267">
        <v>15</v>
      </c>
      <c r="BI549" s="268">
        <v>109874</v>
      </c>
      <c r="BJ549" s="252">
        <v>14</v>
      </c>
      <c r="BK549" s="253">
        <v>2539</v>
      </c>
      <c r="BL549" s="267">
        <v>15</v>
      </c>
      <c r="BM549" s="268">
        <v>2977</v>
      </c>
      <c r="BN549" s="252">
        <v>13</v>
      </c>
      <c r="BO549" s="253">
        <v>346</v>
      </c>
      <c r="BP549" s="267">
        <v>15</v>
      </c>
      <c r="BQ549" s="268">
        <v>400</v>
      </c>
      <c r="BR549" s="252">
        <v>14</v>
      </c>
      <c r="BS549" s="253">
        <v>2539</v>
      </c>
      <c r="BT549" s="267">
        <v>15</v>
      </c>
      <c r="BU549" s="268">
        <v>2977</v>
      </c>
      <c r="BV549" s="252">
        <v>0</v>
      </c>
      <c r="BW549" s="253">
        <v>0</v>
      </c>
      <c r="BX549" s="267">
        <v>0</v>
      </c>
      <c r="BY549" s="268">
        <v>0</v>
      </c>
      <c r="BZ549" s="252"/>
      <c r="CA549" s="253"/>
      <c r="CB549" s="267"/>
      <c r="CC549" s="268"/>
      <c r="CD549" s="255">
        <f t="shared" si="92"/>
        <v>14</v>
      </c>
      <c r="CE549" s="256">
        <f t="shared" si="93"/>
        <v>267202</v>
      </c>
      <c r="CF549" s="257">
        <f t="shared" si="94"/>
        <v>15</v>
      </c>
      <c r="CG549" s="261">
        <f t="shared" si="95"/>
        <v>311669</v>
      </c>
    </row>
    <row r="550" spans="1:85" s="263" customFormat="1" ht="12.75" customHeight="1">
      <c r="A550" s="444" t="s">
        <v>346</v>
      </c>
      <c r="B550" s="411" t="s">
        <v>377</v>
      </c>
      <c r="C550" s="411"/>
      <c r="D550" s="412">
        <v>228714</v>
      </c>
      <c r="E550" s="290">
        <v>6</v>
      </c>
      <c r="F550" s="252">
        <v>78</v>
      </c>
      <c r="G550" s="253">
        <v>338331</v>
      </c>
      <c r="H550" s="267">
        <v>81</v>
      </c>
      <c r="I550" s="268">
        <v>334362</v>
      </c>
      <c r="J550" s="252">
        <v>75</v>
      </c>
      <c r="K550" s="253">
        <v>444778</v>
      </c>
      <c r="L550" s="267">
        <v>74</v>
      </c>
      <c r="M550" s="268">
        <v>456352</v>
      </c>
      <c r="N550" s="252"/>
      <c r="O550" s="253"/>
      <c r="P550" s="267"/>
      <c r="Q550" s="268"/>
      <c r="R550" s="252">
        <v>78</v>
      </c>
      <c r="S550" s="253">
        <v>429502</v>
      </c>
      <c r="T550" s="267">
        <v>81</v>
      </c>
      <c r="U550" s="268">
        <v>395634</v>
      </c>
      <c r="V550" s="252">
        <v>78</v>
      </c>
      <c r="W550" s="253">
        <v>16843</v>
      </c>
      <c r="X550" s="267">
        <v>81</v>
      </c>
      <c r="Y550" s="268">
        <v>15515</v>
      </c>
      <c r="Z550" s="252">
        <v>78</v>
      </c>
      <c r="AA550" s="253">
        <v>4795</v>
      </c>
      <c r="AB550" s="267">
        <v>77</v>
      </c>
      <c r="AC550" s="268">
        <v>4478</v>
      </c>
      <c r="AD550" s="252">
        <v>78</v>
      </c>
      <c r="AE550" s="253">
        <v>28072</v>
      </c>
      <c r="AF550" s="267">
        <v>81</v>
      </c>
      <c r="AG550" s="268">
        <v>25858</v>
      </c>
      <c r="AH550" s="252">
        <v>0</v>
      </c>
      <c r="AI550" s="253">
        <v>0</v>
      </c>
      <c r="AJ550" s="267">
        <v>0</v>
      </c>
      <c r="AK550" s="268">
        <v>0</v>
      </c>
      <c r="AL550" s="252"/>
      <c r="AM550" s="253"/>
      <c r="AN550" s="267"/>
      <c r="AO550" s="268"/>
      <c r="AP550" s="255">
        <f t="shared" si="88"/>
        <v>78</v>
      </c>
      <c r="AQ550" s="256">
        <f t="shared" si="89"/>
        <v>1262321</v>
      </c>
      <c r="AR550" s="257">
        <f t="shared" si="90"/>
        <v>81</v>
      </c>
      <c r="AS550" s="258">
        <f t="shared" si="91"/>
        <v>1232199</v>
      </c>
      <c r="AT550" s="259">
        <v>17</v>
      </c>
      <c r="AU550" s="253">
        <v>100911</v>
      </c>
      <c r="AV550" s="267">
        <v>19</v>
      </c>
      <c r="AW550" s="268">
        <v>114571</v>
      </c>
      <c r="AX550" s="252">
        <v>16</v>
      </c>
      <c r="AY550" s="253">
        <v>92469</v>
      </c>
      <c r="AZ550" s="267">
        <v>18</v>
      </c>
      <c r="BA550" s="268">
        <v>107516</v>
      </c>
      <c r="BB550" s="252"/>
      <c r="BC550" s="253"/>
      <c r="BD550" s="267"/>
      <c r="BE550" s="268"/>
      <c r="BF550" s="252">
        <v>17</v>
      </c>
      <c r="BG550" s="253">
        <v>128874</v>
      </c>
      <c r="BH550" s="267">
        <v>19</v>
      </c>
      <c r="BI550" s="268">
        <v>135268</v>
      </c>
      <c r="BJ550" s="252">
        <v>17</v>
      </c>
      <c r="BK550" s="253">
        <v>5054</v>
      </c>
      <c r="BL550" s="267">
        <v>19</v>
      </c>
      <c r="BM550" s="268">
        <v>5305</v>
      </c>
      <c r="BN550" s="252">
        <v>17</v>
      </c>
      <c r="BO550" s="253">
        <v>810</v>
      </c>
      <c r="BP550" s="267">
        <v>19</v>
      </c>
      <c r="BQ550" s="268">
        <v>905</v>
      </c>
      <c r="BR550" s="252">
        <v>17</v>
      </c>
      <c r="BS550" s="253">
        <v>8423</v>
      </c>
      <c r="BT550" s="267">
        <v>19</v>
      </c>
      <c r="BU550" s="268">
        <v>8841</v>
      </c>
      <c r="BV550" s="252">
        <v>0</v>
      </c>
      <c r="BW550" s="253">
        <v>0</v>
      </c>
      <c r="BX550" s="267">
        <v>0</v>
      </c>
      <c r="BY550" s="268">
        <v>0</v>
      </c>
      <c r="BZ550" s="252"/>
      <c r="CA550" s="253"/>
      <c r="CB550" s="267"/>
      <c r="CC550" s="268"/>
      <c r="CD550" s="255">
        <f t="shared" si="92"/>
        <v>17</v>
      </c>
      <c r="CE550" s="256">
        <f t="shared" si="93"/>
        <v>336541</v>
      </c>
      <c r="CF550" s="257">
        <f t="shared" si="94"/>
        <v>19</v>
      </c>
      <c r="CG550" s="261">
        <f t="shared" si="95"/>
        <v>372406</v>
      </c>
    </row>
    <row r="551" spans="1:85" s="263" customFormat="1" ht="12.75" customHeight="1">
      <c r="A551" s="444" t="s">
        <v>346</v>
      </c>
      <c r="B551" s="446" t="s">
        <v>397</v>
      </c>
      <c r="C551" s="446"/>
      <c r="D551" s="412">
        <v>223506</v>
      </c>
      <c r="E551" s="290">
        <v>7</v>
      </c>
      <c r="F551" s="252">
        <v>60</v>
      </c>
      <c r="G551" s="253">
        <v>160166</v>
      </c>
      <c r="H551" s="267">
        <v>55</v>
      </c>
      <c r="I551" s="268">
        <v>180010</v>
      </c>
      <c r="J551" s="252">
        <v>59</v>
      </c>
      <c r="K551" s="253">
        <v>364661</v>
      </c>
      <c r="L551" s="267">
        <v>54</v>
      </c>
      <c r="M551" s="268">
        <v>332449</v>
      </c>
      <c r="N551" s="252"/>
      <c r="O551" s="253"/>
      <c r="P551" s="267"/>
      <c r="Q551" s="268"/>
      <c r="R551" s="252"/>
      <c r="S551" s="253"/>
      <c r="T551" s="267"/>
      <c r="U551" s="268"/>
      <c r="V551" s="252">
        <v>59</v>
      </c>
      <c r="W551" s="253">
        <v>2410</v>
      </c>
      <c r="X551" s="267">
        <v>54</v>
      </c>
      <c r="Y551" s="268">
        <v>2316</v>
      </c>
      <c r="Z551" s="252">
        <v>118</v>
      </c>
      <c r="AA551" s="253">
        <v>34717</v>
      </c>
      <c r="AB551" s="267">
        <v>108</v>
      </c>
      <c r="AC551" s="268">
        <v>31977</v>
      </c>
      <c r="AD551" s="252">
        <v>59</v>
      </c>
      <c r="AE551" s="253">
        <v>9974</v>
      </c>
      <c r="AF551" s="267">
        <v>54</v>
      </c>
      <c r="AG551" s="268">
        <v>9171</v>
      </c>
      <c r="AH551" s="252">
        <v>12</v>
      </c>
      <c r="AI551" s="253">
        <v>7787</v>
      </c>
      <c r="AJ551" s="267">
        <v>7</v>
      </c>
      <c r="AK551" s="268">
        <v>9049</v>
      </c>
      <c r="AL551" s="252"/>
      <c r="AM551" s="253"/>
      <c r="AN551" s="267"/>
      <c r="AO551" s="268"/>
      <c r="AP551" s="255">
        <f t="shared" si="88"/>
        <v>118</v>
      </c>
      <c r="AQ551" s="256">
        <f t="shared" si="89"/>
        <v>579715</v>
      </c>
      <c r="AR551" s="257">
        <f t="shared" si="90"/>
        <v>108</v>
      </c>
      <c r="AS551" s="258">
        <f t="shared" si="91"/>
        <v>564972</v>
      </c>
      <c r="AT551" s="259">
        <v>28</v>
      </c>
      <c r="AU551" s="253">
        <v>172439</v>
      </c>
      <c r="AV551" s="267">
        <v>23</v>
      </c>
      <c r="AW551" s="268">
        <v>137969</v>
      </c>
      <c r="AX551" s="252">
        <v>28</v>
      </c>
      <c r="AY551" s="253">
        <v>177125</v>
      </c>
      <c r="AZ551" s="267">
        <v>23</v>
      </c>
      <c r="BA551" s="268">
        <v>156975</v>
      </c>
      <c r="BB551" s="252"/>
      <c r="BC551" s="253"/>
      <c r="BD551" s="267"/>
      <c r="BE551" s="268"/>
      <c r="BF551" s="252"/>
      <c r="BG551" s="253"/>
      <c r="BH551" s="267"/>
      <c r="BI551" s="268"/>
      <c r="BJ551" s="252">
        <v>27</v>
      </c>
      <c r="BK551" s="253">
        <v>2017</v>
      </c>
      <c r="BL551" s="267">
        <v>23</v>
      </c>
      <c r="BM551" s="268">
        <v>1684</v>
      </c>
      <c r="BN551" s="252">
        <v>54</v>
      </c>
      <c r="BO551" s="253">
        <v>28844</v>
      </c>
      <c r="BP551" s="267">
        <v>46</v>
      </c>
      <c r="BQ551" s="268">
        <v>13227</v>
      </c>
      <c r="BR551" s="252">
        <v>27</v>
      </c>
      <c r="BS551" s="253">
        <v>7981</v>
      </c>
      <c r="BT551" s="267">
        <v>23</v>
      </c>
      <c r="BU551" s="268">
        <v>6668</v>
      </c>
      <c r="BV551" s="252">
        <v>5</v>
      </c>
      <c r="BW551" s="253">
        <v>1424</v>
      </c>
      <c r="BX551" s="267">
        <v>2</v>
      </c>
      <c r="BY551" s="268">
        <v>1031</v>
      </c>
      <c r="BZ551" s="252"/>
      <c r="CA551" s="253"/>
      <c r="CB551" s="267"/>
      <c r="CC551" s="268"/>
      <c r="CD551" s="255">
        <f t="shared" si="92"/>
        <v>54</v>
      </c>
      <c r="CE551" s="256">
        <f t="shared" si="93"/>
        <v>389830</v>
      </c>
      <c r="CF551" s="257">
        <f t="shared" si="94"/>
        <v>46</v>
      </c>
      <c r="CG551" s="261">
        <f t="shared" si="95"/>
        <v>317554</v>
      </c>
    </row>
    <row r="552" spans="1:85" s="263" customFormat="1" ht="12.75" customHeight="1">
      <c r="A552" s="444" t="s">
        <v>346</v>
      </c>
      <c r="B552" s="446" t="s">
        <v>408</v>
      </c>
      <c r="C552" s="446"/>
      <c r="D552" s="412">
        <v>226806</v>
      </c>
      <c r="E552" s="290">
        <v>7</v>
      </c>
      <c r="F552" s="252">
        <v>140</v>
      </c>
      <c r="G552" s="253">
        <v>764427</v>
      </c>
      <c r="H552" s="267">
        <v>140</v>
      </c>
      <c r="I552" s="268">
        <v>757182</v>
      </c>
      <c r="J552" s="252">
        <v>96</v>
      </c>
      <c r="K552" s="253">
        <v>621784</v>
      </c>
      <c r="L552" s="267">
        <v>92</v>
      </c>
      <c r="M552" s="268">
        <v>620498</v>
      </c>
      <c r="N552" s="252">
        <v>90</v>
      </c>
      <c r="O552" s="253">
        <v>45541</v>
      </c>
      <c r="P552" s="267">
        <v>91</v>
      </c>
      <c r="Q552" s="268">
        <v>41824</v>
      </c>
      <c r="R552" s="252">
        <v>85</v>
      </c>
      <c r="S552" s="253">
        <v>74476</v>
      </c>
      <c r="T552" s="267">
        <v>83</v>
      </c>
      <c r="U552" s="268">
        <v>73522</v>
      </c>
      <c r="V552" s="252">
        <v>97</v>
      </c>
      <c r="W552" s="253">
        <v>4227</v>
      </c>
      <c r="X552" s="267">
        <v>95</v>
      </c>
      <c r="Y552" s="268">
        <v>4158</v>
      </c>
      <c r="Z552" s="252">
        <v>91</v>
      </c>
      <c r="AA552" s="253">
        <v>59149</v>
      </c>
      <c r="AB552" s="267">
        <v>91</v>
      </c>
      <c r="AC552" s="268">
        <v>61911</v>
      </c>
      <c r="AD552" s="252">
        <v>97</v>
      </c>
      <c r="AE552" s="253">
        <v>19107</v>
      </c>
      <c r="AF552" s="267">
        <v>95</v>
      </c>
      <c r="AG552" s="268">
        <v>18326</v>
      </c>
      <c r="AH552" s="252">
        <v>5</v>
      </c>
      <c r="AI552" s="253">
        <v>1602</v>
      </c>
      <c r="AJ552" s="267">
        <v>5</v>
      </c>
      <c r="AK552" s="268">
        <v>1217</v>
      </c>
      <c r="AL552" s="252"/>
      <c r="AM552" s="253"/>
      <c r="AN552" s="267"/>
      <c r="AO552" s="268"/>
      <c r="AP552" s="255">
        <f t="shared" si="88"/>
        <v>140</v>
      </c>
      <c r="AQ552" s="256">
        <f t="shared" si="89"/>
        <v>1590313</v>
      </c>
      <c r="AR552" s="257">
        <f t="shared" si="90"/>
        <v>140</v>
      </c>
      <c r="AS552" s="258">
        <f t="shared" si="91"/>
        <v>1578638</v>
      </c>
      <c r="AT552" s="259">
        <v>54</v>
      </c>
      <c r="AU552" s="253">
        <v>326457</v>
      </c>
      <c r="AV552" s="267">
        <v>56</v>
      </c>
      <c r="AW552" s="268">
        <v>339213</v>
      </c>
      <c r="AX552" s="252">
        <v>39</v>
      </c>
      <c r="AY552" s="253">
        <v>261056</v>
      </c>
      <c r="AZ552" s="267">
        <v>40</v>
      </c>
      <c r="BA552" s="268">
        <v>293749</v>
      </c>
      <c r="BB552" s="252">
        <v>38</v>
      </c>
      <c r="BC552" s="253">
        <v>15958</v>
      </c>
      <c r="BD552" s="267">
        <v>39</v>
      </c>
      <c r="BE552" s="268">
        <v>14802</v>
      </c>
      <c r="BF552" s="252">
        <v>38</v>
      </c>
      <c r="BG552" s="253">
        <v>36255</v>
      </c>
      <c r="BH552" s="267">
        <v>39</v>
      </c>
      <c r="BI552" s="268">
        <v>37514</v>
      </c>
      <c r="BJ552" s="252">
        <v>39</v>
      </c>
      <c r="BK552" s="253">
        <v>1780</v>
      </c>
      <c r="BL552" s="267">
        <v>40</v>
      </c>
      <c r="BM552" s="268">
        <v>1850</v>
      </c>
      <c r="BN552" s="252">
        <v>38</v>
      </c>
      <c r="BO552" s="253">
        <v>15906</v>
      </c>
      <c r="BP552" s="267">
        <v>39</v>
      </c>
      <c r="BQ552" s="268">
        <v>17684</v>
      </c>
      <c r="BR552" s="252">
        <v>39</v>
      </c>
      <c r="BS552" s="253">
        <v>18387</v>
      </c>
      <c r="BT552" s="267">
        <v>40</v>
      </c>
      <c r="BU552" s="268">
        <v>18548</v>
      </c>
      <c r="BV552" s="252">
        <v>1</v>
      </c>
      <c r="BW552" s="253">
        <v>276</v>
      </c>
      <c r="BX552" s="267">
        <v>1</v>
      </c>
      <c r="BY552" s="268">
        <v>350</v>
      </c>
      <c r="BZ552" s="252"/>
      <c r="CA552" s="253"/>
      <c r="CB552" s="267"/>
      <c r="CC552" s="268"/>
      <c r="CD552" s="255">
        <f t="shared" si="92"/>
        <v>54</v>
      </c>
      <c r="CE552" s="256">
        <f t="shared" si="93"/>
        <v>676075</v>
      </c>
      <c r="CF552" s="257">
        <f t="shared" si="94"/>
        <v>56</v>
      </c>
      <c r="CG552" s="261">
        <f t="shared" si="95"/>
        <v>723710</v>
      </c>
    </row>
    <row r="553" spans="1:85" s="263" customFormat="1" ht="12.75" customHeight="1">
      <c r="A553" s="447" t="s">
        <v>346</v>
      </c>
      <c r="B553" s="446" t="s">
        <v>392</v>
      </c>
      <c r="C553" s="446"/>
      <c r="D553" s="448">
        <v>409315</v>
      </c>
      <c r="E553" s="449">
        <v>7</v>
      </c>
      <c r="F553" s="252">
        <v>436</v>
      </c>
      <c r="G553" s="253">
        <v>1414795</v>
      </c>
      <c r="H553" s="267">
        <v>495</v>
      </c>
      <c r="I553" s="268">
        <v>1677394</v>
      </c>
      <c r="J553" s="252">
        <v>407</v>
      </c>
      <c r="K553" s="253">
        <v>2425058</v>
      </c>
      <c r="L553" s="267">
        <v>437</v>
      </c>
      <c r="M553" s="268">
        <v>2826294</v>
      </c>
      <c r="N553" s="252"/>
      <c r="O553" s="253"/>
      <c r="P553" s="267"/>
      <c r="Q553" s="268"/>
      <c r="R553" s="252">
        <v>447</v>
      </c>
      <c r="S553" s="253">
        <v>1726602</v>
      </c>
      <c r="T553" s="267">
        <v>510</v>
      </c>
      <c r="U553" s="268">
        <v>1994923</v>
      </c>
      <c r="V553" s="252">
        <v>447</v>
      </c>
      <c r="W553" s="253">
        <v>225700</v>
      </c>
      <c r="X553" s="267">
        <v>510</v>
      </c>
      <c r="Y553" s="268">
        <v>260774</v>
      </c>
      <c r="Z553" s="252">
        <v>407</v>
      </c>
      <c r="AA553" s="253">
        <v>10842</v>
      </c>
      <c r="AB553" s="267">
        <v>437</v>
      </c>
      <c r="AC553" s="268">
        <v>11802</v>
      </c>
      <c r="AD553" s="252">
        <v>447</v>
      </c>
      <c r="AE553" s="253">
        <v>225700</v>
      </c>
      <c r="AF553" s="267">
        <v>510</v>
      </c>
      <c r="AG553" s="268">
        <v>260774</v>
      </c>
      <c r="AH553" s="252">
        <v>35</v>
      </c>
      <c r="AI553" s="253">
        <v>29181</v>
      </c>
      <c r="AJ553" s="267">
        <v>38</v>
      </c>
      <c r="AK553" s="268">
        <v>33736</v>
      </c>
      <c r="AL553" s="252"/>
      <c r="AM553" s="253"/>
      <c r="AN553" s="267"/>
      <c r="AO553" s="268"/>
      <c r="AP553" s="255">
        <f t="shared" si="88"/>
        <v>447</v>
      </c>
      <c r="AQ553" s="256">
        <f t="shared" si="89"/>
        <v>6057878</v>
      </c>
      <c r="AR553" s="257">
        <f t="shared" si="90"/>
        <v>510</v>
      </c>
      <c r="AS553" s="258">
        <f t="shared" si="91"/>
        <v>7065697</v>
      </c>
      <c r="AT553" s="259">
        <v>54</v>
      </c>
      <c r="AU553" s="253">
        <v>229484</v>
      </c>
      <c r="AV553" s="267">
        <v>34</v>
      </c>
      <c r="AW553" s="268">
        <v>150962</v>
      </c>
      <c r="AX553" s="252">
        <v>48</v>
      </c>
      <c r="AY553" s="253">
        <v>305464</v>
      </c>
      <c r="AZ553" s="267">
        <v>33</v>
      </c>
      <c r="BA553" s="268">
        <v>233799</v>
      </c>
      <c r="BB553" s="252"/>
      <c r="BC553" s="253"/>
      <c r="BD553" s="267"/>
      <c r="BE553" s="268"/>
      <c r="BF553" s="252">
        <v>54</v>
      </c>
      <c r="BG553" s="253">
        <v>268451</v>
      </c>
      <c r="BH553" s="267">
        <v>35</v>
      </c>
      <c r="BI553" s="268">
        <v>170363</v>
      </c>
      <c r="BJ553" s="252">
        <v>54</v>
      </c>
      <c r="BK553" s="253">
        <v>35092</v>
      </c>
      <c r="BL553" s="267">
        <v>35</v>
      </c>
      <c r="BM553" s="268">
        <v>22269</v>
      </c>
      <c r="BN553" s="252">
        <v>48</v>
      </c>
      <c r="BO553" s="253">
        <v>1279</v>
      </c>
      <c r="BP553" s="267">
        <v>33</v>
      </c>
      <c r="BQ553" s="268">
        <v>720</v>
      </c>
      <c r="BR553" s="252">
        <v>54</v>
      </c>
      <c r="BS553" s="253">
        <v>35092</v>
      </c>
      <c r="BT553" s="267">
        <v>35</v>
      </c>
      <c r="BU553" s="268">
        <v>22269</v>
      </c>
      <c r="BV553" s="252">
        <v>1</v>
      </c>
      <c r="BW553" s="253">
        <v>1090</v>
      </c>
      <c r="BX553" s="267">
        <v>1</v>
      </c>
      <c r="BY553" s="268">
        <v>563</v>
      </c>
      <c r="BZ553" s="252"/>
      <c r="CA553" s="253"/>
      <c r="CB553" s="267"/>
      <c r="CC553" s="268"/>
      <c r="CD553" s="255">
        <f t="shared" si="92"/>
        <v>54</v>
      </c>
      <c r="CE553" s="256">
        <f t="shared" si="93"/>
        <v>875952</v>
      </c>
      <c r="CF553" s="257">
        <f t="shared" si="94"/>
        <v>35</v>
      </c>
      <c r="CG553" s="261">
        <f t="shared" si="95"/>
        <v>600945</v>
      </c>
    </row>
    <row r="554" spans="1:85" s="263" customFormat="1" ht="12.75" customHeight="1">
      <c r="A554" s="444" t="s">
        <v>346</v>
      </c>
      <c r="B554" s="411" t="s">
        <v>378</v>
      </c>
      <c r="C554" s="411"/>
      <c r="D554" s="412">
        <v>222576</v>
      </c>
      <c r="E554" s="290">
        <v>8</v>
      </c>
      <c r="F554" s="252">
        <v>187</v>
      </c>
      <c r="G554" s="253">
        <v>600607</v>
      </c>
      <c r="H554" s="267">
        <v>182</v>
      </c>
      <c r="I554" s="268">
        <v>608413</v>
      </c>
      <c r="J554" s="252">
        <v>178</v>
      </c>
      <c r="K554" s="253">
        <v>1092454</v>
      </c>
      <c r="L554" s="267">
        <v>178</v>
      </c>
      <c r="M554" s="268">
        <v>1088040</v>
      </c>
      <c r="N554" s="252"/>
      <c r="O554" s="253"/>
      <c r="P554" s="267"/>
      <c r="Q554" s="268"/>
      <c r="R554" s="252"/>
      <c r="S554" s="253"/>
      <c r="T554" s="267"/>
      <c r="U554" s="268"/>
      <c r="V554" s="252">
        <v>187</v>
      </c>
      <c r="W554" s="253">
        <v>8415</v>
      </c>
      <c r="X554" s="267">
        <v>182</v>
      </c>
      <c r="Y554" s="268">
        <v>34398</v>
      </c>
      <c r="Z554" s="252">
        <v>0</v>
      </c>
      <c r="AA554" s="253">
        <v>0</v>
      </c>
      <c r="AB554" s="267">
        <v>0</v>
      </c>
      <c r="AC554" s="268">
        <v>0</v>
      </c>
      <c r="AD554" s="252">
        <v>187</v>
      </c>
      <c r="AE554" s="253">
        <v>95256</v>
      </c>
      <c r="AF554" s="267">
        <v>182</v>
      </c>
      <c r="AG554" s="268">
        <v>96190</v>
      </c>
      <c r="AH554" s="252">
        <v>31</v>
      </c>
      <c r="AI554" s="253">
        <v>11031</v>
      </c>
      <c r="AJ554" s="267">
        <v>30</v>
      </c>
      <c r="AK554" s="268">
        <v>14530</v>
      </c>
      <c r="AL554" s="252"/>
      <c r="AM554" s="253"/>
      <c r="AN554" s="267"/>
      <c r="AO554" s="268"/>
      <c r="AP554" s="255">
        <f t="shared" si="88"/>
        <v>187</v>
      </c>
      <c r="AQ554" s="256">
        <f t="shared" si="89"/>
        <v>1807763</v>
      </c>
      <c r="AR554" s="257">
        <f t="shared" si="90"/>
        <v>182</v>
      </c>
      <c r="AS554" s="258">
        <f t="shared" si="91"/>
        <v>1841571</v>
      </c>
      <c r="AT554" s="259">
        <v>48</v>
      </c>
      <c r="AU554" s="253">
        <v>201775</v>
      </c>
      <c r="AV554" s="267">
        <v>43</v>
      </c>
      <c r="AW554" s="268">
        <v>189400</v>
      </c>
      <c r="AX554" s="252">
        <v>46</v>
      </c>
      <c r="AY554" s="253">
        <v>198428</v>
      </c>
      <c r="AZ554" s="267">
        <v>43</v>
      </c>
      <c r="BA554" s="268">
        <v>290179</v>
      </c>
      <c r="BB554" s="252"/>
      <c r="BC554" s="253"/>
      <c r="BD554" s="267"/>
      <c r="BE554" s="268"/>
      <c r="BF554" s="252"/>
      <c r="BG554" s="253"/>
      <c r="BH554" s="267"/>
      <c r="BI554" s="268"/>
      <c r="BJ554" s="252">
        <v>48</v>
      </c>
      <c r="BK554" s="253">
        <v>2160</v>
      </c>
      <c r="BL554" s="267">
        <v>43</v>
      </c>
      <c r="BM554" s="268">
        <v>8127</v>
      </c>
      <c r="BN554" s="252">
        <v>0</v>
      </c>
      <c r="BO554" s="253">
        <v>0</v>
      </c>
      <c r="BP554" s="267">
        <v>0</v>
      </c>
      <c r="BQ554" s="268">
        <v>0</v>
      </c>
      <c r="BR554" s="252">
        <v>48</v>
      </c>
      <c r="BS554" s="253">
        <v>31665</v>
      </c>
      <c r="BT554" s="267">
        <v>43</v>
      </c>
      <c r="BU554" s="268">
        <v>27590</v>
      </c>
      <c r="BV554" s="252">
        <v>3</v>
      </c>
      <c r="BW554" s="253">
        <v>1589</v>
      </c>
      <c r="BX554" s="267">
        <v>3</v>
      </c>
      <c r="BY554" s="268">
        <v>1855</v>
      </c>
      <c r="BZ554" s="252"/>
      <c r="CA554" s="253"/>
      <c r="CB554" s="267"/>
      <c r="CC554" s="268"/>
      <c r="CD554" s="255">
        <f t="shared" si="92"/>
        <v>48</v>
      </c>
      <c r="CE554" s="256">
        <f t="shared" si="93"/>
        <v>435617</v>
      </c>
      <c r="CF554" s="257">
        <f t="shared" si="94"/>
        <v>43</v>
      </c>
      <c r="CG554" s="261">
        <f t="shared" si="95"/>
        <v>517151</v>
      </c>
    </row>
    <row r="555" spans="1:85" s="263" customFormat="1" ht="12.75" customHeight="1">
      <c r="A555" s="444" t="s">
        <v>346</v>
      </c>
      <c r="B555" s="411" t="s">
        <v>379</v>
      </c>
      <c r="C555" s="411"/>
      <c r="D555" s="412">
        <v>222992</v>
      </c>
      <c r="E555" s="290">
        <v>8</v>
      </c>
      <c r="F555" s="252">
        <v>59</v>
      </c>
      <c r="G555" s="253">
        <v>253237</v>
      </c>
      <c r="H555" s="267">
        <v>132</v>
      </c>
      <c r="I555" s="268">
        <v>571750</v>
      </c>
      <c r="J555" s="252">
        <v>59</v>
      </c>
      <c r="K555" s="253">
        <v>307864</v>
      </c>
      <c r="L555" s="267">
        <v>120</v>
      </c>
      <c r="M555" s="268">
        <v>709344</v>
      </c>
      <c r="N555" s="252">
        <v>59</v>
      </c>
      <c r="O555" s="253">
        <v>15481</v>
      </c>
      <c r="P555" s="267">
        <v>120</v>
      </c>
      <c r="Q555" s="268">
        <v>31866</v>
      </c>
      <c r="R555" s="252">
        <v>57</v>
      </c>
      <c r="S555" s="253">
        <v>48883</v>
      </c>
      <c r="T555" s="267">
        <v>124</v>
      </c>
      <c r="U555" s="268">
        <v>105596</v>
      </c>
      <c r="V555" s="252">
        <v>61</v>
      </c>
      <c r="W555" s="253">
        <v>2196</v>
      </c>
      <c r="X555" s="267">
        <v>132</v>
      </c>
      <c r="Y555" s="268">
        <v>4752</v>
      </c>
      <c r="Z555" s="252">
        <v>59</v>
      </c>
      <c r="AA555" s="253">
        <v>23577</v>
      </c>
      <c r="AB555" s="267">
        <v>122</v>
      </c>
      <c r="AC555" s="268">
        <v>57960</v>
      </c>
      <c r="AD555" s="252">
        <v>61</v>
      </c>
      <c r="AE555" s="253">
        <v>2074</v>
      </c>
      <c r="AF555" s="267">
        <v>132</v>
      </c>
      <c r="AG555" s="268">
        <v>5148</v>
      </c>
      <c r="AH555" s="252">
        <v>0</v>
      </c>
      <c r="AI555" s="253">
        <v>0</v>
      </c>
      <c r="AJ555" s="267">
        <v>0</v>
      </c>
      <c r="AK555" s="268">
        <v>0</v>
      </c>
      <c r="AL555" s="252"/>
      <c r="AM555" s="253"/>
      <c r="AN555" s="267"/>
      <c r="AO555" s="268"/>
      <c r="AP555" s="255">
        <f t="shared" si="88"/>
        <v>61</v>
      </c>
      <c r="AQ555" s="256">
        <f t="shared" si="89"/>
        <v>653312</v>
      </c>
      <c r="AR555" s="257">
        <f t="shared" si="90"/>
        <v>132</v>
      </c>
      <c r="AS555" s="258">
        <f t="shared" si="91"/>
        <v>1486416</v>
      </c>
      <c r="AT555" s="259">
        <v>493</v>
      </c>
      <c r="AU555" s="253">
        <v>2614930</v>
      </c>
      <c r="AV555" s="267">
        <v>1044</v>
      </c>
      <c r="AW555" s="268">
        <v>5482666</v>
      </c>
      <c r="AX555" s="252">
        <v>490</v>
      </c>
      <c r="AY555" s="253">
        <v>2887548</v>
      </c>
      <c r="AZ555" s="267">
        <v>1040</v>
      </c>
      <c r="BA555" s="268">
        <v>6585034</v>
      </c>
      <c r="BB555" s="252">
        <v>492</v>
      </c>
      <c r="BC555" s="253">
        <v>157756</v>
      </c>
      <c r="BD555" s="267">
        <v>1044</v>
      </c>
      <c r="BE555" s="268">
        <v>328776</v>
      </c>
      <c r="BF555" s="252">
        <v>424</v>
      </c>
      <c r="BG555" s="253">
        <v>432404</v>
      </c>
      <c r="BH555" s="267">
        <v>910</v>
      </c>
      <c r="BI555" s="268">
        <v>914146</v>
      </c>
      <c r="BJ555" s="252">
        <v>494</v>
      </c>
      <c r="BK555" s="253">
        <v>17784</v>
      </c>
      <c r="BL555" s="267">
        <v>1046</v>
      </c>
      <c r="BM555" s="268">
        <v>37656</v>
      </c>
      <c r="BN555" s="252">
        <v>491</v>
      </c>
      <c r="BO555" s="253">
        <v>187911</v>
      </c>
      <c r="BP555" s="267">
        <v>1042</v>
      </c>
      <c r="BQ555" s="268">
        <v>398370</v>
      </c>
      <c r="BR555" s="252">
        <v>494</v>
      </c>
      <c r="BS555" s="253">
        <v>16796</v>
      </c>
      <c r="BT555" s="267">
        <v>1046</v>
      </c>
      <c r="BU555" s="268">
        <v>40794</v>
      </c>
      <c r="BV555" s="252">
        <v>0</v>
      </c>
      <c r="BW555" s="253">
        <v>0</v>
      </c>
      <c r="BX555" s="267">
        <v>0</v>
      </c>
      <c r="BY555" s="268">
        <v>0</v>
      </c>
      <c r="BZ555" s="252"/>
      <c r="CA555" s="253"/>
      <c r="CB555" s="267"/>
      <c r="CC555" s="268"/>
      <c r="CD555" s="255">
        <f t="shared" si="92"/>
        <v>494</v>
      </c>
      <c r="CE555" s="256">
        <f t="shared" si="93"/>
        <v>6315129</v>
      </c>
      <c r="CF555" s="257">
        <f t="shared" si="94"/>
        <v>1046</v>
      </c>
      <c r="CG555" s="261">
        <f t="shared" si="95"/>
        <v>13787442</v>
      </c>
    </row>
    <row r="556" spans="1:85" s="263" customFormat="1" ht="12.75" customHeight="1">
      <c r="A556" s="444" t="s">
        <v>346</v>
      </c>
      <c r="B556" s="411" t="s">
        <v>380</v>
      </c>
      <c r="C556" s="411"/>
      <c r="D556" s="412">
        <v>223427</v>
      </c>
      <c r="E556" s="290">
        <v>8</v>
      </c>
      <c r="F556" s="252">
        <v>283</v>
      </c>
      <c r="G556" s="253">
        <v>1082662</v>
      </c>
      <c r="H556" s="267">
        <v>300</v>
      </c>
      <c r="I556" s="268">
        <v>1148863</v>
      </c>
      <c r="J556" s="252">
        <v>264</v>
      </c>
      <c r="K556" s="253">
        <v>1587585</v>
      </c>
      <c r="L556" s="267">
        <v>283</v>
      </c>
      <c r="M556" s="268">
        <v>1772457</v>
      </c>
      <c r="N556" s="252"/>
      <c r="O556" s="253"/>
      <c r="P556" s="267"/>
      <c r="Q556" s="268"/>
      <c r="R556" s="252">
        <v>290</v>
      </c>
      <c r="S556" s="253">
        <v>1211610</v>
      </c>
      <c r="T556" s="267">
        <v>307</v>
      </c>
      <c r="U556" s="268">
        <v>1290883</v>
      </c>
      <c r="V556" s="252">
        <v>290</v>
      </c>
      <c r="W556" s="253">
        <v>7802</v>
      </c>
      <c r="X556" s="267">
        <v>307</v>
      </c>
      <c r="Y556" s="268">
        <v>8350</v>
      </c>
      <c r="Z556" s="252">
        <v>273</v>
      </c>
      <c r="AA556" s="253">
        <v>116691</v>
      </c>
      <c r="AB556" s="267">
        <v>290</v>
      </c>
      <c r="AC556" s="268">
        <v>123168</v>
      </c>
      <c r="AD556" s="252">
        <v>286</v>
      </c>
      <c r="AE556" s="253">
        <v>101331</v>
      </c>
      <c r="AF556" s="267">
        <v>303</v>
      </c>
      <c r="AG556" s="268">
        <v>108410</v>
      </c>
      <c r="AH556" s="252">
        <v>0</v>
      </c>
      <c r="AI556" s="253">
        <v>0</v>
      </c>
      <c r="AJ556" s="267">
        <v>0</v>
      </c>
      <c r="AK556" s="268">
        <v>0</v>
      </c>
      <c r="AL556" s="252"/>
      <c r="AM556" s="253"/>
      <c r="AN556" s="267"/>
      <c r="AO556" s="268"/>
      <c r="AP556" s="255">
        <f t="shared" si="88"/>
        <v>290</v>
      </c>
      <c r="AQ556" s="256">
        <f t="shared" si="89"/>
        <v>4107681</v>
      </c>
      <c r="AR556" s="257">
        <f t="shared" si="90"/>
        <v>307</v>
      </c>
      <c r="AS556" s="258">
        <f t="shared" si="91"/>
        <v>4452131</v>
      </c>
      <c r="AT556" s="259">
        <v>46</v>
      </c>
      <c r="AU556" s="253">
        <v>152617</v>
      </c>
      <c r="AV556" s="267">
        <v>46</v>
      </c>
      <c r="AW556" s="268">
        <v>162882</v>
      </c>
      <c r="AX556" s="252">
        <v>46</v>
      </c>
      <c r="AY556" s="253">
        <v>279564</v>
      </c>
      <c r="AZ556" s="267">
        <v>46</v>
      </c>
      <c r="BA556" s="268">
        <v>304032</v>
      </c>
      <c r="BB556" s="252"/>
      <c r="BC556" s="253"/>
      <c r="BD556" s="267"/>
      <c r="BE556" s="268"/>
      <c r="BF556" s="252">
        <v>47</v>
      </c>
      <c r="BG556" s="253">
        <v>178052</v>
      </c>
      <c r="BH556" s="267">
        <v>47</v>
      </c>
      <c r="BI556" s="268">
        <v>190185</v>
      </c>
      <c r="BJ556" s="252">
        <v>47</v>
      </c>
      <c r="BK556" s="253">
        <v>1143</v>
      </c>
      <c r="BL556" s="267">
        <v>47</v>
      </c>
      <c r="BM556" s="268">
        <v>1221</v>
      </c>
      <c r="BN556" s="252">
        <v>47</v>
      </c>
      <c r="BO556" s="253">
        <v>10476</v>
      </c>
      <c r="BP556" s="267">
        <v>47</v>
      </c>
      <c r="BQ556" s="268">
        <v>11004</v>
      </c>
      <c r="BR556" s="252">
        <v>47</v>
      </c>
      <c r="BS556" s="253">
        <v>15037</v>
      </c>
      <c r="BT556" s="267">
        <v>47</v>
      </c>
      <c r="BU556" s="268">
        <v>16060</v>
      </c>
      <c r="BV556" s="252">
        <v>0</v>
      </c>
      <c r="BW556" s="253">
        <v>0</v>
      </c>
      <c r="BX556" s="267">
        <v>0</v>
      </c>
      <c r="BY556" s="268">
        <v>0</v>
      </c>
      <c r="BZ556" s="252"/>
      <c r="CA556" s="253"/>
      <c r="CB556" s="267"/>
      <c r="CC556" s="268"/>
      <c r="CD556" s="255">
        <f t="shared" si="92"/>
        <v>47</v>
      </c>
      <c r="CE556" s="256">
        <f t="shared" si="93"/>
        <v>636889</v>
      </c>
      <c r="CF556" s="257">
        <f t="shared" si="94"/>
        <v>47</v>
      </c>
      <c r="CG556" s="261">
        <f t="shared" si="95"/>
        <v>685384</v>
      </c>
    </row>
    <row r="557" spans="1:85" s="263" customFormat="1" ht="12.75" customHeight="1">
      <c r="A557" s="444" t="s">
        <v>346</v>
      </c>
      <c r="B557" s="411" t="s">
        <v>1049</v>
      </c>
      <c r="C557" s="411"/>
      <c r="D557" s="412">
        <v>223524</v>
      </c>
      <c r="E557" s="290">
        <v>8</v>
      </c>
      <c r="F557" s="252">
        <v>123</v>
      </c>
      <c r="G557" s="253">
        <v>537541</v>
      </c>
      <c r="H557" s="267">
        <v>131</v>
      </c>
      <c r="I557" s="268">
        <v>565748</v>
      </c>
      <c r="J557" s="252">
        <v>122</v>
      </c>
      <c r="K557" s="253">
        <v>725478</v>
      </c>
      <c r="L557" s="267">
        <v>130</v>
      </c>
      <c r="M557" s="268">
        <v>823872</v>
      </c>
      <c r="N557" s="252"/>
      <c r="O557" s="253"/>
      <c r="P557" s="267"/>
      <c r="Q557" s="268"/>
      <c r="R557" s="252"/>
      <c r="S557" s="253"/>
      <c r="T557" s="267"/>
      <c r="U557" s="268"/>
      <c r="V557" s="252">
        <v>123</v>
      </c>
      <c r="W557" s="253">
        <v>72119</v>
      </c>
      <c r="X557" s="267">
        <v>131</v>
      </c>
      <c r="Y557" s="268">
        <v>75716</v>
      </c>
      <c r="Z557" s="252">
        <v>246</v>
      </c>
      <c r="AA557" s="253">
        <v>5078</v>
      </c>
      <c r="AB557" s="267">
        <v>262</v>
      </c>
      <c r="AC557" s="268">
        <v>5471</v>
      </c>
      <c r="AD557" s="252">
        <v>123</v>
      </c>
      <c r="AE557" s="253">
        <v>72119</v>
      </c>
      <c r="AF557" s="267">
        <v>131</v>
      </c>
      <c r="AG557" s="268">
        <v>75716</v>
      </c>
      <c r="AH557" s="252">
        <v>0</v>
      </c>
      <c r="AI557" s="253">
        <v>0</v>
      </c>
      <c r="AJ557" s="267">
        <v>0</v>
      </c>
      <c r="AK557" s="268">
        <v>0</v>
      </c>
      <c r="AL557" s="252"/>
      <c r="AM557" s="253"/>
      <c r="AN557" s="267"/>
      <c r="AO557" s="268"/>
      <c r="AP557" s="255">
        <f t="shared" si="88"/>
        <v>246</v>
      </c>
      <c r="AQ557" s="256">
        <f t="shared" si="89"/>
        <v>1412335</v>
      </c>
      <c r="AR557" s="257">
        <f t="shared" si="90"/>
        <v>262</v>
      </c>
      <c r="AS557" s="258">
        <f t="shared" si="91"/>
        <v>1546523</v>
      </c>
      <c r="AT557" s="259"/>
      <c r="AU557" s="253"/>
      <c r="AV557" s="267">
        <v>0</v>
      </c>
      <c r="AW557" s="268">
        <v>0</v>
      </c>
      <c r="AX557" s="252"/>
      <c r="AY557" s="253"/>
      <c r="AZ557" s="267"/>
      <c r="BA557" s="268"/>
      <c r="BB557" s="252"/>
      <c r="BC557" s="253"/>
      <c r="BD557" s="267"/>
      <c r="BE557" s="268"/>
      <c r="BF557" s="252"/>
      <c r="BG557" s="253"/>
      <c r="BH557" s="267"/>
      <c r="BI557" s="268"/>
      <c r="BJ557" s="252"/>
      <c r="BK557" s="253"/>
      <c r="BL557" s="267"/>
      <c r="BM557" s="268"/>
      <c r="BN557" s="252"/>
      <c r="BO557" s="253"/>
      <c r="BP557" s="267">
        <v>0</v>
      </c>
      <c r="BQ557" s="268">
        <v>0</v>
      </c>
      <c r="BR557" s="252"/>
      <c r="BS557" s="253"/>
      <c r="BT557" s="267"/>
      <c r="BU557" s="268"/>
      <c r="BV557" s="252"/>
      <c r="BW557" s="253"/>
      <c r="BX557" s="267">
        <v>0</v>
      </c>
      <c r="BY557" s="268">
        <v>0</v>
      </c>
      <c r="BZ557" s="252"/>
      <c r="CA557" s="253"/>
      <c r="CB557" s="267"/>
      <c r="CC557" s="268"/>
      <c r="CD557" s="255">
        <f t="shared" si="92"/>
        <v>0</v>
      </c>
      <c r="CE557" s="256">
        <f t="shared" si="93"/>
        <v>0</v>
      </c>
      <c r="CF557" s="257">
        <f t="shared" si="94"/>
        <v>0</v>
      </c>
      <c r="CG557" s="261">
        <f t="shared" si="95"/>
        <v>0</v>
      </c>
    </row>
    <row r="558" spans="1:85" s="263" customFormat="1" ht="12.75" customHeight="1">
      <c r="A558" s="444" t="s">
        <v>346</v>
      </c>
      <c r="B558" s="411" t="s">
        <v>381</v>
      </c>
      <c r="C558" s="411"/>
      <c r="D558" s="412">
        <v>223816</v>
      </c>
      <c r="E558" s="290">
        <v>8</v>
      </c>
      <c r="F558" s="252">
        <v>81</v>
      </c>
      <c r="G558" s="253">
        <v>637147</v>
      </c>
      <c r="H558" s="267">
        <v>82</v>
      </c>
      <c r="I558" s="268">
        <v>634291</v>
      </c>
      <c r="J558" s="252">
        <v>69</v>
      </c>
      <c r="K558" s="253">
        <v>453441</v>
      </c>
      <c r="L558" s="267">
        <v>67</v>
      </c>
      <c r="M558" s="268">
        <v>451657</v>
      </c>
      <c r="N558" s="252"/>
      <c r="O558" s="253"/>
      <c r="P558" s="267"/>
      <c r="Q558" s="268"/>
      <c r="R558" s="252"/>
      <c r="S558" s="253"/>
      <c r="T558" s="267"/>
      <c r="U558" s="268"/>
      <c r="V558" s="252">
        <v>81</v>
      </c>
      <c r="W558" s="253">
        <v>3645</v>
      </c>
      <c r="X558" s="267">
        <v>82</v>
      </c>
      <c r="Y558" s="268">
        <v>15498</v>
      </c>
      <c r="Z558" s="252">
        <v>81</v>
      </c>
      <c r="AA558" s="253">
        <v>34682</v>
      </c>
      <c r="AB558" s="267">
        <v>82</v>
      </c>
      <c r="AC558" s="268">
        <v>12640</v>
      </c>
      <c r="AD558" s="252">
        <v>81</v>
      </c>
      <c r="AE558" s="253">
        <v>72255</v>
      </c>
      <c r="AF558" s="267">
        <v>82</v>
      </c>
      <c r="AG558" s="268">
        <v>71820</v>
      </c>
      <c r="AH558" s="252">
        <v>9</v>
      </c>
      <c r="AI558" s="253">
        <v>3874</v>
      </c>
      <c r="AJ558" s="267">
        <v>6</v>
      </c>
      <c r="AK558" s="268">
        <v>3386</v>
      </c>
      <c r="AL558" s="252"/>
      <c r="AM558" s="253"/>
      <c r="AN558" s="267"/>
      <c r="AO558" s="268"/>
      <c r="AP558" s="255">
        <f t="shared" si="88"/>
        <v>81</v>
      </c>
      <c r="AQ558" s="256">
        <f t="shared" si="89"/>
        <v>1205044</v>
      </c>
      <c r="AR558" s="257">
        <f t="shared" si="90"/>
        <v>82</v>
      </c>
      <c r="AS558" s="258">
        <f t="shared" si="91"/>
        <v>1189292</v>
      </c>
      <c r="AT558" s="259">
        <v>170</v>
      </c>
      <c r="AU558" s="253">
        <v>1147278</v>
      </c>
      <c r="AV558" s="267">
        <v>165</v>
      </c>
      <c r="AW558" s="268">
        <v>1170102</v>
      </c>
      <c r="AX558" s="252">
        <v>80</v>
      </c>
      <c r="AY558" s="253">
        <v>521154</v>
      </c>
      <c r="AZ558" s="267">
        <v>77</v>
      </c>
      <c r="BA558" s="268">
        <v>515158</v>
      </c>
      <c r="BB558" s="252"/>
      <c r="BC558" s="253"/>
      <c r="BD558" s="267"/>
      <c r="BE558" s="268"/>
      <c r="BF558" s="252"/>
      <c r="BG558" s="253"/>
      <c r="BH558" s="267"/>
      <c r="BI558" s="268"/>
      <c r="BJ558" s="252">
        <v>170</v>
      </c>
      <c r="BK558" s="253">
        <v>7650</v>
      </c>
      <c r="BL558" s="267">
        <v>165</v>
      </c>
      <c r="BM558" s="268">
        <v>31185</v>
      </c>
      <c r="BN558" s="252">
        <v>170</v>
      </c>
      <c r="BO558" s="253">
        <v>69366</v>
      </c>
      <c r="BP558" s="267">
        <v>165</v>
      </c>
      <c r="BQ558" s="268">
        <v>25438</v>
      </c>
      <c r="BR558" s="252">
        <v>170</v>
      </c>
      <c r="BS558" s="253">
        <v>144506</v>
      </c>
      <c r="BT558" s="267">
        <v>165</v>
      </c>
      <c r="BU558" s="268">
        <v>144538</v>
      </c>
      <c r="BV558" s="252">
        <v>21</v>
      </c>
      <c r="BW558" s="253">
        <v>13153</v>
      </c>
      <c r="BX558" s="267">
        <v>15</v>
      </c>
      <c r="BY558" s="268">
        <v>10843</v>
      </c>
      <c r="BZ558" s="252"/>
      <c r="CA558" s="253"/>
      <c r="CB558" s="267"/>
      <c r="CC558" s="268"/>
      <c r="CD558" s="255">
        <f t="shared" si="92"/>
        <v>170</v>
      </c>
      <c r="CE558" s="256">
        <f t="shared" si="93"/>
        <v>1903107</v>
      </c>
      <c r="CF558" s="257">
        <f t="shared" si="94"/>
        <v>165</v>
      </c>
      <c r="CG558" s="261">
        <f t="shared" si="95"/>
        <v>1897264</v>
      </c>
    </row>
    <row r="559" spans="1:85" s="263" customFormat="1" ht="12.75" customHeight="1">
      <c r="A559" s="444" t="s">
        <v>346</v>
      </c>
      <c r="B559" s="411" t="s">
        <v>382</v>
      </c>
      <c r="C559" s="411"/>
      <c r="D559" s="412">
        <v>247834</v>
      </c>
      <c r="E559" s="290">
        <v>8</v>
      </c>
      <c r="F559" s="252">
        <v>322</v>
      </c>
      <c r="G559" s="253">
        <v>1220524</v>
      </c>
      <c r="H559" s="267">
        <v>440</v>
      </c>
      <c r="I559" s="268">
        <v>1742573</v>
      </c>
      <c r="J559" s="252">
        <v>322</v>
      </c>
      <c r="K559" s="253">
        <v>1938653</v>
      </c>
      <c r="L559" s="267">
        <v>329</v>
      </c>
      <c r="M559" s="268">
        <v>2499163</v>
      </c>
      <c r="N559" s="252"/>
      <c r="O559" s="253"/>
      <c r="P559" s="267"/>
      <c r="Q559" s="268"/>
      <c r="R559" s="252">
        <v>322</v>
      </c>
      <c r="S559" s="253">
        <v>252277</v>
      </c>
      <c r="T559" s="267">
        <v>345</v>
      </c>
      <c r="U559" s="268">
        <v>281813</v>
      </c>
      <c r="V559" s="252">
        <v>322</v>
      </c>
      <c r="W559" s="253">
        <v>6751</v>
      </c>
      <c r="X559" s="267">
        <v>345</v>
      </c>
      <c r="Y559" s="268">
        <v>7769</v>
      </c>
      <c r="Z559" s="252">
        <v>322</v>
      </c>
      <c r="AA559" s="253">
        <v>8578</v>
      </c>
      <c r="AB559" s="267">
        <v>329</v>
      </c>
      <c r="AC559" s="268">
        <v>8804</v>
      </c>
      <c r="AD559" s="252">
        <v>322</v>
      </c>
      <c r="AE559" s="253">
        <v>15170</v>
      </c>
      <c r="AF559" s="267">
        <v>345</v>
      </c>
      <c r="AG559" s="268">
        <v>19292</v>
      </c>
      <c r="AH559" s="252">
        <v>0</v>
      </c>
      <c r="AI559" s="253">
        <v>0</v>
      </c>
      <c r="AJ559" s="267">
        <v>0</v>
      </c>
      <c r="AK559" s="268">
        <v>0</v>
      </c>
      <c r="AL559" s="252"/>
      <c r="AM559" s="253"/>
      <c r="AN559" s="267"/>
      <c r="AO559" s="268"/>
      <c r="AP559" s="255">
        <f t="shared" si="88"/>
        <v>322</v>
      </c>
      <c r="AQ559" s="256">
        <f t="shared" si="89"/>
        <v>3441953</v>
      </c>
      <c r="AR559" s="257">
        <f t="shared" si="90"/>
        <v>440</v>
      </c>
      <c r="AS559" s="258">
        <f t="shared" si="91"/>
        <v>4559414</v>
      </c>
      <c r="AT559" s="259">
        <v>3</v>
      </c>
      <c r="AU559" s="253">
        <v>9518</v>
      </c>
      <c r="AV559" s="267">
        <v>2</v>
      </c>
      <c r="AW559" s="268">
        <v>6294</v>
      </c>
      <c r="AX559" s="252">
        <v>3</v>
      </c>
      <c r="AY559" s="253">
        <v>20532</v>
      </c>
      <c r="AZ559" s="267">
        <v>2</v>
      </c>
      <c r="BA559" s="268">
        <v>15192</v>
      </c>
      <c r="BB559" s="252"/>
      <c r="BC559" s="253"/>
      <c r="BD559" s="267"/>
      <c r="BE559" s="268"/>
      <c r="BF559" s="252">
        <v>3</v>
      </c>
      <c r="BG559" s="253">
        <v>2133</v>
      </c>
      <c r="BH559" s="267">
        <v>2</v>
      </c>
      <c r="BI559" s="268">
        <v>1632</v>
      </c>
      <c r="BJ559" s="252">
        <v>3</v>
      </c>
      <c r="BK559" s="253">
        <v>63</v>
      </c>
      <c r="BL559" s="267">
        <v>2</v>
      </c>
      <c r="BM559" s="268">
        <v>45</v>
      </c>
      <c r="BN559" s="252">
        <v>3</v>
      </c>
      <c r="BO559" s="253">
        <v>80</v>
      </c>
      <c r="BP559" s="267">
        <v>2</v>
      </c>
      <c r="BQ559" s="268">
        <v>54</v>
      </c>
      <c r="BR559" s="252">
        <v>3</v>
      </c>
      <c r="BS559" s="253">
        <v>156</v>
      </c>
      <c r="BT559" s="267">
        <v>2</v>
      </c>
      <c r="BU559" s="268">
        <v>112</v>
      </c>
      <c r="BV559" s="252">
        <v>0</v>
      </c>
      <c r="BW559" s="253">
        <v>0</v>
      </c>
      <c r="BX559" s="267">
        <v>0</v>
      </c>
      <c r="BY559" s="268">
        <v>0</v>
      </c>
      <c r="BZ559" s="252"/>
      <c r="CA559" s="253"/>
      <c r="CB559" s="267"/>
      <c r="CC559" s="268"/>
      <c r="CD559" s="255">
        <f t="shared" si="92"/>
        <v>3</v>
      </c>
      <c r="CE559" s="256">
        <f t="shared" si="93"/>
        <v>32482</v>
      </c>
      <c r="CF559" s="257">
        <f t="shared" si="94"/>
        <v>2</v>
      </c>
      <c r="CG559" s="261">
        <f t="shared" si="95"/>
        <v>23329</v>
      </c>
    </row>
    <row r="560" spans="1:85" s="263" customFormat="1" ht="12.75" customHeight="1">
      <c r="A560" s="444" t="s">
        <v>346</v>
      </c>
      <c r="B560" s="411" t="s">
        <v>383</v>
      </c>
      <c r="C560" s="411"/>
      <c r="D560" s="412">
        <v>224350</v>
      </c>
      <c r="E560" s="290">
        <v>8</v>
      </c>
      <c r="F560" s="252">
        <v>290</v>
      </c>
      <c r="G560" s="253">
        <v>1259511</v>
      </c>
      <c r="H560" s="267">
        <v>283</v>
      </c>
      <c r="I560" s="268">
        <v>1229069</v>
      </c>
      <c r="J560" s="252">
        <v>290</v>
      </c>
      <c r="K560" s="253">
        <v>1553704</v>
      </c>
      <c r="L560" s="267">
        <v>283</v>
      </c>
      <c r="M560" s="268">
        <v>1516314</v>
      </c>
      <c r="N560" s="252">
        <v>290</v>
      </c>
      <c r="O560" s="253">
        <v>142572</v>
      </c>
      <c r="P560" s="267">
        <v>283</v>
      </c>
      <c r="Q560" s="268">
        <v>139236</v>
      </c>
      <c r="R560" s="252">
        <v>290</v>
      </c>
      <c r="S560" s="253">
        <v>1211858</v>
      </c>
      <c r="T560" s="267">
        <v>283</v>
      </c>
      <c r="U560" s="268">
        <v>1182657</v>
      </c>
      <c r="V560" s="252">
        <v>290</v>
      </c>
      <c r="W560" s="253">
        <v>20594</v>
      </c>
      <c r="X560" s="267">
        <v>283</v>
      </c>
      <c r="Y560" s="268">
        <v>20093</v>
      </c>
      <c r="Z560" s="252">
        <v>290</v>
      </c>
      <c r="AA560" s="253">
        <v>66100</v>
      </c>
      <c r="AB560" s="267">
        <v>283</v>
      </c>
      <c r="AC560" s="268">
        <v>64524</v>
      </c>
      <c r="AD560" s="252">
        <v>290</v>
      </c>
      <c r="AE560" s="253">
        <v>76038</v>
      </c>
      <c r="AF560" s="267">
        <v>283</v>
      </c>
      <c r="AG560" s="268">
        <v>74146</v>
      </c>
      <c r="AH560" s="252">
        <v>0</v>
      </c>
      <c r="AI560" s="253">
        <v>0</v>
      </c>
      <c r="AJ560" s="267">
        <v>0</v>
      </c>
      <c r="AK560" s="268">
        <v>0</v>
      </c>
      <c r="AL560" s="252"/>
      <c r="AM560" s="253"/>
      <c r="AN560" s="267"/>
      <c r="AO560" s="268"/>
      <c r="AP560" s="255">
        <f t="shared" si="88"/>
        <v>290</v>
      </c>
      <c r="AQ560" s="256">
        <f t="shared" si="89"/>
        <v>4330377</v>
      </c>
      <c r="AR560" s="257">
        <f t="shared" si="90"/>
        <v>283</v>
      </c>
      <c r="AS560" s="258">
        <f t="shared" si="91"/>
        <v>4226039</v>
      </c>
      <c r="AT560" s="259">
        <v>4</v>
      </c>
      <c r="AU560" s="253">
        <v>28750</v>
      </c>
      <c r="AV560" s="267">
        <v>3</v>
      </c>
      <c r="AW560" s="268">
        <v>21564</v>
      </c>
      <c r="AX560" s="252">
        <v>4</v>
      </c>
      <c r="AY560" s="253">
        <v>27465</v>
      </c>
      <c r="AZ560" s="267">
        <v>3</v>
      </c>
      <c r="BA560" s="268">
        <v>20598</v>
      </c>
      <c r="BB560" s="252">
        <v>4</v>
      </c>
      <c r="BC560" s="253">
        <v>3254</v>
      </c>
      <c r="BD560" s="267">
        <v>3</v>
      </c>
      <c r="BE560" s="268">
        <v>2442</v>
      </c>
      <c r="BF560" s="252">
        <v>4</v>
      </c>
      <c r="BG560" s="253">
        <v>27662</v>
      </c>
      <c r="BH560" s="267">
        <v>3</v>
      </c>
      <c r="BI560" s="268">
        <v>20748</v>
      </c>
      <c r="BJ560" s="252">
        <v>4</v>
      </c>
      <c r="BK560" s="253">
        <v>470</v>
      </c>
      <c r="BL560" s="267">
        <v>3</v>
      </c>
      <c r="BM560" s="268">
        <v>354</v>
      </c>
      <c r="BN560" s="252">
        <v>4</v>
      </c>
      <c r="BO560" s="253">
        <v>2952</v>
      </c>
      <c r="BP560" s="267">
        <v>3</v>
      </c>
      <c r="BQ560" s="268">
        <v>2214</v>
      </c>
      <c r="BR560" s="252">
        <v>4</v>
      </c>
      <c r="BS560" s="253">
        <v>1736</v>
      </c>
      <c r="BT560" s="267">
        <v>3</v>
      </c>
      <c r="BU560" s="268">
        <v>1302</v>
      </c>
      <c r="BV560" s="252">
        <v>0</v>
      </c>
      <c r="BW560" s="253">
        <v>0</v>
      </c>
      <c r="BX560" s="267">
        <v>0</v>
      </c>
      <c r="BY560" s="268">
        <v>0</v>
      </c>
      <c r="BZ560" s="252"/>
      <c r="CA560" s="253"/>
      <c r="CB560" s="267"/>
      <c r="CC560" s="268"/>
      <c r="CD560" s="255">
        <f t="shared" si="92"/>
        <v>4</v>
      </c>
      <c r="CE560" s="256">
        <f t="shared" si="93"/>
        <v>92289</v>
      </c>
      <c r="CF560" s="257">
        <f t="shared" si="94"/>
        <v>3</v>
      </c>
      <c r="CG560" s="261">
        <f t="shared" si="95"/>
        <v>69222</v>
      </c>
    </row>
    <row r="561" spans="1:85" s="263" customFormat="1" ht="12.75" customHeight="1">
      <c r="A561" s="444" t="s">
        <v>346</v>
      </c>
      <c r="B561" s="411" t="s">
        <v>1050</v>
      </c>
      <c r="C561" s="411"/>
      <c r="D561" s="412">
        <v>224572</v>
      </c>
      <c r="E561" s="290">
        <v>8</v>
      </c>
      <c r="F561" s="252">
        <v>118</v>
      </c>
      <c r="G561" s="253">
        <v>515595</v>
      </c>
      <c r="H561" s="267">
        <v>120</v>
      </c>
      <c r="I561" s="268">
        <v>515147</v>
      </c>
      <c r="J561" s="252">
        <v>118</v>
      </c>
      <c r="K561" s="253">
        <v>707887</v>
      </c>
      <c r="L561" s="267">
        <v>121</v>
      </c>
      <c r="M561" s="268">
        <v>777033</v>
      </c>
      <c r="N561" s="252"/>
      <c r="O561" s="253"/>
      <c r="P561" s="267"/>
      <c r="Q561" s="268"/>
      <c r="R561" s="252"/>
      <c r="S561" s="253"/>
      <c r="T561" s="267"/>
      <c r="U561" s="268"/>
      <c r="V561" s="252">
        <v>119</v>
      </c>
      <c r="W561" s="253">
        <v>69906</v>
      </c>
      <c r="X561" s="267">
        <v>121</v>
      </c>
      <c r="Y561" s="268">
        <v>69689</v>
      </c>
      <c r="Z561" s="252">
        <v>238</v>
      </c>
      <c r="AA561" s="253">
        <v>4884</v>
      </c>
      <c r="AB561" s="267">
        <v>242</v>
      </c>
      <c r="AC561" s="268">
        <v>5053</v>
      </c>
      <c r="AD561" s="252">
        <v>119</v>
      </c>
      <c r="AE561" s="253">
        <v>69906</v>
      </c>
      <c r="AF561" s="267">
        <v>121</v>
      </c>
      <c r="AG561" s="268">
        <v>69689</v>
      </c>
      <c r="AH561" s="252">
        <v>0</v>
      </c>
      <c r="AI561" s="253">
        <v>0</v>
      </c>
      <c r="AJ561" s="267">
        <v>0</v>
      </c>
      <c r="AK561" s="268">
        <v>0</v>
      </c>
      <c r="AL561" s="252"/>
      <c r="AM561" s="253"/>
      <c r="AN561" s="267"/>
      <c r="AO561" s="268"/>
      <c r="AP561" s="255">
        <f t="shared" si="88"/>
        <v>238</v>
      </c>
      <c r="AQ561" s="256">
        <f t="shared" si="89"/>
        <v>1368178</v>
      </c>
      <c r="AR561" s="257">
        <f t="shared" si="90"/>
        <v>242</v>
      </c>
      <c r="AS561" s="258">
        <f t="shared" si="91"/>
        <v>1436611</v>
      </c>
      <c r="AT561" s="259"/>
      <c r="AU561" s="253"/>
      <c r="AV561" s="267">
        <v>0</v>
      </c>
      <c r="AW561" s="268">
        <v>0</v>
      </c>
      <c r="AX561" s="252"/>
      <c r="AY561" s="253"/>
      <c r="AZ561" s="267"/>
      <c r="BA561" s="268"/>
      <c r="BB561" s="252"/>
      <c r="BC561" s="253"/>
      <c r="BD561" s="267"/>
      <c r="BE561" s="268"/>
      <c r="BF561" s="252"/>
      <c r="BG561" s="253"/>
      <c r="BH561" s="267"/>
      <c r="BI561" s="268"/>
      <c r="BJ561" s="252"/>
      <c r="BK561" s="253"/>
      <c r="BL561" s="267"/>
      <c r="BM561" s="268"/>
      <c r="BN561" s="252"/>
      <c r="BO561" s="253"/>
      <c r="BP561" s="267">
        <v>0</v>
      </c>
      <c r="BQ561" s="268">
        <v>0</v>
      </c>
      <c r="BR561" s="252"/>
      <c r="BS561" s="253"/>
      <c r="BT561" s="267"/>
      <c r="BU561" s="268"/>
      <c r="BV561" s="252"/>
      <c r="BW561" s="253"/>
      <c r="BX561" s="267">
        <v>0</v>
      </c>
      <c r="BY561" s="268">
        <v>0</v>
      </c>
      <c r="BZ561" s="252"/>
      <c r="CA561" s="253"/>
      <c r="CB561" s="267"/>
      <c r="CC561" s="268"/>
      <c r="CD561" s="255">
        <f t="shared" si="92"/>
        <v>0</v>
      </c>
      <c r="CE561" s="256">
        <f t="shared" si="93"/>
        <v>0</v>
      </c>
      <c r="CF561" s="257">
        <f t="shared" si="94"/>
        <v>0</v>
      </c>
      <c r="CG561" s="261">
        <f t="shared" si="95"/>
        <v>0</v>
      </c>
    </row>
    <row r="562" spans="1:85" s="263" customFormat="1" ht="12.75" customHeight="1">
      <c r="A562" s="444" t="s">
        <v>346</v>
      </c>
      <c r="B562" s="411" t="s">
        <v>384</v>
      </c>
      <c r="C562" s="411"/>
      <c r="D562" s="412">
        <v>224642</v>
      </c>
      <c r="E562" s="290">
        <v>8</v>
      </c>
      <c r="F562" s="252">
        <v>398</v>
      </c>
      <c r="G562" s="253">
        <v>1860945</v>
      </c>
      <c r="H562" s="267">
        <v>389</v>
      </c>
      <c r="I562" s="268">
        <v>1909720</v>
      </c>
      <c r="J562" s="252">
        <v>396</v>
      </c>
      <c r="K562" s="253">
        <v>2256682</v>
      </c>
      <c r="L562" s="267">
        <v>385</v>
      </c>
      <c r="M562" s="268">
        <v>2348960</v>
      </c>
      <c r="N562" s="252">
        <v>374</v>
      </c>
      <c r="O562" s="253">
        <v>178817</v>
      </c>
      <c r="P562" s="267">
        <v>364</v>
      </c>
      <c r="Q562" s="268">
        <v>180831</v>
      </c>
      <c r="R562" s="252">
        <v>326</v>
      </c>
      <c r="S562" s="253">
        <v>282402</v>
      </c>
      <c r="T562" s="267">
        <v>318</v>
      </c>
      <c r="U562" s="268">
        <v>294518</v>
      </c>
      <c r="V562" s="252">
        <v>396</v>
      </c>
      <c r="W562" s="253">
        <v>53460</v>
      </c>
      <c r="X562" s="267">
        <v>382</v>
      </c>
      <c r="Y562" s="268">
        <v>51570</v>
      </c>
      <c r="Z562" s="252">
        <v>392</v>
      </c>
      <c r="AA562" s="253">
        <v>9930</v>
      </c>
      <c r="AB562" s="267">
        <v>380</v>
      </c>
      <c r="AC562" s="268">
        <v>9674</v>
      </c>
      <c r="AD562" s="252">
        <v>396</v>
      </c>
      <c r="AE562" s="253">
        <v>252299</v>
      </c>
      <c r="AF562" s="267">
        <v>382</v>
      </c>
      <c r="AG562" s="268">
        <v>248228</v>
      </c>
      <c r="AH562" s="252">
        <v>373</v>
      </c>
      <c r="AI562" s="253">
        <v>86426</v>
      </c>
      <c r="AJ562" s="267">
        <v>360</v>
      </c>
      <c r="AK562" s="268">
        <v>57210</v>
      </c>
      <c r="AL562" s="252"/>
      <c r="AM562" s="253"/>
      <c r="AN562" s="267"/>
      <c r="AO562" s="268"/>
      <c r="AP562" s="255">
        <f t="shared" si="88"/>
        <v>398</v>
      </c>
      <c r="AQ562" s="256">
        <f t="shared" si="89"/>
        <v>4980961</v>
      </c>
      <c r="AR562" s="257">
        <f t="shared" si="90"/>
        <v>389</v>
      </c>
      <c r="AS562" s="258">
        <f t="shared" si="91"/>
        <v>5100711</v>
      </c>
      <c r="AT562" s="259"/>
      <c r="AU562" s="253"/>
      <c r="AV562" s="267">
        <v>22</v>
      </c>
      <c r="AW562" s="268">
        <v>81242</v>
      </c>
      <c r="AX562" s="252"/>
      <c r="AY562" s="253"/>
      <c r="AZ562" s="267">
        <v>23</v>
      </c>
      <c r="BA562" s="268">
        <v>144080</v>
      </c>
      <c r="BB562" s="252"/>
      <c r="BC562" s="253"/>
      <c r="BD562" s="267">
        <v>21</v>
      </c>
      <c r="BE562" s="268">
        <v>6938</v>
      </c>
      <c r="BF562" s="252"/>
      <c r="BG562" s="253"/>
      <c r="BH562" s="267">
        <v>23</v>
      </c>
      <c r="BI562" s="268">
        <v>17167</v>
      </c>
      <c r="BJ562" s="252"/>
      <c r="BK562" s="253"/>
      <c r="BL562" s="267">
        <v>23</v>
      </c>
      <c r="BM562" s="268">
        <v>3105</v>
      </c>
      <c r="BN562" s="252"/>
      <c r="BO562" s="253"/>
      <c r="BP562" s="267">
        <v>23</v>
      </c>
      <c r="BQ562" s="268">
        <v>584</v>
      </c>
      <c r="BR562" s="252"/>
      <c r="BS562" s="253"/>
      <c r="BT562" s="267">
        <v>23</v>
      </c>
      <c r="BU562" s="268">
        <v>13835</v>
      </c>
      <c r="BV562" s="252"/>
      <c r="BW562" s="253"/>
      <c r="BX562" s="267">
        <v>16</v>
      </c>
      <c r="BY562" s="268">
        <v>1501</v>
      </c>
      <c r="BZ562" s="252"/>
      <c r="CA562" s="253"/>
      <c r="CB562" s="267"/>
      <c r="CC562" s="268"/>
      <c r="CD562" s="255">
        <f t="shared" si="92"/>
        <v>0</v>
      </c>
      <c r="CE562" s="256">
        <f t="shared" si="93"/>
        <v>0</v>
      </c>
      <c r="CF562" s="257">
        <f t="shared" si="94"/>
        <v>23</v>
      </c>
      <c r="CG562" s="261">
        <f t="shared" si="95"/>
        <v>268452</v>
      </c>
    </row>
    <row r="563" spans="1:85" s="263" customFormat="1" ht="12.75" customHeight="1">
      <c r="A563" s="444" t="s">
        <v>346</v>
      </c>
      <c r="B563" s="411" t="s">
        <v>385</v>
      </c>
      <c r="C563" s="411"/>
      <c r="D563" s="412">
        <v>225423</v>
      </c>
      <c r="E563" s="290">
        <v>8</v>
      </c>
      <c r="F563" s="252">
        <v>509</v>
      </c>
      <c r="G563" s="253">
        <v>1956513</v>
      </c>
      <c r="H563" s="267">
        <v>537</v>
      </c>
      <c r="I563" s="268">
        <v>2131761</v>
      </c>
      <c r="J563" s="252">
        <v>506</v>
      </c>
      <c r="K563" s="253">
        <v>2942729</v>
      </c>
      <c r="L563" s="267">
        <v>534</v>
      </c>
      <c r="M563" s="268">
        <v>3407199</v>
      </c>
      <c r="N563" s="252">
        <v>473</v>
      </c>
      <c r="O563" s="253">
        <v>239174</v>
      </c>
      <c r="P563" s="267">
        <v>503</v>
      </c>
      <c r="Q563" s="268">
        <v>230209</v>
      </c>
      <c r="R563" s="252"/>
      <c r="S563" s="253"/>
      <c r="T563" s="267"/>
      <c r="U563" s="268"/>
      <c r="V563" s="252"/>
      <c r="W563" s="253"/>
      <c r="X563" s="267"/>
      <c r="Y563" s="268"/>
      <c r="Z563" s="252">
        <v>507</v>
      </c>
      <c r="AA563" s="253">
        <v>13453</v>
      </c>
      <c r="AB563" s="267">
        <v>536</v>
      </c>
      <c r="AC563" s="268">
        <v>14219</v>
      </c>
      <c r="AD563" s="252"/>
      <c r="AE563" s="253"/>
      <c r="AF563" s="267"/>
      <c r="AG563" s="268"/>
      <c r="AH563" s="252">
        <v>0</v>
      </c>
      <c r="AI563" s="253">
        <v>0</v>
      </c>
      <c r="AJ563" s="267">
        <v>0</v>
      </c>
      <c r="AK563" s="268">
        <v>0</v>
      </c>
      <c r="AL563" s="252"/>
      <c r="AM563" s="253"/>
      <c r="AN563" s="267"/>
      <c r="AO563" s="268"/>
      <c r="AP563" s="255">
        <f t="shared" si="88"/>
        <v>509</v>
      </c>
      <c r="AQ563" s="256">
        <f t="shared" si="89"/>
        <v>5151869</v>
      </c>
      <c r="AR563" s="257">
        <f t="shared" si="90"/>
        <v>537</v>
      </c>
      <c r="AS563" s="258">
        <f t="shared" si="91"/>
        <v>5783388</v>
      </c>
      <c r="AT563" s="259">
        <v>305</v>
      </c>
      <c r="AU563" s="253">
        <v>1641203</v>
      </c>
      <c r="AV563" s="267">
        <v>344</v>
      </c>
      <c r="AW563" s="268">
        <v>1899081</v>
      </c>
      <c r="AX563" s="252">
        <v>300</v>
      </c>
      <c r="AY563" s="253">
        <v>1819818</v>
      </c>
      <c r="AZ563" s="267">
        <v>339</v>
      </c>
      <c r="BA563" s="268">
        <v>2293500</v>
      </c>
      <c r="BB563" s="252">
        <v>286</v>
      </c>
      <c r="BC563" s="253">
        <v>139775</v>
      </c>
      <c r="BD563" s="267">
        <v>315</v>
      </c>
      <c r="BE563" s="268">
        <v>141637</v>
      </c>
      <c r="BF563" s="252"/>
      <c r="BG563" s="253"/>
      <c r="BH563" s="267"/>
      <c r="BI563" s="268"/>
      <c r="BJ563" s="252"/>
      <c r="BK563" s="253"/>
      <c r="BL563" s="267"/>
      <c r="BM563" s="268"/>
      <c r="BN563" s="252">
        <v>300</v>
      </c>
      <c r="BO563" s="253">
        <v>7519</v>
      </c>
      <c r="BP563" s="267">
        <v>335</v>
      </c>
      <c r="BQ563" s="268">
        <v>8412</v>
      </c>
      <c r="BR563" s="252"/>
      <c r="BS563" s="253"/>
      <c r="BT563" s="267"/>
      <c r="BU563" s="268"/>
      <c r="BV563" s="252">
        <v>0</v>
      </c>
      <c r="BW563" s="253">
        <v>0</v>
      </c>
      <c r="BX563" s="267">
        <v>0</v>
      </c>
      <c r="BY563" s="268">
        <v>0</v>
      </c>
      <c r="BZ563" s="252"/>
      <c r="CA563" s="253"/>
      <c r="CB563" s="267"/>
      <c r="CC563" s="268"/>
      <c r="CD563" s="255">
        <f t="shared" si="92"/>
        <v>305</v>
      </c>
      <c r="CE563" s="256">
        <f t="shared" si="93"/>
        <v>3608315</v>
      </c>
      <c r="CF563" s="257">
        <f t="shared" si="94"/>
        <v>344</v>
      </c>
      <c r="CG563" s="261">
        <f t="shared" si="95"/>
        <v>4342630</v>
      </c>
    </row>
    <row r="564" spans="1:85" s="263" customFormat="1" ht="12.75" customHeight="1">
      <c r="A564" s="444" t="s">
        <v>346</v>
      </c>
      <c r="B564" s="411" t="s">
        <v>386</v>
      </c>
      <c r="C564" s="411"/>
      <c r="D564" s="412">
        <v>226134</v>
      </c>
      <c r="E564" s="290">
        <v>8</v>
      </c>
      <c r="F564" s="252">
        <v>185</v>
      </c>
      <c r="G564" s="253">
        <v>657148</v>
      </c>
      <c r="H564" s="267">
        <v>184</v>
      </c>
      <c r="I564" s="268">
        <v>663658</v>
      </c>
      <c r="J564" s="252">
        <v>181</v>
      </c>
      <c r="K564" s="253">
        <v>1300174</v>
      </c>
      <c r="L564" s="267">
        <v>179</v>
      </c>
      <c r="M564" s="268">
        <v>1378704</v>
      </c>
      <c r="N564" s="252"/>
      <c r="O564" s="253"/>
      <c r="P564" s="267"/>
      <c r="Q564" s="268"/>
      <c r="R564" s="252">
        <v>185</v>
      </c>
      <c r="S564" s="253">
        <v>777737</v>
      </c>
      <c r="T564" s="267">
        <v>184</v>
      </c>
      <c r="U564" s="268">
        <v>780226</v>
      </c>
      <c r="V564" s="252">
        <v>185</v>
      </c>
      <c r="W564" s="253">
        <v>15168</v>
      </c>
      <c r="X564" s="267">
        <v>184</v>
      </c>
      <c r="Y564" s="268">
        <v>24457</v>
      </c>
      <c r="Z564" s="252">
        <v>0</v>
      </c>
      <c r="AA564" s="253">
        <v>0</v>
      </c>
      <c r="AB564" s="267">
        <v>0</v>
      </c>
      <c r="AC564" s="268">
        <v>0</v>
      </c>
      <c r="AD564" s="252">
        <v>185</v>
      </c>
      <c r="AE564" s="253">
        <v>20028</v>
      </c>
      <c r="AF564" s="267">
        <v>184</v>
      </c>
      <c r="AG564" s="268">
        <v>10046</v>
      </c>
      <c r="AH564" s="252">
        <v>14</v>
      </c>
      <c r="AI564" s="253">
        <v>12122</v>
      </c>
      <c r="AJ564" s="267">
        <v>23</v>
      </c>
      <c r="AK564" s="268">
        <v>26885</v>
      </c>
      <c r="AL564" s="252"/>
      <c r="AM564" s="253"/>
      <c r="AN564" s="267"/>
      <c r="AO564" s="268"/>
      <c r="AP564" s="255">
        <f t="shared" si="88"/>
        <v>185</v>
      </c>
      <c r="AQ564" s="256">
        <f t="shared" si="89"/>
        <v>2782377</v>
      </c>
      <c r="AR564" s="257">
        <f t="shared" si="90"/>
        <v>184</v>
      </c>
      <c r="AS564" s="258">
        <f t="shared" si="91"/>
        <v>2883976</v>
      </c>
      <c r="AT564" s="259">
        <v>13</v>
      </c>
      <c r="AU564" s="253">
        <v>56961</v>
      </c>
      <c r="AV564" s="267">
        <v>13</v>
      </c>
      <c r="AW564" s="268">
        <v>57328</v>
      </c>
      <c r="AX564" s="252">
        <v>13</v>
      </c>
      <c r="AY564" s="253">
        <v>91880</v>
      </c>
      <c r="AZ564" s="267">
        <v>13</v>
      </c>
      <c r="BA564" s="268">
        <v>102485</v>
      </c>
      <c r="BB564" s="252"/>
      <c r="BC564" s="253"/>
      <c r="BD564" s="267"/>
      <c r="BE564" s="268"/>
      <c r="BF564" s="252">
        <v>13</v>
      </c>
      <c r="BG564" s="253">
        <v>67159</v>
      </c>
      <c r="BH564" s="267">
        <v>13</v>
      </c>
      <c r="BI564" s="268">
        <v>67466</v>
      </c>
      <c r="BJ564" s="252">
        <v>13</v>
      </c>
      <c r="BK564" s="253">
        <v>1310</v>
      </c>
      <c r="BL564" s="267">
        <v>13</v>
      </c>
      <c r="BM564" s="268">
        <v>2115</v>
      </c>
      <c r="BN564" s="252">
        <v>0</v>
      </c>
      <c r="BO564" s="253">
        <v>0</v>
      </c>
      <c r="BP564" s="267">
        <v>0</v>
      </c>
      <c r="BQ564" s="268">
        <v>0</v>
      </c>
      <c r="BR564" s="252">
        <v>13</v>
      </c>
      <c r="BS564" s="253">
        <v>1729</v>
      </c>
      <c r="BT564" s="267">
        <v>13</v>
      </c>
      <c r="BU564" s="268">
        <v>869</v>
      </c>
      <c r="BV564" s="252">
        <v>1</v>
      </c>
      <c r="BW564" s="253">
        <v>308</v>
      </c>
      <c r="BX564" s="267">
        <v>0</v>
      </c>
      <c r="BY564" s="268">
        <v>0</v>
      </c>
      <c r="BZ564" s="252"/>
      <c r="CA564" s="253"/>
      <c r="CB564" s="267"/>
      <c r="CC564" s="268"/>
      <c r="CD564" s="255">
        <f t="shared" si="92"/>
        <v>13</v>
      </c>
      <c r="CE564" s="256">
        <f t="shared" si="93"/>
        <v>219347</v>
      </c>
      <c r="CF564" s="257">
        <f t="shared" si="94"/>
        <v>13</v>
      </c>
      <c r="CG564" s="261">
        <f t="shared" si="95"/>
        <v>230263</v>
      </c>
    </row>
    <row r="565" spans="1:85" s="263" customFormat="1" ht="12.75" customHeight="1">
      <c r="A565" s="444" t="s">
        <v>346</v>
      </c>
      <c r="B565" s="411" t="s">
        <v>1051</v>
      </c>
      <c r="C565" s="411"/>
      <c r="D565" s="412">
        <v>227182</v>
      </c>
      <c r="E565" s="290">
        <v>8</v>
      </c>
      <c r="F565" s="252">
        <v>481</v>
      </c>
      <c r="G565" s="253">
        <v>2067425</v>
      </c>
      <c r="H565" s="267">
        <v>599</v>
      </c>
      <c r="I565" s="268">
        <v>2988532</v>
      </c>
      <c r="J565" s="252">
        <v>570</v>
      </c>
      <c r="K565" s="253">
        <v>3509964</v>
      </c>
      <c r="L565" s="267">
        <v>561</v>
      </c>
      <c r="M565" s="268">
        <v>3892478</v>
      </c>
      <c r="N565" s="252">
        <v>575</v>
      </c>
      <c r="O565" s="253">
        <v>263428</v>
      </c>
      <c r="P565" s="267">
        <v>578</v>
      </c>
      <c r="Q565" s="268">
        <v>274565</v>
      </c>
      <c r="R565" s="252"/>
      <c r="S565" s="253"/>
      <c r="T565" s="267"/>
      <c r="U565" s="268"/>
      <c r="V565" s="252">
        <v>589</v>
      </c>
      <c r="W565" s="253">
        <v>72881</v>
      </c>
      <c r="X565" s="267">
        <v>599</v>
      </c>
      <c r="Y565" s="268">
        <v>36569</v>
      </c>
      <c r="Z565" s="252">
        <v>565</v>
      </c>
      <c r="AA565" s="253">
        <v>266368</v>
      </c>
      <c r="AB565" s="267">
        <v>599</v>
      </c>
      <c r="AC565" s="268">
        <v>344826</v>
      </c>
      <c r="AD565" s="252">
        <v>589</v>
      </c>
      <c r="AE565" s="253">
        <v>3611</v>
      </c>
      <c r="AF565" s="267">
        <v>599</v>
      </c>
      <c r="AG565" s="268">
        <v>4010</v>
      </c>
      <c r="AH565" s="252">
        <v>0</v>
      </c>
      <c r="AI565" s="253">
        <v>0</v>
      </c>
      <c r="AJ565" s="267">
        <v>0</v>
      </c>
      <c r="AK565" s="268">
        <v>0</v>
      </c>
      <c r="AL565" s="252"/>
      <c r="AM565" s="253"/>
      <c r="AN565" s="267"/>
      <c r="AO565" s="268"/>
      <c r="AP565" s="255">
        <f t="shared" si="88"/>
        <v>589</v>
      </c>
      <c r="AQ565" s="256">
        <f t="shared" si="89"/>
        <v>6183677</v>
      </c>
      <c r="AR565" s="257">
        <f t="shared" si="90"/>
        <v>599</v>
      </c>
      <c r="AS565" s="258">
        <f t="shared" si="91"/>
        <v>7540980</v>
      </c>
      <c r="AT565" s="259">
        <v>68</v>
      </c>
      <c r="AU565" s="253">
        <v>307942</v>
      </c>
      <c r="AV565" s="267">
        <v>66</v>
      </c>
      <c r="AW565" s="268">
        <v>323601</v>
      </c>
      <c r="AX565" s="252">
        <v>59</v>
      </c>
      <c r="AY565" s="253">
        <v>386557</v>
      </c>
      <c r="AZ565" s="267">
        <v>60</v>
      </c>
      <c r="BA565" s="268">
        <v>439205</v>
      </c>
      <c r="BB565" s="252">
        <v>61</v>
      </c>
      <c r="BC565" s="253">
        <v>28882</v>
      </c>
      <c r="BD565" s="267">
        <v>65</v>
      </c>
      <c r="BE565" s="268">
        <v>27202</v>
      </c>
      <c r="BF565" s="252"/>
      <c r="BG565" s="253"/>
      <c r="BH565" s="267"/>
      <c r="BI565" s="268"/>
      <c r="BJ565" s="252">
        <v>63</v>
      </c>
      <c r="BK565" s="253">
        <v>7780</v>
      </c>
      <c r="BL565" s="267">
        <v>66</v>
      </c>
      <c r="BM565" s="268">
        <v>4029</v>
      </c>
      <c r="BN565" s="252">
        <v>60</v>
      </c>
      <c r="BO565" s="253">
        <v>23167</v>
      </c>
      <c r="BP565" s="267">
        <v>66</v>
      </c>
      <c r="BQ565" s="268">
        <v>30445</v>
      </c>
      <c r="BR565" s="252">
        <v>59</v>
      </c>
      <c r="BS565" s="253">
        <v>418</v>
      </c>
      <c r="BT565" s="267">
        <v>66</v>
      </c>
      <c r="BU565" s="268">
        <v>455</v>
      </c>
      <c r="BV565" s="252">
        <v>0</v>
      </c>
      <c r="BW565" s="253">
        <v>0</v>
      </c>
      <c r="BX565" s="267">
        <v>0</v>
      </c>
      <c r="BY565" s="268">
        <v>0</v>
      </c>
      <c r="BZ565" s="252"/>
      <c r="CA565" s="253"/>
      <c r="CB565" s="267"/>
      <c r="CC565" s="268"/>
      <c r="CD565" s="255">
        <f t="shared" si="92"/>
        <v>68</v>
      </c>
      <c r="CE565" s="256">
        <f t="shared" si="93"/>
        <v>754746</v>
      </c>
      <c r="CF565" s="257">
        <f t="shared" si="94"/>
        <v>66</v>
      </c>
      <c r="CG565" s="261">
        <f t="shared" si="95"/>
        <v>824937</v>
      </c>
    </row>
    <row r="566" spans="1:85" s="263" customFormat="1" ht="12.75" customHeight="1">
      <c r="A566" s="444" t="s">
        <v>346</v>
      </c>
      <c r="B566" s="411" t="s">
        <v>387</v>
      </c>
      <c r="C566" s="411"/>
      <c r="D566" s="412">
        <v>226578</v>
      </c>
      <c r="E566" s="290">
        <v>8</v>
      </c>
      <c r="F566" s="252">
        <v>139</v>
      </c>
      <c r="G566" s="253">
        <v>738461</v>
      </c>
      <c r="H566" s="267">
        <v>143</v>
      </c>
      <c r="I566" s="268">
        <v>788480</v>
      </c>
      <c r="J566" s="252">
        <v>157</v>
      </c>
      <c r="K566" s="253">
        <v>1004879</v>
      </c>
      <c r="L566" s="267">
        <v>169</v>
      </c>
      <c r="M566" s="268">
        <v>1140071</v>
      </c>
      <c r="N566" s="252"/>
      <c r="O566" s="253"/>
      <c r="P566" s="267"/>
      <c r="Q566" s="268"/>
      <c r="R566" s="252">
        <v>143</v>
      </c>
      <c r="S566" s="253">
        <v>121504</v>
      </c>
      <c r="T566" s="267">
        <v>151</v>
      </c>
      <c r="U566" s="268">
        <v>128900</v>
      </c>
      <c r="V566" s="252">
        <v>186</v>
      </c>
      <c r="W566" s="253">
        <v>16858</v>
      </c>
      <c r="X566" s="267">
        <v>190</v>
      </c>
      <c r="Y566" s="268">
        <v>16733</v>
      </c>
      <c r="Z566" s="252">
        <v>0</v>
      </c>
      <c r="AA566" s="253">
        <v>0</v>
      </c>
      <c r="AB566" s="267">
        <v>0</v>
      </c>
      <c r="AC566" s="268">
        <v>0</v>
      </c>
      <c r="AD566" s="252">
        <v>186</v>
      </c>
      <c r="AE566" s="253">
        <v>34881</v>
      </c>
      <c r="AF566" s="267">
        <v>190</v>
      </c>
      <c r="AG566" s="268">
        <v>36531</v>
      </c>
      <c r="AH566" s="252">
        <v>29</v>
      </c>
      <c r="AI566" s="253">
        <v>24576</v>
      </c>
      <c r="AJ566" s="267">
        <v>28</v>
      </c>
      <c r="AK566" s="268">
        <v>25700</v>
      </c>
      <c r="AL566" s="252"/>
      <c r="AM566" s="253"/>
      <c r="AN566" s="267"/>
      <c r="AO566" s="268"/>
      <c r="AP566" s="255">
        <f t="shared" si="88"/>
        <v>186</v>
      </c>
      <c r="AQ566" s="256">
        <f t="shared" si="89"/>
        <v>1941159</v>
      </c>
      <c r="AR566" s="257">
        <f t="shared" si="90"/>
        <v>190</v>
      </c>
      <c r="AS566" s="258">
        <f t="shared" si="91"/>
        <v>2136415</v>
      </c>
      <c r="AT566" s="259">
        <v>12</v>
      </c>
      <c r="AU566" s="253">
        <v>54088</v>
      </c>
      <c r="AV566" s="267">
        <v>15</v>
      </c>
      <c r="AW566" s="268">
        <v>73045</v>
      </c>
      <c r="AX566" s="252">
        <v>16</v>
      </c>
      <c r="AY566" s="253">
        <v>104367</v>
      </c>
      <c r="AZ566" s="267">
        <v>18</v>
      </c>
      <c r="BA566" s="268">
        <v>126720</v>
      </c>
      <c r="BB566" s="252"/>
      <c r="BC566" s="253"/>
      <c r="BD566" s="267"/>
      <c r="BE566" s="268"/>
      <c r="BF566" s="252">
        <v>19</v>
      </c>
      <c r="BG566" s="253">
        <v>15803</v>
      </c>
      <c r="BH566" s="267">
        <v>20</v>
      </c>
      <c r="BI566" s="268">
        <v>17158</v>
      </c>
      <c r="BJ566" s="252">
        <v>19</v>
      </c>
      <c r="BK566" s="253">
        <v>1625</v>
      </c>
      <c r="BL566" s="267">
        <v>20</v>
      </c>
      <c r="BM566" s="268">
        <v>1673</v>
      </c>
      <c r="BN566" s="252">
        <v>0</v>
      </c>
      <c r="BO566" s="253">
        <v>0</v>
      </c>
      <c r="BP566" s="267">
        <v>0</v>
      </c>
      <c r="BQ566" s="268">
        <v>0</v>
      </c>
      <c r="BR566" s="252">
        <v>19</v>
      </c>
      <c r="BS566" s="253">
        <v>3361</v>
      </c>
      <c r="BT566" s="267">
        <v>20</v>
      </c>
      <c r="BU566" s="268">
        <v>3653</v>
      </c>
      <c r="BV566" s="252">
        <v>4</v>
      </c>
      <c r="BW566" s="253">
        <v>2166</v>
      </c>
      <c r="BX566" s="267">
        <v>6</v>
      </c>
      <c r="BY566" s="268">
        <v>4294</v>
      </c>
      <c r="BZ566" s="252"/>
      <c r="CA566" s="253"/>
      <c r="CB566" s="267"/>
      <c r="CC566" s="268"/>
      <c r="CD566" s="255">
        <f t="shared" si="92"/>
        <v>19</v>
      </c>
      <c r="CE566" s="256">
        <f t="shared" si="93"/>
        <v>181410</v>
      </c>
      <c r="CF566" s="257">
        <f t="shared" si="94"/>
        <v>20</v>
      </c>
      <c r="CG566" s="261">
        <f t="shared" si="95"/>
        <v>226543</v>
      </c>
    </row>
    <row r="567" spans="1:85" s="263" customFormat="1" ht="12.75" customHeight="1">
      <c r="A567" s="447" t="s">
        <v>346</v>
      </c>
      <c r="B567" s="450" t="s">
        <v>410</v>
      </c>
      <c r="C567" s="450"/>
      <c r="D567" s="448">
        <v>227146</v>
      </c>
      <c r="E567" s="449">
        <v>8</v>
      </c>
      <c r="F567" s="252">
        <v>74</v>
      </c>
      <c r="G567" s="253">
        <v>391298</v>
      </c>
      <c r="H567" s="267">
        <v>65</v>
      </c>
      <c r="I567" s="268">
        <v>290405</v>
      </c>
      <c r="J567" s="252">
        <v>90</v>
      </c>
      <c r="K567" s="253">
        <v>523445</v>
      </c>
      <c r="L567" s="267">
        <v>86</v>
      </c>
      <c r="M567" s="268">
        <v>540216</v>
      </c>
      <c r="N567" s="252"/>
      <c r="O567" s="253"/>
      <c r="P567" s="267"/>
      <c r="Q567" s="268"/>
      <c r="R567" s="252"/>
      <c r="S567" s="253"/>
      <c r="T567" s="267"/>
      <c r="U567" s="268"/>
      <c r="V567" s="252">
        <v>92</v>
      </c>
      <c r="W567" s="253">
        <v>10227</v>
      </c>
      <c r="X567" s="267">
        <v>86</v>
      </c>
      <c r="Y567" s="268">
        <v>11098</v>
      </c>
      <c r="Z567" s="252">
        <v>0</v>
      </c>
      <c r="AA567" s="253">
        <v>0</v>
      </c>
      <c r="AB567" s="267">
        <v>0</v>
      </c>
      <c r="AC567" s="268">
        <v>0</v>
      </c>
      <c r="AD567" s="252">
        <v>92</v>
      </c>
      <c r="AE567" s="253">
        <v>33020</v>
      </c>
      <c r="AF567" s="267">
        <v>86</v>
      </c>
      <c r="AG567" s="268">
        <v>46980</v>
      </c>
      <c r="AH567" s="252">
        <v>2</v>
      </c>
      <c r="AI567" s="253">
        <v>801</v>
      </c>
      <c r="AJ567" s="267">
        <v>9</v>
      </c>
      <c r="AK567" s="268">
        <v>4302</v>
      </c>
      <c r="AL567" s="252"/>
      <c r="AM567" s="253"/>
      <c r="AN567" s="267"/>
      <c r="AO567" s="268"/>
      <c r="AP567" s="255">
        <f t="shared" si="88"/>
        <v>92</v>
      </c>
      <c r="AQ567" s="256">
        <f t="shared" si="89"/>
        <v>958791</v>
      </c>
      <c r="AR567" s="257">
        <f t="shared" si="90"/>
        <v>86</v>
      </c>
      <c r="AS567" s="258">
        <f t="shared" si="91"/>
        <v>893001</v>
      </c>
      <c r="AT567" s="259">
        <v>20</v>
      </c>
      <c r="AU567" s="253">
        <v>131757</v>
      </c>
      <c r="AV567" s="267">
        <v>15</v>
      </c>
      <c r="AW567" s="268">
        <v>77367</v>
      </c>
      <c r="AX567" s="252">
        <v>27</v>
      </c>
      <c r="AY567" s="253">
        <v>177409</v>
      </c>
      <c r="AZ567" s="267">
        <v>36</v>
      </c>
      <c r="BA567" s="268">
        <v>216012</v>
      </c>
      <c r="BB567" s="252"/>
      <c r="BC567" s="253"/>
      <c r="BD567" s="267"/>
      <c r="BE567" s="268"/>
      <c r="BF567" s="252"/>
      <c r="BG567" s="253"/>
      <c r="BH567" s="267"/>
      <c r="BI567" s="268"/>
      <c r="BJ567" s="252">
        <v>31</v>
      </c>
      <c r="BK567" s="253">
        <v>3764</v>
      </c>
      <c r="BL567" s="267">
        <v>36</v>
      </c>
      <c r="BM567" s="268">
        <v>5273</v>
      </c>
      <c r="BN567" s="252">
        <v>0</v>
      </c>
      <c r="BO567" s="253">
        <v>0</v>
      </c>
      <c r="BP567" s="267">
        <v>0</v>
      </c>
      <c r="BQ567" s="268">
        <v>0</v>
      </c>
      <c r="BR567" s="252">
        <v>31</v>
      </c>
      <c r="BS567" s="253">
        <v>12156</v>
      </c>
      <c r="BT567" s="267">
        <v>36</v>
      </c>
      <c r="BU567" s="268">
        <v>22320</v>
      </c>
      <c r="BV567" s="252">
        <v>0</v>
      </c>
      <c r="BW567" s="253">
        <v>0</v>
      </c>
      <c r="BX567" s="267">
        <v>1</v>
      </c>
      <c r="BY567" s="268">
        <v>302</v>
      </c>
      <c r="BZ567" s="252"/>
      <c r="CA567" s="253"/>
      <c r="CB567" s="267"/>
      <c r="CC567" s="268"/>
      <c r="CD567" s="255">
        <f t="shared" si="92"/>
        <v>31</v>
      </c>
      <c r="CE567" s="256">
        <f t="shared" si="93"/>
        <v>325086</v>
      </c>
      <c r="CF567" s="257">
        <f t="shared" si="94"/>
        <v>36</v>
      </c>
      <c r="CG567" s="261">
        <f t="shared" si="95"/>
        <v>321274</v>
      </c>
    </row>
    <row r="568" spans="1:85" s="263" customFormat="1" ht="12.75" customHeight="1">
      <c r="A568" s="444" t="s">
        <v>346</v>
      </c>
      <c r="B568" s="411" t="s">
        <v>1052</v>
      </c>
      <c r="C568" s="411"/>
      <c r="D568" s="412">
        <v>227191</v>
      </c>
      <c r="E568" s="290">
        <v>8</v>
      </c>
      <c r="F568" s="252">
        <v>109</v>
      </c>
      <c r="G568" s="253">
        <v>459297</v>
      </c>
      <c r="H568" s="267">
        <v>104</v>
      </c>
      <c r="I568" s="268">
        <v>451356</v>
      </c>
      <c r="J568" s="252">
        <v>106</v>
      </c>
      <c r="K568" s="253">
        <v>616208</v>
      </c>
      <c r="L568" s="267">
        <v>102</v>
      </c>
      <c r="M568" s="268">
        <v>651432</v>
      </c>
      <c r="N568" s="252"/>
      <c r="O568" s="253"/>
      <c r="P568" s="267"/>
      <c r="Q568" s="268"/>
      <c r="R568" s="252"/>
      <c r="S568" s="253"/>
      <c r="T568" s="267"/>
      <c r="U568" s="268"/>
      <c r="V568" s="252">
        <v>109</v>
      </c>
      <c r="W568" s="253">
        <v>62812</v>
      </c>
      <c r="X568" s="267">
        <v>104</v>
      </c>
      <c r="Y568" s="268">
        <v>60700</v>
      </c>
      <c r="Z568" s="252">
        <v>218</v>
      </c>
      <c r="AA568" s="253">
        <v>4500</v>
      </c>
      <c r="AB568" s="267">
        <v>208</v>
      </c>
      <c r="AC568" s="268">
        <v>4343</v>
      </c>
      <c r="AD568" s="252">
        <v>109</v>
      </c>
      <c r="AE568" s="253">
        <v>62812</v>
      </c>
      <c r="AF568" s="267">
        <v>104</v>
      </c>
      <c r="AG568" s="268">
        <v>60700</v>
      </c>
      <c r="AH568" s="252">
        <v>0</v>
      </c>
      <c r="AI568" s="253">
        <v>0</v>
      </c>
      <c r="AJ568" s="267">
        <v>0</v>
      </c>
      <c r="AK568" s="268">
        <v>0</v>
      </c>
      <c r="AL568" s="252"/>
      <c r="AM568" s="253"/>
      <c r="AN568" s="267"/>
      <c r="AO568" s="268"/>
      <c r="AP568" s="255">
        <f t="shared" si="88"/>
        <v>218</v>
      </c>
      <c r="AQ568" s="256">
        <f t="shared" si="89"/>
        <v>1205629</v>
      </c>
      <c r="AR568" s="257">
        <f t="shared" si="90"/>
        <v>208</v>
      </c>
      <c r="AS568" s="258">
        <f t="shared" si="91"/>
        <v>1228531</v>
      </c>
      <c r="AT568" s="259"/>
      <c r="AU568" s="253"/>
      <c r="AV568" s="267">
        <v>0</v>
      </c>
      <c r="AW568" s="268">
        <v>0</v>
      </c>
      <c r="AX568" s="252"/>
      <c r="AY568" s="253"/>
      <c r="AZ568" s="267"/>
      <c r="BA568" s="268"/>
      <c r="BB568" s="252"/>
      <c r="BC568" s="253"/>
      <c r="BD568" s="267"/>
      <c r="BE568" s="268"/>
      <c r="BF568" s="252"/>
      <c r="BG568" s="253"/>
      <c r="BH568" s="267"/>
      <c r="BI568" s="268"/>
      <c r="BJ568" s="252"/>
      <c r="BK568" s="253"/>
      <c r="BL568" s="267"/>
      <c r="BM568" s="268"/>
      <c r="BN568" s="252"/>
      <c r="BO568" s="253"/>
      <c r="BP568" s="267">
        <v>0</v>
      </c>
      <c r="BQ568" s="268">
        <v>0</v>
      </c>
      <c r="BR568" s="252"/>
      <c r="BS568" s="253"/>
      <c r="BT568" s="267"/>
      <c r="BU568" s="268"/>
      <c r="BV568" s="252"/>
      <c r="BW568" s="253"/>
      <c r="BX568" s="267">
        <v>0</v>
      </c>
      <c r="BY568" s="268">
        <v>0</v>
      </c>
      <c r="BZ568" s="252"/>
      <c r="CA568" s="253"/>
      <c r="CB568" s="267"/>
      <c r="CC568" s="268"/>
      <c r="CD568" s="255">
        <f t="shared" si="92"/>
        <v>0</v>
      </c>
      <c r="CE568" s="256">
        <f t="shared" si="93"/>
        <v>0</v>
      </c>
      <c r="CF568" s="257">
        <f t="shared" si="94"/>
        <v>0</v>
      </c>
      <c r="CG568" s="261">
        <f t="shared" si="95"/>
        <v>0</v>
      </c>
    </row>
    <row r="569" spans="1:85" s="263" customFormat="1" ht="12.75" customHeight="1">
      <c r="A569" s="444" t="s">
        <v>346</v>
      </c>
      <c r="B569" s="411" t="s">
        <v>388</v>
      </c>
      <c r="C569" s="411"/>
      <c r="D569" s="412">
        <v>420398</v>
      </c>
      <c r="E569" s="290">
        <v>8</v>
      </c>
      <c r="F569" s="252">
        <v>125</v>
      </c>
      <c r="G569" s="253">
        <v>392816</v>
      </c>
      <c r="H569" s="267">
        <v>133</v>
      </c>
      <c r="I569" s="268">
        <v>458471</v>
      </c>
      <c r="J569" s="252">
        <v>112</v>
      </c>
      <c r="K569" s="253">
        <v>652992</v>
      </c>
      <c r="L569" s="267">
        <v>116</v>
      </c>
      <c r="M569" s="268">
        <v>687813</v>
      </c>
      <c r="N569" s="252">
        <v>125</v>
      </c>
      <c r="O569" s="253">
        <v>24901</v>
      </c>
      <c r="P569" s="267">
        <v>133</v>
      </c>
      <c r="Q569" s="268">
        <v>20351</v>
      </c>
      <c r="R569" s="252">
        <v>125</v>
      </c>
      <c r="S569" s="253">
        <v>451854</v>
      </c>
      <c r="T569" s="267">
        <v>133</v>
      </c>
      <c r="U569" s="268">
        <v>486522</v>
      </c>
      <c r="V569" s="252">
        <v>125</v>
      </c>
      <c r="W569" s="253">
        <v>5375</v>
      </c>
      <c r="X569" s="267">
        <v>133</v>
      </c>
      <c r="Y569" s="268">
        <v>5787</v>
      </c>
      <c r="Z569" s="252">
        <v>125</v>
      </c>
      <c r="AA569" s="253">
        <v>12935</v>
      </c>
      <c r="AB569" s="267">
        <v>133</v>
      </c>
      <c r="AC569" s="268">
        <v>13927</v>
      </c>
      <c r="AD569" s="252">
        <v>125</v>
      </c>
      <c r="AE569" s="253">
        <v>9451</v>
      </c>
      <c r="AF569" s="267">
        <v>133</v>
      </c>
      <c r="AG569" s="268">
        <v>10175</v>
      </c>
      <c r="AH569" s="252">
        <v>0</v>
      </c>
      <c r="AI569" s="253">
        <v>0</v>
      </c>
      <c r="AJ569" s="267">
        <v>0</v>
      </c>
      <c r="AK569" s="268">
        <v>0</v>
      </c>
      <c r="AL569" s="252"/>
      <c r="AM569" s="253"/>
      <c r="AN569" s="267"/>
      <c r="AO569" s="268"/>
      <c r="AP569" s="255">
        <f t="shared" si="88"/>
        <v>125</v>
      </c>
      <c r="AQ569" s="256">
        <f t="shared" si="89"/>
        <v>1550324</v>
      </c>
      <c r="AR569" s="257">
        <f t="shared" si="90"/>
        <v>133</v>
      </c>
      <c r="AS569" s="258">
        <f t="shared" si="91"/>
        <v>1683046</v>
      </c>
      <c r="AT569" s="259">
        <v>10</v>
      </c>
      <c r="AU569" s="253">
        <v>36286</v>
      </c>
      <c r="AV569" s="267">
        <v>8</v>
      </c>
      <c r="AW569" s="268">
        <v>31007</v>
      </c>
      <c r="AX569" s="252">
        <v>9</v>
      </c>
      <c r="AY569" s="253">
        <v>58256</v>
      </c>
      <c r="AZ569" s="267">
        <v>7</v>
      </c>
      <c r="BA569" s="268">
        <v>53007</v>
      </c>
      <c r="BB569" s="252">
        <v>10</v>
      </c>
      <c r="BC569" s="253">
        <v>2264</v>
      </c>
      <c r="BD569" s="267">
        <v>8</v>
      </c>
      <c r="BE569" s="268">
        <v>1514</v>
      </c>
      <c r="BF569" s="252">
        <v>10</v>
      </c>
      <c r="BG569" s="253">
        <v>42659</v>
      </c>
      <c r="BH569" s="267">
        <v>8</v>
      </c>
      <c r="BI569" s="268">
        <v>36210</v>
      </c>
      <c r="BJ569" s="252">
        <v>10</v>
      </c>
      <c r="BK569" s="253">
        <v>507</v>
      </c>
      <c r="BL569" s="267">
        <v>8</v>
      </c>
      <c r="BM569" s="268">
        <v>430</v>
      </c>
      <c r="BN569" s="252">
        <v>10</v>
      </c>
      <c r="BO569" s="253">
        <v>1221</v>
      </c>
      <c r="BP569" s="267">
        <v>8</v>
      </c>
      <c r="BQ569" s="268">
        <v>1036</v>
      </c>
      <c r="BR569" s="252">
        <v>10</v>
      </c>
      <c r="BS569" s="253">
        <v>892</v>
      </c>
      <c r="BT569" s="267">
        <v>8</v>
      </c>
      <c r="BU569" s="268">
        <v>757</v>
      </c>
      <c r="BV569" s="252">
        <v>0</v>
      </c>
      <c r="BW569" s="253">
        <v>0</v>
      </c>
      <c r="BX569" s="267">
        <v>0</v>
      </c>
      <c r="BY569" s="268">
        <v>0</v>
      </c>
      <c r="BZ569" s="252"/>
      <c r="CA569" s="253"/>
      <c r="CB569" s="267"/>
      <c r="CC569" s="268"/>
      <c r="CD569" s="255">
        <f t="shared" si="92"/>
        <v>10</v>
      </c>
      <c r="CE569" s="256">
        <f t="shared" si="93"/>
        <v>142085</v>
      </c>
      <c r="CF569" s="257">
        <f t="shared" si="94"/>
        <v>8</v>
      </c>
      <c r="CG569" s="261">
        <f t="shared" si="95"/>
        <v>123961</v>
      </c>
    </row>
    <row r="570" spans="1:85" s="263" customFormat="1" ht="12.75" customHeight="1">
      <c r="A570" s="444" t="s">
        <v>346</v>
      </c>
      <c r="B570" s="411" t="s">
        <v>389</v>
      </c>
      <c r="C570" s="411"/>
      <c r="D570" s="412">
        <v>246354</v>
      </c>
      <c r="E570" s="290">
        <v>8</v>
      </c>
      <c r="F570" s="252">
        <v>120</v>
      </c>
      <c r="G570" s="253">
        <v>488086</v>
      </c>
      <c r="H570" s="267">
        <v>116</v>
      </c>
      <c r="I570" s="268">
        <v>653094</v>
      </c>
      <c r="J570" s="252">
        <v>109</v>
      </c>
      <c r="K570" s="253">
        <v>639404</v>
      </c>
      <c r="L570" s="267">
        <v>105</v>
      </c>
      <c r="M570" s="268">
        <v>708841</v>
      </c>
      <c r="N570" s="252">
        <v>120</v>
      </c>
      <c r="O570" s="253">
        <v>26909</v>
      </c>
      <c r="P570" s="267">
        <v>116</v>
      </c>
      <c r="Q570" s="268">
        <v>20803</v>
      </c>
      <c r="R570" s="252">
        <v>120</v>
      </c>
      <c r="S570" s="253">
        <v>505595</v>
      </c>
      <c r="T570" s="267">
        <v>116</v>
      </c>
      <c r="U570" s="268">
        <v>497331</v>
      </c>
      <c r="V570" s="252">
        <v>120</v>
      </c>
      <c r="W570" s="253">
        <v>6014</v>
      </c>
      <c r="X570" s="267">
        <v>116</v>
      </c>
      <c r="Y570" s="268">
        <v>5916</v>
      </c>
      <c r="Z570" s="252">
        <v>120</v>
      </c>
      <c r="AA570" s="253">
        <v>14474</v>
      </c>
      <c r="AB570" s="267">
        <v>116</v>
      </c>
      <c r="AC570" s="268">
        <v>14237</v>
      </c>
      <c r="AD570" s="252">
        <v>120</v>
      </c>
      <c r="AE570" s="253">
        <v>10575</v>
      </c>
      <c r="AF570" s="267">
        <v>116</v>
      </c>
      <c r="AG570" s="268">
        <v>10402</v>
      </c>
      <c r="AH570" s="252">
        <v>0</v>
      </c>
      <c r="AI570" s="253">
        <v>0</v>
      </c>
      <c r="AJ570" s="267">
        <v>0</v>
      </c>
      <c r="AK570" s="268">
        <v>0</v>
      </c>
      <c r="AL570" s="252"/>
      <c r="AM570" s="253"/>
      <c r="AN570" s="267"/>
      <c r="AO570" s="268"/>
      <c r="AP570" s="255">
        <f t="shared" si="88"/>
        <v>120</v>
      </c>
      <c r="AQ570" s="256">
        <f t="shared" si="89"/>
        <v>1691057</v>
      </c>
      <c r="AR570" s="257">
        <f t="shared" si="90"/>
        <v>116</v>
      </c>
      <c r="AS570" s="258">
        <f t="shared" si="91"/>
        <v>1910624</v>
      </c>
      <c r="AT570" s="259">
        <v>9</v>
      </c>
      <c r="AU570" s="253">
        <v>37556</v>
      </c>
      <c r="AV570" s="267">
        <v>8</v>
      </c>
      <c r="AW570" s="268">
        <v>45378</v>
      </c>
      <c r="AX570" s="252">
        <v>9</v>
      </c>
      <c r="AY570" s="253">
        <v>57029</v>
      </c>
      <c r="AZ570" s="267">
        <v>8</v>
      </c>
      <c r="BA570" s="268">
        <v>47623</v>
      </c>
      <c r="BB570" s="252">
        <v>9</v>
      </c>
      <c r="BC570" s="253">
        <v>2124</v>
      </c>
      <c r="BD570" s="267">
        <v>8</v>
      </c>
      <c r="BE570" s="268">
        <v>1588</v>
      </c>
      <c r="BF570" s="252">
        <v>9</v>
      </c>
      <c r="BG570" s="253">
        <v>40457</v>
      </c>
      <c r="BH570" s="267">
        <v>8</v>
      </c>
      <c r="BI570" s="268">
        <v>37975</v>
      </c>
      <c r="BJ570" s="252">
        <v>9</v>
      </c>
      <c r="BK570" s="253">
        <v>481</v>
      </c>
      <c r="BL570" s="267">
        <v>8</v>
      </c>
      <c r="BM570" s="268">
        <v>452</v>
      </c>
      <c r="BN570" s="252">
        <v>9</v>
      </c>
      <c r="BO570" s="253">
        <v>1158</v>
      </c>
      <c r="BP570" s="267">
        <v>8</v>
      </c>
      <c r="BQ570" s="268">
        <v>1087</v>
      </c>
      <c r="BR570" s="252">
        <v>9</v>
      </c>
      <c r="BS570" s="253">
        <v>846</v>
      </c>
      <c r="BT570" s="267">
        <v>8</v>
      </c>
      <c r="BU570" s="268">
        <v>794</v>
      </c>
      <c r="BV570" s="252">
        <v>0</v>
      </c>
      <c r="BW570" s="253">
        <v>0</v>
      </c>
      <c r="BX570" s="267">
        <v>0</v>
      </c>
      <c r="BY570" s="268">
        <v>0</v>
      </c>
      <c r="BZ570" s="252"/>
      <c r="CA570" s="253"/>
      <c r="CB570" s="267"/>
      <c r="CC570" s="268"/>
      <c r="CD570" s="255">
        <f t="shared" si="92"/>
        <v>9</v>
      </c>
      <c r="CE570" s="256">
        <f t="shared" si="93"/>
        <v>139651</v>
      </c>
      <c r="CF570" s="257">
        <f t="shared" si="94"/>
        <v>8</v>
      </c>
      <c r="CG570" s="261">
        <f t="shared" si="95"/>
        <v>134897</v>
      </c>
    </row>
    <row r="571" spans="1:85" s="263" customFormat="1" ht="12.75" customHeight="1">
      <c r="A571" s="444" t="s">
        <v>346</v>
      </c>
      <c r="B571" s="411" t="s">
        <v>1053</v>
      </c>
      <c r="C571" s="411"/>
      <c r="D571" s="412">
        <v>227766</v>
      </c>
      <c r="E571" s="290">
        <v>8</v>
      </c>
      <c r="F571" s="252">
        <v>148</v>
      </c>
      <c r="G571" s="253">
        <v>733101</v>
      </c>
      <c r="H571" s="267">
        <v>156</v>
      </c>
      <c r="I571" s="268">
        <v>748614</v>
      </c>
      <c r="J571" s="252">
        <v>147</v>
      </c>
      <c r="K571" s="253">
        <v>855557</v>
      </c>
      <c r="L571" s="267">
        <v>156</v>
      </c>
      <c r="M571" s="268">
        <v>957173</v>
      </c>
      <c r="N571" s="252"/>
      <c r="O571" s="253"/>
      <c r="P571" s="267"/>
      <c r="Q571" s="268"/>
      <c r="R571" s="252"/>
      <c r="S571" s="253"/>
      <c r="T571" s="267"/>
      <c r="U571" s="268"/>
      <c r="V571" s="252">
        <v>148</v>
      </c>
      <c r="W571" s="253">
        <v>94842</v>
      </c>
      <c r="X571" s="267">
        <v>156</v>
      </c>
      <c r="Y571" s="268">
        <v>97093</v>
      </c>
      <c r="Z571" s="252">
        <v>296</v>
      </c>
      <c r="AA571" s="253">
        <v>6110</v>
      </c>
      <c r="AB571" s="267">
        <v>312</v>
      </c>
      <c r="AC571" s="268">
        <v>6515</v>
      </c>
      <c r="AD571" s="252">
        <v>148</v>
      </c>
      <c r="AE571" s="253">
        <v>94842</v>
      </c>
      <c r="AF571" s="267">
        <v>156</v>
      </c>
      <c r="AG571" s="268">
        <v>97093</v>
      </c>
      <c r="AH571" s="252">
        <v>0</v>
      </c>
      <c r="AI571" s="253">
        <v>0</v>
      </c>
      <c r="AJ571" s="267">
        <v>0</v>
      </c>
      <c r="AK571" s="268">
        <v>0</v>
      </c>
      <c r="AL571" s="252"/>
      <c r="AM571" s="253"/>
      <c r="AN571" s="267"/>
      <c r="AO571" s="268"/>
      <c r="AP571" s="255">
        <f t="shared" si="88"/>
        <v>296</v>
      </c>
      <c r="AQ571" s="256">
        <f t="shared" si="89"/>
        <v>1784452</v>
      </c>
      <c r="AR571" s="257">
        <f t="shared" si="90"/>
        <v>312</v>
      </c>
      <c r="AS571" s="258">
        <f t="shared" si="91"/>
        <v>1906488</v>
      </c>
      <c r="AT571" s="259"/>
      <c r="AU571" s="253"/>
      <c r="AV571" s="267">
        <v>0</v>
      </c>
      <c r="AW571" s="268">
        <v>0</v>
      </c>
      <c r="AX571" s="252"/>
      <c r="AY571" s="253"/>
      <c r="AZ571" s="267"/>
      <c r="BA571" s="268"/>
      <c r="BB571" s="252"/>
      <c r="BC571" s="253"/>
      <c r="BD571" s="267"/>
      <c r="BE571" s="268"/>
      <c r="BF571" s="252"/>
      <c r="BG571" s="253"/>
      <c r="BH571" s="267"/>
      <c r="BI571" s="268"/>
      <c r="BJ571" s="252"/>
      <c r="BK571" s="253"/>
      <c r="BL571" s="267"/>
      <c r="BM571" s="268"/>
      <c r="BN571" s="252"/>
      <c r="BO571" s="253"/>
      <c r="BP571" s="267">
        <v>0</v>
      </c>
      <c r="BQ571" s="268">
        <v>0</v>
      </c>
      <c r="BR571" s="252"/>
      <c r="BS571" s="253"/>
      <c r="BT571" s="267"/>
      <c r="BU571" s="268"/>
      <c r="BV571" s="252"/>
      <c r="BW571" s="253"/>
      <c r="BX571" s="267">
        <v>0</v>
      </c>
      <c r="BY571" s="268">
        <v>0</v>
      </c>
      <c r="BZ571" s="252"/>
      <c r="CA571" s="253"/>
      <c r="CB571" s="267"/>
      <c r="CC571" s="268"/>
      <c r="CD571" s="255">
        <f t="shared" si="92"/>
        <v>0</v>
      </c>
      <c r="CE571" s="256">
        <f t="shared" si="93"/>
        <v>0</v>
      </c>
      <c r="CF571" s="257">
        <f t="shared" si="94"/>
        <v>0</v>
      </c>
      <c r="CG571" s="261">
        <f t="shared" si="95"/>
        <v>0</v>
      </c>
    </row>
    <row r="572" spans="1:85" s="263" customFormat="1" ht="12.75" customHeight="1">
      <c r="A572" s="444" t="s">
        <v>346</v>
      </c>
      <c r="B572" s="411" t="s">
        <v>390</v>
      </c>
      <c r="C572" s="411"/>
      <c r="D572" s="412">
        <v>227924</v>
      </c>
      <c r="E572" s="290">
        <v>8</v>
      </c>
      <c r="F572" s="252">
        <v>788</v>
      </c>
      <c r="G572" s="253">
        <v>3429868</v>
      </c>
      <c r="H572" s="267">
        <v>756</v>
      </c>
      <c r="I572" s="268">
        <v>4728954</v>
      </c>
      <c r="J572" s="252">
        <v>734</v>
      </c>
      <c r="K572" s="253">
        <v>4220310</v>
      </c>
      <c r="L572" s="267">
        <v>700</v>
      </c>
      <c r="M572" s="268">
        <v>4145132</v>
      </c>
      <c r="N572" s="252">
        <v>796</v>
      </c>
      <c r="O572" s="253">
        <v>184928</v>
      </c>
      <c r="P572" s="267">
        <v>756</v>
      </c>
      <c r="Q572" s="268">
        <v>141712</v>
      </c>
      <c r="R572" s="252">
        <v>796</v>
      </c>
      <c r="S572" s="253">
        <v>3507538</v>
      </c>
      <c r="T572" s="267">
        <v>756</v>
      </c>
      <c r="U572" s="268">
        <v>3387780</v>
      </c>
      <c r="V572" s="252">
        <v>796</v>
      </c>
      <c r="W572" s="253">
        <v>41726</v>
      </c>
      <c r="X572" s="267">
        <v>756</v>
      </c>
      <c r="Y572" s="268">
        <v>40300</v>
      </c>
      <c r="Z572" s="252">
        <v>796</v>
      </c>
      <c r="AA572" s="253">
        <v>100412</v>
      </c>
      <c r="AB572" s="267">
        <v>756</v>
      </c>
      <c r="AC572" s="268">
        <v>96984</v>
      </c>
      <c r="AD572" s="252">
        <v>796</v>
      </c>
      <c r="AE572" s="253">
        <v>73360</v>
      </c>
      <c r="AF572" s="267">
        <v>756</v>
      </c>
      <c r="AG572" s="268">
        <v>70856</v>
      </c>
      <c r="AH572" s="252">
        <v>0</v>
      </c>
      <c r="AI572" s="253">
        <v>0</v>
      </c>
      <c r="AJ572" s="267">
        <v>0</v>
      </c>
      <c r="AK572" s="268">
        <v>0</v>
      </c>
      <c r="AL572" s="252"/>
      <c r="AM572" s="253"/>
      <c r="AN572" s="267"/>
      <c r="AO572" s="268"/>
      <c r="AP572" s="255">
        <f t="shared" si="88"/>
        <v>796</v>
      </c>
      <c r="AQ572" s="256">
        <f t="shared" si="89"/>
        <v>11558142</v>
      </c>
      <c r="AR572" s="257">
        <f t="shared" si="90"/>
        <v>756</v>
      </c>
      <c r="AS572" s="258">
        <f t="shared" si="91"/>
        <v>12611718</v>
      </c>
      <c r="AT572" s="259">
        <v>68</v>
      </c>
      <c r="AU572" s="253">
        <v>368542</v>
      </c>
      <c r="AV572" s="267">
        <v>66</v>
      </c>
      <c r="AW572" s="268">
        <v>559020</v>
      </c>
      <c r="AX572" s="252">
        <v>66</v>
      </c>
      <c r="AY572" s="253">
        <v>374460</v>
      </c>
      <c r="AZ572" s="267">
        <v>62</v>
      </c>
      <c r="BA572" s="268">
        <v>341412</v>
      </c>
      <c r="BB572" s="252">
        <v>68</v>
      </c>
      <c r="BC572" s="253">
        <v>18608</v>
      </c>
      <c r="BD572" s="267">
        <v>66</v>
      </c>
      <c r="BE572" s="268">
        <v>15740</v>
      </c>
      <c r="BF572" s="252">
        <v>68</v>
      </c>
      <c r="BG572" s="253">
        <v>366808</v>
      </c>
      <c r="BH572" s="267">
        <v>66</v>
      </c>
      <c r="BI572" s="268">
        <v>376296</v>
      </c>
      <c r="BJ572" s="252">
        <v>68</v>
      </c>
      <c r="BK572" s="253">
        <v>4364</v>
      </c>
      <c r="BL572" s="267">
        <v>66</v>
      </c>
      <c r="BM572" s="268">
        <v>4476</v>
      </c>
      <c r="BN572" s="252">
        <v>68</v>
      </c>
      <c r="BO572" s="253">
        <v>10500</v>
      </c>
      <c r="BP572" s="267">
        <v>66</v>
      </c>
      <c r="BQ572" s="268">
        <v>10772</v>
      </c>
      <c r="BR572" s="252">
        <v>68</v>
      </c>
      <c r="BS572" s="253">
        <v>7672</v>
      </c>
      <c r="BT572" s="267">
        <v>66</v>
      </c>
      <c r="BU572" s="268">
        <v>7870</v>
      </c>
      <c r="BV572" s="252">
        <v>0</v>
      </c>
      <c r="BW572" s="253">
        <v>0</v>
      </c>
      <c r="BX572" s="267">
        <v>0</v>
      </c>
      <c r="BY572" s="268">
        <v>0</v>
      </c>
      <c r="BZ572" s="252"/>
      <c r="CA572" s="253"/>
      <c r="CB572" s="267"/>
      <c r="CC572" s="268"/>
      <c r="CD572" s="255">
        <f t="shared" si="92"/>
        <v>68</v>
      </c>
      <c r="CE572" s="256">
        <f t="shared" si="93"/>
        <v>1150954</v>
      </c>
      <c r="CF572" s="257">
        <f t="shared" si="94"/>
        <v>66</v>
      </c>
      <c r="CG572" s="261">
        <f t="shared" si="95"/>
        <v>1315586</v>
      </c>
    </row>
    <row r="573" spans="1:85" s="263" customFormat="1" ht="12.75" customHeight="1">
      <c r="A573" s="444" t="s">
        <v>346</v>
      </c>
      <c r="B573" s="411" t="s">
        <v>1054</v>
      </c>
      <c r="C573" s="411"/>
      <c r="D573" s="412">
        <v>227979</v>
      </c>
      <c r="E573" s="290">
        <v>8</v>
      </c>
      <c r="F573" s="252">
        <v>377</v>
      </c>
      <c r="G573" s="253">
        <v>1716147</v>
      </c>
      <c r="H573" s="267">
        <v>409</v>
      </c>
      <c r="I573" s="268">
        <v>1416695</v>
      </c>
      <c r="J573" s="252">
        <v>348</v>
      </c>
      <c r="K573" s="253">
        <v>2362876</v>
      </c>
      <c r="L573" s="267">
        <v>404</v>
      </c>
      <c r="M573" s="268">
        <v>2726407</v>
      </c>
      <c r="N573" s="252">
        <v>348</v>
      </c>
      <c r="O573" s="253">
        <v>181219</v>
      </c>
      <c r="P573" s="267">
        <v>405</v>
      </c>
      <c r="Q573" s="268">
        <v>213236</v>
      </c>
      <c r="R573" s="252">
        <v>298</v>
      </c>
      <c r="S573" s="253">
        <v>268190</v>
      </c>
      <c r="T573" s="267">
        <v>360</v>
      </c>
      <c r="U573" s="268">
        <v>303777</v>
      </c>
      <c r="V573" s="252">
        <v>348</v>
      </c>
      <c r="W573" s="253">
        <v>31601</v>
      </c>
      <c r="X573" s="267">
        <v>405</v>
      </c>
      <c r="Y573" s="268">
        <v>19229</v>
      </c>
      <c r="Z573" s="252">
        <v>348</v>
      </c>
      <c r="AA573" s="253">
        <v>217203</v>
      </c>
      <c r="AB573" s="267">
        <v>395</v>
      </c>
      <c r="AC573" s="268">
        <v>225500</v>
      </c>
      <c r="AD573" s="252">
        <v>348</v>
      </c>
      <c r="AE573" s="253">
        <v>30989</v>
      </c>
      <c r="AF573" s="267">
        <v>405</v>
      </c>
      <c r="AG573" s="268">
        <v>19023</v>
      </c>
      <c r="AH573" s="252">
        <v>0</v>
      </c>
      <c r="AI573" s="253">
        <v>0</v>
      </c>
      <c r="AJ573" s="267">
        <v>0</v>
      </c>
      <c r="AK573" s="268">
        <v>0</v>
      </c>
      <c r="AL573" s="252"/>
      <c r="AM573" s="253"/>
      <c r="AN573" s="267"/>
      <c r="AO573" s="268"/>
      <c r="AP573" s="255">
        <f t="shared" si="88"/>
        <v>377</v>
      </c>
      <c r="AQ573" s="256">
        <f t="shared" si="89"/>
        <v>4808225</v>
      </c>
      <c r="AR573" s="257">
        <f t="shared" si="90"/>
        <v>409</v>
      </c>
      <c r="AS573" s="258">
        <f t="shared" si="91"/>
        <v>4923867</v>
      </c>
      <c r="AT573" s="259">
        <v>112</v>
      </c>
      <c r="AU573" s="253">
        <v>546660</v>
      </c>
      <c r="AV573" s="267">
        <v>105</v>
      </c>
      <c r="AW573" s="268">
        <v>461491</v>
      </c>
      <c r="AX573" s="252">
        <v>97</v>
      </c>
      <c r="AY573" s="253">
        <v>646944</v>
      </c>
      <c r="AZ573" s="267">
        <v>107</v>
      </c>
      <c r="BA573" s="268">
        <v>742954</v>
      </c>
      <c r="BB573" s="252">
        <v>98</v>
      </c>
      <c r="BC573" s="253">
        <v>50192</v>
      </c>
      <c r="BD573" s="267">
        <v>107</v>
      </c>
      <c r="BE573" s="268">
        <v>55829</v>
      </c>
      <c r="BF573" s="252">
        <v>98</v>
      </c>
      <c r="BG573" s="253">
        <v>97236</v>
      </c>
      <c r="BH573" s="267">
        <v>96</v>
      </c>
      <c r="BI573" s="268">
        <v>103720</v>
      </c>
      <c r="BJ573" s="252">
        <v>98</v>
      </c>
      <c r="BK573" s="253">
        <v>11496</v>
      </c>
      <c r="BL573" s="267">
        <v>107</v>
      </c>
      <c r="BM573" s="268">
        <v>16964</v>
      </c>
      <c r="BN573" s="252">
        <v>98</v>
      </c>
      <c r="BO573" s="253">
        <v>44282</v>
      </c>
      <c r="BP573" s="267">
        <v>107</v>
      </c>
      <c r="BQ573" s="268">
        <v>50118</v>
      </c>
      <c r="BR573" s="252">
        <v>98</v>
      </c>
      <c r="BS573" s="253">
        <v>11274</v>
      </c>
      <c r="BT573" s="267">
        <v>107</v>
      </c>
      <c r="BU573" s="268">
        <v>6568</v>
      </c>
      <c r="BV573" s="252">
        <v>0</v>
      </c>
      <c r="BW573" s="253">
        <v>0</v>
      </c>
      <c r="BX573" s="267">
        <v>0</v>
      </c>
      <c r="BY573" s="268">
        <v>0</v>
      </c>
      <c r="BZ573" s="252"/>
      <c r="CA573" s="253"/>
      <c r="CB573" s="267"/>
      <c r="CC573" s="268"/>
      <c r="CD573" s="255">
        <f t="shared" si="92"/>
        <v>112</v>
      </c>
      <c r="CE573" s="256">
        <f t="shared" si="93"/>
        <v>1408084</v>
      </c>
      <c r="CF573" s="257">
        <f t="shared" si="94"/>
        <v>107</v>
      </c>
      <c r="CG573" s="261">
        <f t="shared" si="95"/>
        <v>1437644</v>
      </c>
    </row>
    <row r="574" spans="1:85" s="263" customFormat="1" ht="12.75" customHeight="1">
      <c r="A574" s="444" t="s">
        <v>346</v>
      </c>
      <c r="B574" s="411" t="s">
        <v>391</v>
      </c>
      <c r="C574" s="411"/>
      <c r="D574" s="412">
        <v>228158</v>
      </c>
      <c r="E574" s="290">
        <v>8</v>
      </c>
      <c r="F574" s="252">
        <v>482</v>
      </c>
      <c r="G574" s="253">
        <v>1616628</v>
      </c>
      <c r="H574" s="267">
        <v>494</v>
      </c>
      <c r="I574" s="268">
        <v>1682070</v>
      </c>
      <c r="J574" s="252">
        <v>241</v>
      </c>
      <c r="K574" s="253">
        <v>951950</v>
      </c>
      <c r="L574" s="267">
        <v>247</v>
      </c>
      <c r="M574" s="268">
        <v>988000</v>
      </c>
      <c r="N574" s="252"/>
      <c r="O574" s="253"/>
      <c r="P574" s="267"/>
      <c r="Q574" s="268"/>
      <c r="R574" s="252">
        <v>241</v>
      </c>
      <c r="S574" s="253">
        <v>662509</v>
      </c>
      <c r="T574" s="267">
        <v>247</v>
      </c>
      <c r="U574" s="268">
        <v>688389</v>
      </c>
      <c r="V574" s="252">
        <v>241</v>
      </c>
      <c r="W574" s="253">
        <v>166531</v>
      </c>
      <c r="X574" s="267">
        <v>247</v>
      </c>
      <c r="Y574" s="268">
        <v>173394</v>
      </c>
      <c r="Z574" s="252">
        <v>0</v>
      </c>
      <c r="AA574" s="253">
        <v>0</v>
      </c>
      <c r="AB574" s="267">
        <v>0</v>
      </c>
      <c r="AC574" s="268">
        <v>0</v>
      </c>
      <c r="AD574" s="252">
        <v>241</v>
      </c>
      <c r="AE574" s="253">
        <v>70613</v>
      </c>
      <c r="AF574" s="267">
        <v>247</v>
      </c>
      <c r="AG574" s="268">
        <v>76323</v>
      </c>
      <c r="AH574" s="252">
        <v>0</v>
      </c>
      <c r="AI574" s="253">
        <v>0</v>
      </c>
      <c r="AJ574" s="267">
        <v>0</v>
      </c>
      <c r="AK574" s="268">
        <v>0</v>
      </c>
      <c r="AL574" s="252"/>
      <c r="AM574" s="253"/>
      <c r="AN574" s="267"/>
      <c r="AO574" s="268"/>
      <c r="AP574" s="255">
        <f t="shared" si="88"/>
        <v>482</v>
      </c>
      <c r="AQ574" s="256">
        <f t="shared" si="89"/>
        <v>3468231</v>
      </c>
      <c r="AR574" s="257">
        <f t="shared" si="90"/>
        <v>494</v>
      </c>
      <c r="AS574" s="258">
        <f t="shared" si="91"/>
        <v>3608176</v>
      </c>
      <c r="AT574" s="259">
        <v>62</v>
      </c>
      <c r="AU574" s="253">
        <v>214985</v>
      </c>
      <c r="AV574" s="267">
        <v>64</v>
      </c>
      <c r="AW574" s="268">
        <v>223264</v>
      </c>
      <c r="AX574" s="252">
        <v>31</v>
      </c>
      <c r="AY574" s="253">
        <v>174809</v>
      </c>
      <c r="AZ574" s="267">
        <v>32</v>
      </c>
      <c r="BA574" s="268">
        <v>181024</v>
      </c>
      <c r="BB574" s="252"/>
      <c r="BC574" s="253"/>
      <c r="BD574" s="267"/>
      <c r="BE574" s="268"/>
      <c r="BF574" s="252">
        <v>31</v>
      </c>
      <c r="BG574" s="253">
        <v>86211</v>
      </c>
      <c r="BH574" s="267">
        <v>32</v>
      </c>
      <c r="BI574" s="268">
        <v>89344</v>
      </c>
      <c r="BJ574" s="252">
        <v>31</v>
      </c>
      <c r="BK574" s="253">
        <v>19716</v>
      </c>
      <c r="BL574" s="267">
        <v>32</v>
      </c>
      <c r="BM574" s="268">
        <v>20576</v>
      </c>
      <c r="BN574" s="252">
        <v>0</v>
      </c>
      <c r="BO574" s="253">
        <v>0</v>
      </c>
      <c r="BP574" s="267">
        <v>0</v>
      </c>
      <c r="BQ574" s="268">
        <v>0</v>
      </c>
      <c r="BR574" s="252">
        <v>31</v>
      </c>
      <c r="BS574" s="253">
        <v>8494</v>
      </c>
      <c r="BT574" s="267">
        <v>32</v>
      </c>
      <c r="BU574" s="268">
        <v>9024</v>
      </c>
      <c r="BV574" s="252">
        <v>0</v>
      </c>
      <c r="BW574" s="253">
        <v>0</v>
      </c>
      <c r="BX574" s="267">
        <v>0</v>
      </c>
      <c r="BY574" s="268">
        <v>0</v>
      </c>
      <c r="BZ574" s="252"/>
      <c r="CA574" s="253"/>
      <c r="CB574" s="267"/>
      <c r="CC574" s="268"/>
      <c r="CD574" s="255">
        <f t="shared" si="92"/>
        <v>62</v>
      </c>
      <c r="CE574" s="256">
        <f t="shared" si="93"/>
        <v>504215</v>
      </c>
      <c r="CF574" s="257">
        <f t="shared" si="94"/>
        <v>64</v>
      </c>
      <c r="CG574" s="261">
        <f t="shared" si="95"/>
        <v>523232</v>
      </c>
    </row>
    <row r="575" spans="1:85" s="263" customFormat="1" ht="12.75" customHeight="1">
      <c r="A575" s="444" t="s">
        <v>346</v>
      </c>
      <c r="B575" s="411" t="s">
        <v>1055</v>
      </c>
      <c r="C575" s="411"/>
      <c r="D575" s="412">
        <v>227854</v>
      </c>
      <c r="E575" s="290">
        <v>8</v>
      </c>
      <c r="F575" s="252">
        <v>192</v>
      </c>
      <c r="G575" s="253">
        <v>705257</v>
      </c>
      <c r="H575" s="267">
        <v>187</v>
      </c>
      <c r="I575" s="268">
        <v>912754</v>
      </c>
      <c r="J575" s="252">
        <v>169</v>
      </c>
      <c r="K575" s="253">
        <v>967241</v>
      </c>
      <c r="L575" s="267">
        <v>159</v>
      </c>
      <c r="M575" s="268">
        <v>1025257</v>
      </c>
      <c r="N575" s="252">
        <v>192</v>
      </c>
      <c r="O575" s="253">
        <v>40521</v>
      </c>
      <c r="P575" s="267">
        <v>187</v>
      </c>
      <c r="Q575" s="268">
        <v>31182</v>
      </c>
      <c r="R575" s="252">
        <v>192</v>
      </c>
      <c r="S575" s="253">
        <v>748386</v>
      </c>
      <c r="T575" s="267">
        <v>187</v>
      </c>
      <c r="U575" s="268">
        <v>745434</v>
      </c>
      <c r="V575" s="252">
        <v>192</v>
      </c>
      <c r="W575" s="253">
        <v>8903</v>
      </c>
      <c r="X575" s="267">
        <v>187</v>
      </c>
      <c r="Y575" s="268">
        <v>8867</v>
      </c>
      <c r="Z575" s="252">
        <v>192</v>
      </c>
      <c r="AA575" s="253">
        <v>21424</v>
      </c>
      <c r="AB575" s="267">
        <v>187</v>
      </c>
      <c r="AC575" s="268">
        <v>21340</v>
      </c>
      <c r="AD575" s="252">
        <v>192</v>
      </c>
      <c r="AE575" s="253">
        <v>15653</v>
      </c>
      <c r="AF575" s="267">
        <v>187</v>
      </c>
      <c r="AG575" s="268">
        <v>15591</v>
      </c>
      <c r="AH575" s="252">
        <v>0</v>
      </c>
      <c r="AI575" s="253">
        <v>0</v>
      </c>
      <c r="AJ575" s="267">
        <v>0</v>
      </c>
      <c r="AK575" s="268">
        <v>0</v>
      </c>
      <c r="AL575" s="252"/>
      <c r="AM575" s="253"/>
      <c r="AN575" s="267"/>
      <c r="AO575" s="268"/>
      <c r="AP575" s="255">
        <f t="shared" si="88"/>
        <v>192</v>
      </c>
      <c r="AQ575" s="256">
        <f t="shared" si="89"/>
        <v>2507385</v>
      </c>
      <c r="AR575" s="257">
        <f t="shared" si="90"/>
        <v>187</v>
      </c>
      <c r="AS575" s="258">
        <f t="shared" si="91"/>
        <v>2760425</v>
      </c>
      <c r="AT575" s="259">
        <v>21</v>
      </c>
      <c r="AU575" s="253">
        <v>98161</v>
      </c>
      <c r="AV575" s="267">
        <v>15</v>
      </c>
      <c r="AW575" s="268">
        <v>110209</v>
      </c>
      <c r="AX575" s="252">
        <v>16</v>
      </c>
      <c r="AY575" s="253">
        <v>91304</v>
      </c>
      <c r="AZ575" s="267">
        <v>13</v>
      </c>
      <c r="BA575" s="268">
        <v>86424</v>
      </c>
      <c r="BB575" s="252">
        <v>21</v>
      </c>
      <c r="BC575" s="253">
        <v>5259</v>
      </c>
      <c r="BD575" s="267">
        <v>15</v>
      </c>
      <c r="BE575" s="268">
        <v>3224</v>
      </c>
      <c r="BF575" s="252">
        <v>21</v>
      </c>
      <c r="BG575" s="253">
        <v>101618</v>
      </c>
      <c r="BH575" s="267">
        <v>15</v>
      </c>
      <c r="BI575" s="268">
        <v>77078</v>
      </c>
      <c r="BJ575" s="252">
        <v>21</v>
      </c>
      <c r="BK575" s="253">
        <v>1209</v>
      </c>
      <c r="BL575" s="267">
        <v>15</v>
      </c>
      <c r="BM575" s="268">
        <v>917</v>
      </c>
      <c r="BN575" s="252">
        <v>21</v>
      </c>
      <c r="BO575" s="253">
        <v>2909</v>
      </c>
      <c r="BP575" s="267">
        <v>15</v>
      </c>
      <c r="BQ575" s="268">
        <v>2207</v>
      </c>
      <c r="BR575" s="252">
        <v>21</v>
      </c>
      <c r="BS575" s="253">
        <v>2125</v>
      </c>
      <c r="BT575" s="267">
        <v>15</v>
      </c>
      <c r="BU575" s="268">
        <v>1612</v>
      </c>
      <c r="BV575" s="252">
        <v>0</v>
      </c>
      <c r="BW575" s="253">
        <v>0</v>
      </c>
      <c r="BX575" s="267">
        <v>0</v>
      </c>
      <c r="BY575" s="268">
        <v>0</v>
      </c>
      <c r="BZ575" s="252"/>
      <c r="CA575" s="253"/>
      <c r="CB575" s="267"/>
      <c r="CC575" s="268"/>
      <c r="CD575" s="255">
        <f t="shared" si="92"/>
        <v>21</v>
      </c>
      <c r="CE575" s="256">
        <f t="shared" si="93"/>
        <v>302585</v>
      </c>
      <c r="CF575" s="257">
        <f t="shared" si="94"/>
        <v>15</v>
      </c>
      <c r="CG575" s="261">
        <f t="shared" si="95"/>
        <v>281671</v>
      </c>
    </row>
    <row r="576" spans="1:85" s="263" customFormat="1" ht="12.75" customHeight="1">
      <c r="A576" s="444" t="s">
        <v>346</v>
      </c>
      <c r="B576" s="411" t="s">
        <v>1056</v>
      </c>
      <c r="C576" s="411"/>
      <c r="D576" s="412">
        <v>228547</v>
      </c>
      <c r="E576" s="290">
        <v>8</v>
      </c>
      <c r="F576" s="252">
        <v>1227</v>
      </c>
      <c r="G576" s="253">
        <v>6777732</v>
      </c>
      <c r="H576" s="267">
        <v>1207</v>
      </c>
      <c r="I576" s="268">
        <v>7071697</v>
      </c>
      <c r="J576" s="252">
        <v>585</v>
      </c>
      <c r="K576" s="253">
        <v>101604</v>
      </c>
      <c r="L576" s="267">
        <v>572</v>
      </c>
      <c r="M576" s="268">
        <v>107952</v>
      </c>
      <c r="N576" s="252"/>
      <c r="O576" s="253"/>
      <c r="P576" s="267"/>
      <c r="Q576" s="268"/>
      <c r="R576" s="252">
        <v>642</v>
      </c>
      <c r="S576" s="253">
        <v>2858551</v>
      </c>
      <c r="T576" s="267">
        <v>635</v>
      </c>
      <c r="U576" s="268">
        <v>2917415</v>
      </c>
      <c r="V576" s="252">
        <v>642</v>
      </c>
      <c r="W576" s="253">
        <v>224200</v>
      </c>
      <c r="X576" s="267">
        <v>635</v>
      </c>
      <c r="Y576" s="268">
        <v>228817</v>
      </c>
      <c r="Z576" s="252">
        <v>585</v>
      </c>
      <c r="AA576" s="253">
        <v>6180</v>
      </c>
      <c r="AB576" s="267">
        <v>572</v>
      </c>
      <c r="AC576" s="268">
        <v>6984</v>
      </c>
      <c r="AD576" s="252">
        <v>642</v>
      </c>
      <c r="AE576" s="253">
        <v>29893</v>
      </c>
      <c r="AF576" s="267">
        <v>635</v>
      </c>
      <c r="AG576" s="268">
        <v>30509</v>
      </c>
      <c r="AH576" s="252">
        <v>0</v>
      </c>
      <c r="AI576" s="253">
        <v>0</v>
      </c>
      <c r="AJ576" s="267">
        <v>0</v>
      </c>
      <c r="AK576" s="268">
        <v>0</v>
      </c>
      <c r="AL576" s="252"/>
      <c r="AM576" s="253"/>
      <c r="AN576" s="267"/>
      <c r="AO576" s="268"/>
      <c r="AP576" s="255">
        <f t="shared" si="88"/>
        <v>1227</v>
      </c>
      <c r="AQ576" s="256">
        <f t="shared" si="89"/>
        <v>9998160</v>
      </c>
      <c r="AR576" s="257">
        <f t="shared" si="90"/>
        <v>1207</v>
      </c>
      <c r="AS576" s="258">
        <f t="shared" si="91"/>
        <v>10363374</v>
      </c>
      <c r="AT576" s="259">
        <v>36</v>
      </c>
      <c r="AU576" s="253">
        <v>248962</v>
      </c>
      <c r="AV576" s="267">
        <v>38</v>
      </c>
      <c r="AW576" s="268">
        <v>261879</v>
      </c>
      <c r="AX576" s="252">
        <v>18</v>
      </c>
      <c r="AY576" s="253">
        <v>2460</v>
      </c>
      <c r="AZ576" s="267">
        <v>19</v>
      </c>
      <c r="BA576" s="268">
        <v>2460</v>
      </c>
      <c r="BB576" s="252"/>
      <c r="BC576" s="253"/>
      <c r="BD576" s="267"/>
      <c r="BE576" s="268"/>
      <c r="BF576" s="252">
        <v>18</v>
      </c>
      <c r="BG576" s="253">
        <v>109288</v>
      </c>
      <c r="BH576" s="267">
        <v>19</v>
      </c>
      <c r="BI576" s="268">
        <v>115698</v>
      </c>
      <c r="BJ576" s="252">
        <v>18</v>
      </c>
      <c r="BK576" s="253">
        <v>8572</v>
      </c>
      <c r="BL576" s="267">
        <v>19</v>
      </c>
      <c r="BM576" s="268">
        <v>9074</v>
      </c>
      <c r="BN576" s="252">
        <v>18</v>
      </c>
      <c r="BO576" s="253">
        <v>216</v>
      </c>
      <c r="BP576" s="267">
        <v>19</v>
      </c>
      <c r="BQ576" s="268">
        <v>216</v>
      </c>
      <c r="BR576" s="252">
        <v>18</v>
      </c>
      <c r="BS576" s="253">
        <v>1143</v>
      </c>
      <c r="BT576" s="267">
        <v>19</v>
      </c>
      <c r="BU576" s="268">
        <v>1210</v>
      </c>
      <c r="BV576" s="252">
        <v>0</v>
      </c>
      <c r="BW576" s="253">
        <v>0</v>
      </c>
      <c r="BX576" s="267">
        <v>0</v>
      </c>
      <c r="BY576" s="268">
        <v>0</v>
      </c>
      <c r="BZ576" s="252"/>
      <c r="CA576" s="253"/>
      <c r="CB576" s="267"/>
      <c r="CC576" s="268"/>
      <c r="CD576" s="255">
        <f t="shared" si="92"/>
        <v>36</v>
      </c>
      <c r="CE576" s="256">
        <f t="shared" si="93"/>
        <v>370641</v>
      </c>
      <c r="CF576" s="257">
        <f t="shared" si="94"/>
        <v>38</v>
      </c>
      <c r="CG576" s="261">
        <f t="shared" si="95"/>
        <v>390537</v>
      </c>
    </row>
    <row r="577" spans="1:85" s="263" customFormat="1" ht="12.75" customHeight="1">
      <c r="A577" s="444" t="s">
        <v>346</v>
      </c>
      <c r="B577" s="411" t="s">
        <v>393</v>
      </c>
      <c r="C577" s="411"/>
      <c r="D577" s="412">
        <v>229072</v>
      </c>
      <c r="E577" s="290">
        <v>8</v>
      </c>
      <c r="F577" s="252"/>
      <c r="G577" s="253"/>
      <c r="H577" s="267">
        <v>0</v>
      </c>
      <c r="I577" s="268">
        <v>0</v>
      </c>
      <c r="J577" s="252"/>
      <c r="K577" s="253"/>
      <c r="L577" s="267"/>
      <c r="M577" s="268"/>
      <c r="N577" s="252"/>
      <c r="O577" s="253"/>
      <c r="P577" s="267"/>
      <c r="Q577" s="268"/>
      <c r="R577" s="252"/>
      <c r="S577" s="253"/>
      <c r="T577" s="267"/>
      <c r="U577" s="268"/>
      <c r="V577" s="252"/>
      <c r="W577" s="253"/>
      <c r="X577" s="267"/>
      <c r="Y577" s="268"/>
      <c r="Z577" s="252"/>
      <c r="AA577" s="253"/>
      <c r="AB577" s="267">
        <v>0</v>
      </c>
      <c r="AC577" s="268">
        <v>0</v>
      </c>
      <c r="AD577" s="252"/>
      <c r="AE577" s="253"/>
      <c r="AF577" s="267"/>
      <c r="AG577" s="268"/>
      <c r="AH577" s="252"/>
      <c r="AI577" s="253"/>
      <c r="AJ577" s="267">
        <v>0</v>
      </c>
      <c r="AK577" s="268">
        <v>0</v>
      </c>
      <c r="AL577" s="252"/>
      <c r="AM577" s="253"/>
      <c r="AN577" s="267"/>
      <c r="AO577" s="268"/>
      <c r="AP577" s="255">
        <f t="shared" si="88"/>
        <v>0</v>
      </c>
      <c r="AQ577" s="256">
        <f t="shared" si="89"/>
        <v>0</v>
      </c>
      <c r="AR577" s="257">
        <f t="shared" si="90"/>
        <v>0</v>
      </c>
      <c r="AS577" s="258">
        <f t="shared" si="91"/>
        <v>0</v>
      </c>
      <c r="AT577" s="259"/>
      <c r="AU577" s="253"/>
      <c r="AV577" s="267">
        <v>0</v>
      </c>
      <c r="AW577" s="268">
        <v>0</v>
      </c>
      <c r="AX577" s="252"/>
      <c r="AY577" s="253"/>
      <c r="AZ577" s="267"/>
      <c r="BA577" s="268"/>
      <c r="BB577" s="252"/>
      <c r="BC577" s="253"/>
      <c r="BD577" s="267"/>
      <c r="BE577" s="268"/>
      <c r="BF577" s="252"/>
      <c r="BG577" s="253"/>
      <c r="BH577" s="267"/>
      <c r="BI577" s="268"/>
      <c r="BJ577" s="252"/>
      <c r="BK577" s="253"/>
      <c r="BL577" s="267"/>
      <c r="BM577" s="268"/>
      <c r="BN577" s="252"/>
      <c r="BO577" s="253"/>
      <c r="BP577" s="267">
        <v>0</v>
      </c>
      <c r="BQ577" s="268">
        <v>0</v>
      </c>
      <c r="BR577" s="252"/>
      <c r="BS577" s="253"/>
      <c r="BT577" s="267"/>
      <c r="BU577" s="268"/>
      <c r="BV577" s="252"/>
      <c r="BW577" s="253"/>
      <c r="BX577" s="267">
        <v>0</v>
      </c>
      <c r="BY577" s="268">
        <v>0</v>
      </c>
      <c r="BZ577" s="252"/>
      <c r="CA577" s="253"/>
      <c r="CB577" s="267"/>
      <c r="CC577" s="268"/>
      <c r="CD577" s="255">
        <f t="shared" si="92"/>
        <v>0</v>
      </c>
      <c r="CE577" s="256">
        <f t="shared" si="93"/>
        <v>0</v>
      </c>
      <c r="CF577" s="257">
        <f t="shared" si="94"/>
        <v>0</v>
      </c>
      <c r="CG577" s="261">
        <f t="shared" si="95"/>
        <v>0</v>
      </c>
    </row>
    <row r="578" spans="1:85" s="263" customFormat="1" ht="12.75" customHeight="1">
      <c r="A578" s="444" t="s">
        <v>346</v>
      </c>
      <c r="B578" s="411" t="s">
        <v>394</v>
      </c>
      <c r="C578" s="411"/>
      <c r="D578" s="412">
        <v>229355</v>
      </c>
      <c r="E578" s="290">
        <v>8</v>
      </c>
      <c r="F578" s="252">
        <v>216</v>
      </c>
      <c r="G578" s="253">
        <v>826690</v>
      </c>
      <c r="H578" s="267">
        <v>213</v>
      </c>
      <c r="I578" s="268">
        <v>781905</v>
      </c>
      <c r="J578" s="252">
        <v>216</v>
      </c>
      <c r="K578" s="253">
        <v>1793664</v>
      </c>
      <c r="L578" s="267">
        <v>210</v>
      </c>
      <c r="M578" s="268">
        <v>1789200</v>
      </c>
      <c r="N578" s="252">
        <v>216</v>
      </c>
      <c r="O578" s="253">
        <v>76934</v>
      </c>
      <c r="P578" s="267">
        <v>210</v>
      </c>
      <c r="Q578" s="268">
        <v>66877</v>
      </c>
      <c r="R578" s="252">
        <v>170</v>
      </c>
      <c r="S578" s="253">
        <v>117610</v>
      </c>
      <c r="T578" s="267">
        <v>180</v>
      </c>
      <c r="U578" s="268">
        <v>120640</v>
      </c>
      <c r="V578" s="252"/>
      <c r="W578" s="253"/>
      <c r="X578" s="267"/>
      <c r="Y578" s="268"/>
      <c r="Z578" s="252">
        <v>216</v>
      </c>
      <c r="AA578" s="253">
        <v>25920</v>
      </c>
      <c r="AB578" s="267">
        <v>210</v>
      </c>
      <c r="AC578" s="268">
        <v>25200</v>
      </c>
      <c r="AD578" s="252">
        <v>216</v>
      </c>
      <c r="AE578" s="253">
        <v>14178</v>
      </c>
      <c r="AF578" s="267">
        <v>215</v>
      </c>
      <c r="AG578" s="268">
        <v>13915</v>
      </c>
      <c r="AH578" s="252">
        <v>0</v>
      </c>
      <c r="AI578" s="253">
        <v>0</v>
      </c>
      <c r="AJ578" s="267">
        <v>0</v>
      </c>
      <c r="AK578" s="268">
        <v>0</v>
      </c>
      <c r="AL578" s="252"/>
      <c r="AM578" s="253"/>
      <c r="AN578" s="267"/>
      <c r="AO578" s="268"/>
      <c r="AP578" s="255">
        <f t="shared" si="88"/>
        <v>216</v>
      </c>
      <c r="AQ578" s="256">
        <f t="shared" si="89"/>
        <v>2854996</v>
      </c>
      <c r="AR578" s="257">
        <f t="shared" si="90"/>
        <v>215</v>
      </c>
      <c r="AS578" s="258">
        <f t="shared" si="91"/>
        <v>2797737</v>
      </c>
      <c r="AT578" s="259">
        <v>57</v>
      </c>
      <c r="AU578" s="253">
        <v>221779</v>
      </c>
      <c r="AV578" s="267">
        <v>59</v>
      </c>
      <c r="AW578" s="268">
        <v>229141</v>
      </c>
      <c r="AX578" s="252">
        <v>57</v>
      </c>
      <c r="AY578" s="253">
        <v>473328</v>
      </c>
      <c r="AZ578" s="267">
        <v>59</v>
      </c>
      <c r="BA578" s="268">
        <v>502680</v>
      </c>
      <c r="BB578" s="252">
        <v>57</v>
      </c>
      <c r="BC578" s="253">
        <v>22717</v>
      </c>
      <c r="BD578" s="267">
        <v>59</v>
      </c>
      <c r="BE578" s="268">
        <v>20933</v>
      </c>
      <c r="BF578" s="252">
        <v>56</v>
      </c>
      <c r="BG578" s="253">
        <v>45892</v>
      </c>
      <c r="BH578" s="267">
        <v>57</v>
      </c>
      <c r="BI578" s="268">
        <v>46331</v>
      </c>
      <c r="BJ578" s="252"/>
      <c r="BK578" s="253"/>
      <c r="BL578" s="267"/>
      <c r="BM578" s="268"/>
      <c r="BN578" s="252">
        <v>57</v>
      </c>
      <c r="BO578" s="253">
        <v>6840</v>
      </c>
      <c r="BP578" s="267">
        <v>59</v>
      </c>
      <c r="BQ578" s="268">
        <v>7080</v>
      </c>
      <c r="BR578" s="252">
        <v>57</v>
      </c>
      <c r="BS578" s="253">
        <v>4186</v>
      </c>
      <c r="BT578" s="267">
        <v>59</v>
      </c>
      <c r="BU578" s="268">
        <v>4356</v>
      </c>
      <c r="BV578" s="252">
        <v>0</v>
      </c>
      <c r="BW578" s="253">
        <v>0</v>
      </c>
      <c r="BX578" s="267">
        <v>0</v>
      </c>
      <c r="BY578" s="268">
        <v>0</v>
      </c>
      <c r="BZ578" s="252"/>
      <c r="CA578" s="253"/>
      <c r="CB578" s="267"/>
      <c r="CC578" s="268"/>
      <c r="CD578" s="255">
        <f t="shared" si="92"/>
        <v>57</v>
      </c>
      <c r="CE578" s="256">
        <f t="shared" si="93"/>
        <v>774742</v>
      </c>
      <c r="CF578" s="257">
        <f t="shared" si="94"/>
        <v>59</v>
      </c>
      <c r="CG578" s="261">
        <f t="shared" si="95"/>
        <v>810521</v>
      </c>
    </row>
    <row r="579" spans="1:85" s="263" customFormat="1" ht="12.75" customHeight="1">
      <c r="A579" s="444" t="s">
        <v>346</v>
      </c>
      <c r="B579" s="411" t="s">
        <v>395</v>
      </c>
      <c r="C579" s="411"/>
      <c r="D579" s="412">
        <v>222567</v>
      </c>
      <c r="E579" s="290">
        <v>9</v>
      </c>
      <c r="F579" s="252">
        <v>55</v>
      </c>
      <c r="G579" s="253">
        <v>223261</v>
      </c>
      <c r="H579" s="267">
        <v>54</v>
      </c>
      <c r="I579" s="268">
        <v>218382</v>
      </c>
      <c r="J579" s="252">
        <v>54</v>
      </c>
      <c r="K579" s="253">
        <v>268620</v>
      </c>
      <c r="L579" s="267">
        <v>54</v>
      </c>
      <c r="M579" s="268">
        <v>282366</v>
      </c>
      <c r="N579" s="252">
        <v>54</v>
      </c>
      <c r="O579" s="253">
        <v>24000</v>
      </c>
      <c r="P579" s="267">
        <v>54</v>
      </c>
      <c r="Q579" s="268">
        <v>26374</v>
      </c>
      <c r="R579" s="252"/>
      <c r="S579" s="253"/>
      <c r="T579" s="267"/>
      <c r="U579" s="268"/>
      <c r="V579" s="252">
        <v>54</v>
      </c>
      <c r="W579" s="253">
        <v>3500</v>
      </c>
      <c r="X579" s="267">
        <v>54</v>
      </c>
      <c r="Y579" s="268">
        <v>6264</v>
      </c>
      <c r="Z579" s="252">
        <v>54</v>
      </c>
      <c r="AA579" s="253">
        <v>30000</v>
      </c>
      <c r="AB579" s="267">
        <v>54</v>
      </c>
      <c r="AC579" s="268">
        <v>32000</v>
      </c>
      <c r="AD579" s="252">
        <v>54</v>
      </c>
      <c r="AE579" s="253">
        <v>10000</v>
      </c>
      <c r="AF579" s="267">
        <v>54</v>
      </c>
      <c r="AG579" s="268">
        <v>8964</v>
      </c>
      <c r="AH579" s="252">
        <v>0</v>
      </c>
      <c r="AI579" s="253">
        <v>0</v>
      </c>
      <c r="AJ579" s="267">
        <v>0</v>
      </c>
      <c r="AK579" s="268">
        <v>0</v>
      </c>
      <c r="AL579" s="252"/>
      <c r="AM579" s="253"/>
      <c r="AN579" s="267"/>
      <c r="AO579" s="268"/>
      <c r="AP579" s="255">
        <f t="shared" si="88"/>
        <v>55</v>
      </c>
      <c r="AQ579" s="256">
        <f t="shared" si="89"/>
        <v>559381</v>
      </c>
      <c r="AR579" s="257">
        <f t="shared" si="90"/>
        <v>54</v>
      </c>
      <c r="AS579" s="258">
        <f t="shared" si="91"/>
        <v>574350</v>
      </c>
      <c r="AT579" s="259">
        <v>53</v>
      </c>
      <c r="AU579" s="253">
        <v>279059</v>
      </c>
      <c r="AV579" s="267">
        <v>55</v>
      </c>
      <c r="AW579" s="268">
        <v>292822</v>
      </c>
      <c r="AX579" s="252">
        <v>53</v>
      </c>
      <c r="AY579" s="253">
        <v>258852</v>
      </c>
      <c r="AZ579" s="267">
        <v>55</v>
      </c>
      <c r="BA579" s="268">
        <v>287595</v>
      </c>
      <c r="BB579" s="252">
        <v>53</v>
      </c>
      <c r="BC579" s="253">
        <v>26000</v>
      </c>
      <c r="BD579" s="267">
        <v>55</v>
      </c>
      <c r="BE579" s="268">
        <v>29706</v>
      </c>
      <c r="BF579" s="252"/>
      <c r="BG579" s="253"/>
      <c r="BH579" s="267"/>
      <c r="BI579" s="268"/>
      <c r="BJ579" s="252">
        <v>53</v>
      </c>
      <c r="BK579" s="253">
        <v>3500</v>
      </c>
      <c r="BL579" s="267">
        <v>55</v>
      </c>
      <c r="BM579" s="268">
        <v>6417</v>
      </c>
      <c r="BN579" s="252">
        <v>53</v>
      </c>
      <c r="BO579" s="253">
        <v>35000</v>
      </c>
      <c r="BP579" s="267">
        <v>55</v>
      </c>
      <c r="BQ579" s="268">
        <v>39204</v>
      </c>
      <c r="BR579" s="252">
        <v>53</v>
      </c>
      <c r="BS579" s="253">
        <v>16000</v>
      </c>
      <c r="BT579" s="267">
        <v>55</v>
      </c>
      <c r="BU579" s="268">
        <v>18271</v>
      </c>
      <c r="BV579" s="252">
        <v>0</v>
      </c>
      <c r="BW579" s="253">
        <v>0</v>
      </c>
      <c r="BX579" s="267">
        <v>0</v>
      </c>
      <c r="BY579" s="268">
        <v>0</v>
      </c>
      <c r="BZ579" s="252"/>
      <c r="CA579" s="253"/>
      <c r="CB579" s="267"/>
      <c r="CC579" s="268"/>
      <c r="CD579" s="255">
        <f t="shared" si="92"/>
        <v>53</v>
      </c>
      <c r="CE579" s="256">
        <f t="shared" si="93"/>
        <v>618411</v>
      </c>
      <c r="CF579" s="257">
        <f t="shared" si="94"/>
        <v>55</v>
      </c>
      <c r="CG579" s="261">
        <f t="shared" si="95"/>
        <v>674015</v>
      </c>
    </row>
    <row r="580" spans="1:85" s="263" customFormat="1" ht="12.75" customHeight="1">
      <c r="A580" s="444" t="s">
        <v>346</v>
      </c>
      <c r="B580" s="411" t="s">
        <v>396</v>
      </c>
      <c r="C580" s="411"/>
      <c r="D580" s="412">
        <v>222822</v>
      </c>
      <c r="E580" s="290">
        <v>9</v>
      </c>
      <c r="F580" s="252">
        <v>90</v>
      </c>
      <c r="G580" s="253">
        <v>275595</v>
      </c>
      <c r="H580" s="267">
        <v>98</v>
      </c>
      <c r="I580" s="268">
        <v>313873</v>
      </c>
      <c r="J580" s="252">
        <v>87</v>
      </c>
      <c r="K580" s="253">
        <v>578283</v>
      </c>
      <c r="L580" s="267">
        <v>42</v>
      </c>
      <c r="M580" s="268">
        <v>316205</v>
      </c>
      <c r="N580" s="252"/>
      <c r="O580" s="253"/>
      <c r="P580" s="267"/>
      <c r="Q580" s="268"/>
      <c r="R580" s="252"/>
      <c r="S580" s="253"/>
      <c r="T580" s="267"/>
      <c r="U580" s="268"/>
      <c r="V580" s="252">
        <v>92</v>
      </c>
      <c r="W580" s="253">
        <v>11005</v>
      </c>
      <c r="X580" s="267">
        <v>48</v>
      </c>
      <c r="Y580" s="268">
        <v>5699</v>
      </c>
      <c r="Z580" s="252">
        <v>87</v>
      </c>
      <c r="AA580" s="253">
        <v>2316</v>
      </c>
      <c r="AB580" s="267">
        <v>42</v>
      </c>
      <c r="AC580" s="268">
        <v>1119</v>
      </c>
      <c r="AD580" s="252">
        <v>92</v>
      </c>
      <c r="AE580" s="253">
        <v>44020</v>
      </c>
      <c r="AF580" s="267">
        <v>48</v>
      </c>
      <c r="AG580" s="268">
        <v>22796</v>
      </c>
      <c r="AH580" s="252">
        <v>0</v>
      </c>
      <c r="AI580" s="253">
        <v>0</v>
      </c>
      <c r="AJ580" s="267">
        <v>0</v>
      </c>
      <c r="AK580" s="268">
        <v>0</v>
      </c>
      <c r="AL580" s="252"/>
      <c r="AM580" s="253"/>
      <c r="AN580" s="267"/>
      <c r="AO580" s="268"/>
      <c r="AP580" s="255">
        <f t="shared" si="88"/>
        <v>92</v>
      </c>
      <c r="AQ580" s="256">
        <f t="shared" si="89"/>
        <v>911219</v>
      </c>
      <c r="AR580" s="257">
        <f t="shared" si="90"/>
        <v>98</v>
      </c>
      <c r="AS580" s="258">
        <f t="shared" si="91"/>
        <v>659692</v>
      </c>
      <c r="AT580" s="259">
        <v>26</v>
      </c>
      <c r="AU580" s="253">
        <v>86360</v>
      </c>
      <c r="AV580" s="267">
        <v>28</v>
      </c>
      <c r="AW580" s="268">
        <v>99167</v>
      </c>
      <c r="AX580" s="252">
        <v>24</v>
      </c>
      <c r="AY580" s="253">
        <v>135984</v>
      </c>
      <c r="AZ580" s="267">
        <v>8</v>
      </c>
      <c r="BA580" s="268">
        <v>43471</v>
      </c>
      <c r="BB580" s="252"/>
      <c r="BC580" s="253"/>
      <c r="BD580" s="267"/>
      <c r="BE580" s="268"/>
      <c r="BF580" s="252"/>
      <c r="BG580" s="253"/>
      <c r="BH580" s="267"/>
      <c r="BI580" s="268"/>
      <c r="BJ580" s="252">
        <v>26</v>
      </c>
      <c r="BK580" s="253">
        <v>3373</v>
      </c>
      <c r="BL580" s="267">
        <v>11</v>
      </c>
      <c r="BM580" s="268">
        <v>1282</v>
      </c>
      <c r="BN580" s="252">
        <v>24</v>
      </c>
      <c r="BO580" s="253">
        <v>636</v>
      </c>
      <c r="BP580" s="267">
        <v>8</v>
      </c>
      <c r="BQ580" s="268">
        <v>213</v>
      </c>
      <c r="BR580" s="252">
        <v>26</v>
      </c>
      <c r="BS580" s="253">
        <v>13494</v>
      </c>
      <c r="BT580" s="267">
        <v>11</v>
      </c>
      <c r="BU580" s="268">
        <v>5128</v>
      </c>
      <c r="BV580" s="252">
        <v>0</v>
      </c>
      <c r="BW580" s="253">
        <v>0</v>
      </c>
      <c r="BX580" s="267">
        <v>0</v>
      </c>
      <c r="BY580" s="268">
        <v>0</v>
      </c>
      <c r="BZ580" s="252"/>
      <c r="CA580" s="253"/>
      <c r="CB580" s="267"/>
      <c r="CC580" s="268"/>
      <c r="CD580" s="255">
        <f t="shared" si="92"/>
        <v>26</v>
      </c>
      <c r="CE580" s="256">
        <f t="shared" si="93"/>
        <v>239847</v>
      </c>
      <c r="CF580" s="257">
        <f t="shared" si="94"/>
        <v>28</v>
      </c>
      <c r="CG580" s="261">
        <f t="shared" si="95"/>
        <v>149261</v>
      </c>
    </row>
    <row r="581" spans="1:85" s="263" customFormat="1" ht="12.75" customHeight="1">
      <c r="A581" s="444" t="s">
        <v>346</v>
      </c>
      <c r="B581" s="411" t="s">
        <v>1057</v>
      </c>
      <c r="C581" s="411"/>
      <c r="D581" s="412">
        <v>223773</v>
      </c>
      <c r="E581" s="290">
        <v>9</v>
      </c>
      <c r="F581" s="252">
        <v>64</v>
      </c>
      <c r="G581" s="253">
        <v>266003</v>
      </c>
      <c r="H581" s="267">
        <v>64</v>
      </c>
      <c r="I581" s="268">
        <v>265824</v>
      </c>
      <c r="J581" s="252">
        <v>63</v>
      </c>
      <c r="K581" s="253">
        <v>372111</v>
      </c>
      <c r="L581" s="267">
        <v>63</v>
      </c>
      <c r="M581" s="268">
        <v>390180</v>
      </c>
      <c r="N581" s="252"/>
      <c r="O581" s="253"/>
      <c r="P581" s="267"/>
      <c r="Q581" s="268"/>
      <c r="R581" s="252"/>
      <c r="S581" s="253"/>
      <c r="T581" s="267"/>
      <c r="U581" s="268"/>
      <c r="V581" s="252">
        <v>64</v>
      </c>
      <c r="W581" s="253">
        <v>36212</v>
      </c>
      <c r="X581" s="267">
        <v>64</v>
      </c>
      <c r="Y581" s="268">
        <v>36224</v>
      </c>
      <c r="Z581" s="252">
        <v>128</v>
      </c>
      <c r="AA581" s="253">
        <v>2642</v>
      </c>
      <c r="AB581" s="267">
        <v>128</v>
      </c>
      <c r="AC581" s="268">
        <v>2673</v>
      </c>
      <c r="AD581" s="252">
        <v>64</v>
      </c>
      <c r="AE581" s="253">
        <v>36212</v>
      </c>
      <c r="AF581" s="267">
        <v>64</v>
      </c>
      <c r="AG581" s="268">
        <v>36224</v>
      </c>
      <c r="AH581" s="252">
        <v>0</v>
      </c>
      <c r="AI581" s="253">
        <v>0</v>
      </c>
      <c r="AJ581" s="267">
        <v>0</v>
      </c>
      <c r="AK581" s="268">
        <v>0</v>
      </c>
      <c r="AL581" s="252"/>
      <c r="AM581" s="253"/>
      <c r="AN581" s="267"/>
      <c r="AO581" s="268"/>
      <c r="AP581" s="255">
        <f t="shared" si="88"/>
        <v>128</v>
      </c>
      <c r="AQ581" s="256">
        <f t="shared" si="89"/>
        <v>713180</v>
      </c>
      <c r="AR581" s="257">
        <f t="shared" si="90"/>
        <v>128</v>
      </c>
      <c r="AS581" s="258">
        <f t="shared" si="91"/>
        <v>731125</v>
      </c>
      <c r="AT581" s="259"/>
      <c r="AU581" s="253"/>
      <c r="AV581" s="267">
        <v>0</v>
      </c>
      <c r="AW581" s="268">
        <v>0</v>
      </c>
      <c r="AX581" s="252"/>
      <c r="AY581" s="253"/>
      <c r="AZ581" s="267"/>
      <c r="BA581" s="268"/>
      <c r="BB581" s="252"/>
      <c r="BC581" s="253"/>
      <c r="BD581" s="267"/>
      <c r="BE581" s="268"/>
      <c r="BF581" s="252"/>
      <c r="BG581" s="253"/>
      <c r="BH581" s="267"/>
      <c r="BI581" s="268"/>
      <c r="BJ581" s="252"/>
      <c r="BK581" s="253"/>
      <c r="BL581" s="267"/>
      <c r="BM581" s="268"/>
      <c r="BN581" s="252"/>
      <c r="BO581" s="253"/>
      <c r="BP581" s="267">
        <v>0</v>
      </c>
      <c r="BQ581" s="268">
        <v>0</v>
      </c>
      <c r="BR581" s="252"/>
      <c r="BS581" s="253"/>
      <c r="BT581" s="267"/>
      <c r="BU581" s="268"/>
      <c r="BV581" s="252"/>
      <c r="BW581" s="253"/>
      <c r="BX581" s="267">
        <v>0</v>
      </c>
      <c r="BY581" s="268">
        <v>0</v>
      </c>
      <c r="BZ581" s="252"/>
      <c r="CA581" s="253"/>
      <c r="CB581" s="267"/>
      <c r="CC581" s="268"/>
      <c r="CD581" s="255">
        <f t="shared" si="92"/>
        <v>0</v>
      </c>
      <c r="CE581" s="256">
        <f t="shared" si="93"/>
        <v>0</v>
      </c>
      <c r="CF581" s="257">
        <f t="shared" si="94"/>
        <v>0</v>
      </c>
      <c r="CG581" s="261">
        <f t="shared" si="95"/>
        <v>0</v>
      </c>
    </row>
    <row r="582" spans="1:85" s="263" customFormat="1" ht="12.75" customHeight="1">
      <c r="A582" s="444" t="s">
        <v>346</v>
      </c>
      <c r="B582" s="411" t="s">
        <v>398</v>
      </c>
      <c r="C582" s="411"/>
      <c r="D582" s="412">
        <v>223898</v>
      </c>
      <c r="E582" s="290">
        <v>9</v>
      </c>
      <c r="F582" s="252">
        <v>58</v>
      </c>
      <c r="G582" s="253">
        <v>152999</v>
      </c>
      <c r="H582" s="267">
        <v>57</v>
      </c>
      <c r="I582" s="268">
        <v>147447</v>
      </c>
      <c r="J582" s="252">
        <v>57</v>
      </c>
      <c r="K582" s="253">
        <v>420193</v>
      </c>
      <c r="L582" s="267">
        <v>53</v>
      </c>
      <c r="M582" s="268">
        <v>417778</v>
      </c>
      <c r="N582" s="252"/>
      <c r="O582" s="253"/>
      <c r="P582" s="267"/>
      <c r="Q582" s="268"/>
      <c r="R582" s="252"/>
      <c r="S582" s="253"/>
      <c r="T582" s="267"/>
      <c r="U582" s="268"/>
      <c r="V582" s="252"/>
      <c r="W582" s="253"/>
      <c r="X582" s="267"/>
      <c r="Y582" s="268"/>
      <c r="Z582" s="252">
        <v>0</v>
      </c>
      <c r="AA582" s="253">
        <v>0</v>
      </c>
      <c r="AB582" s="267">
        <v>0</v>
      </c>
      <c r="AC582" s="268">
        <v>0</v>
      </c>
      <c r="AD582" s="252">
        <v>58</v>
      </c>
      <c r="AE582" s="253">
        <v>23906</v>
      </c>
      <c r="AF582" s="267">
        <v>57</v>
      </c>
      <c r="AG582" s="268">
        <v>22722</v>
      </c>
      <c r="AH582" s="252">
        <v>0</v>
      </c>
      <c r="AI582" s="253">
        <v>0</v>
      </c>
      <c r="AJ582" s="267">
        <v>0</v>
      </c>
      <c r="AK582" s="268">
        <v>0</v>
      </c>
      <c r="AL582" s="252"/>
      <c r="AM582" s="253"/>
      <c r="AN582" s="267"/>
      <c r="AO582" s="268"/>
      <c r="AP582" s="255">
        <f t="shared" si="88"/>
        <v>58</v>
      </c>
      <c r="AQ582" s="256">
        <f t="shared" si="89"/>
        <v>597098</v>
      </c>
      <c r="AR582" s="257">
        <f t="shared" si="90"/>
        <v>57</v>
      </c>
      <c r="AS582" s="258">
        <f t="shared" si="91"/>
        <v>587947</v>
      </c>
      <c r="AT582" s="259">
        <v>29</v>
      </c>
      <c r="AU582" s="253">
        <v>90057</v>
      </c>
      <c r="AV582" s="267">
        <v>29</v>
      </c>
      <c r="AW582" s="268">
        <v>92019</v>
      </c>
      <c r="AX582" s="252">
        <v>29</v>
      </c>
      <c r="AY582" s="253">
        <v>212292</v>
      </c>
      <c r="AZ582" s="267">
        <v>26</v>
      </c>
      <c r="BA582" s="268">
        <v>228015</v>
      </c>
      <c r="BB582" s="252"/>
      <c r="BC582" s="253"/>
      <c r="BD582" s="267"/>
      <c r="BE582" s="268"/>
      <c r="BF582" s="252"/>
      <c r="BG582" s="253"/>
      <c r="BH582" s="267"/>
      <c r="BI582" s="268"/>
      <c r="BJ582" s="252"/>
      <c r="BK582" s="253"/>
      <c r="BL582" s="267"/>
      <c r="BM582" s="268"/>
      <c r="BN582" s="252">
        <v>0</v>
      </c>
      <c r="BO582" s="253">
        <v>0</v>
      </c>
      <c r="BP582" s="267">
        <v>0</v>
      </c>
      <c r="BQ582" s="268">
        <v>0</v>
      </c>
      <c r="BR582" s="252">
        <v>29</v>
      </c>
      <c r="BS582" s="253">
        <v>14071</v>
      </c>
      <c r="BT582" s="267">
        <v>29</v>
      </c>
      <c r="BU582" s="268">
        <v>14059</v>
      </c>
      <c r="BV582" s="252">
        <v>0</v>
      </c>
      <c r="BW582" s="253">
        <v>0</v>
      </c>
      <c r="BX582" s="267">
        <v>0</v>
      </c>
      <c r="BY582" s="268">
        <v>0</v>
      </c>
      <c r="BZ582" s="252"/>
      <c r="CA582" s="253"/>
      <c r="CB582" s="267"/>
      <c r="CC582" s="268"/>
      <c r="CD582" s="255">
        <f t="shared" si="92"/>
        <v>29</v>
      </c>
      <c r="CE582" s="256">
        <f t="shared" si="93"/>
        <v>316420</v>
      </c>
      <c r="CF582" s="257">
        <f t="shared" si="94"/>
        <v>29</v>
      </c>
      <c r="CG582" s="261">
        <f t="shared" si="95"/>
        <v>334093</v>
      </c>
    </row>
    <row r="583" spans="1:85" s="263" customFormat="1" ht="12.75" customHeight="1">
      <c r="A583" s="444" t="s">
        <v>346</v>
      </c>
      <c r="B583" s="411" t="s">
        <v>399</v>
      </c>
      <c r="C583" s="411"/>
      <c r="D583" s="412">
        <v>223320</v>
      </c>
      <c r="E583" s="290">
        <v>9</v>
      </c>
      <c r="F583" s="252">
        <v>62</v>
      </c>
      <c r="G583" s="253">
        <v>185139</v>
      </c>
      <c r="H583" s="267">
        <v>65</v>
      </c>
      <c r="I583" s="268">
        <v>198536</v>
      </c>
      <c r="J583" s="252">
        <v>60</v>
      </c>
      <c r="K583" s="253">
        <v>349636</v>
      </c>
      <c r="L583" s="267">
        <v>63</v>
      </c>
      <c r="M583" s="268">
        <v>390282</v>
      </c>
      <c r="N583" s="252"/>
      <c r="O583" s="253"/>
      <c r="P583" s="267"/>
      <c r="Q583" s="268"/>
      <c r="R583" s="252">
        <v>62</v>
      </c>
      <c r="S583" s="253">
        <v>39688</v>
      </c>
      <c r="T583" s="267">
        <v>65</v>
      </c>
      <c r="U583" s="268">
        <v>42251</v>
      </c>
      <c r="V583" s="252">
        <v>62</v>
      </c>
      <c r="W583" s="253">
        <v>12177</v>
      </c>
      <c r="X583" s="267">
        <v>65</v>
      </c>
      <c r="Y583" s="268">
        <v>13843</v>
      </c>
      <c r="Z583" s="252">
        <v>62</v>
      </c>
      <c r="AA583" s="253">
        <v>14195</v>
      </c>
      <c r="AB583" s="267">
        <v>65</v>
      </c>
      <c r="AC583" s="268">
        <v>16844</v>
      </c>
      <c r="AD583" s="252">
        <v>62</v>
      </c>
      <c r="AE583" s="253">
        <v>4374</v>
      </c>
      <c r="AF583" s="267">
        <v>65</v>
      </c>
      <c r="AG583" s="268">
        <v>3028</v>
      </c>
      <c r="AH583" s="252">
        <v>0</v>
      </c>
      <c r="AI583" s="253">
        <v>0</v>
      </c>
      <c r="AJ583" s="267">
        <v>0</v>
      </c>
      <c r="AK583" s="268">
        <v>0</v>
      </c>
      <c r="AL583" s="252"/>
      <c r="AM583" s="253"/>
      <c r="AN583" s="267"/>
      <c r="AO583" s="268"/>
      <c r="AP583" s="255">
        <f t="shared" si="88"/>
        <v>62</v>
      </c>
      <c r="AQ583" s="256">
        <f t="shared" si="89"/>
        <v>605209</v>
      </c>
      <c r="AR583" s="257">
        <f t="shared" si="90"/>
        <v>65</v>
      </c>
      <c r="AS583" s="258">
        <f t="shared" si="91"/>
        <v>664784</v>
      </c>
      <c r="AT583" s="259">
        <v>39</v>
      </c>
      <c r="AU583" s="253">
        <v>122163</v>
      </c>
      <c r="AV583" s="267">
        <v>38</v>
      </c>
      <c r="AW583" s="268">
        <v>127077</v>
      </c>
      <c r="AX583" s="252">
        <v>37</v>
      </c>
      <c r="AY583" s="253">
        <v>235573</v>
      </c>
      <c r="AZ583" s="267">
        <v>36</v>
      </c>
      <c r="BA583" s="268">
        <v>239950</v>
      </c>
      <c r="BB583" s="252"/>
      <c r="BC583" s="253"/>
      <c r="BD583" s="267"/>
      <c r="BE583" s="268"/>
      <c r="BF583" s="252">
        <v>39</v>
      </c>
      <c r="BG583" s="253">
        <v>28475</v>
      </c>
      <c r="BH583" s="267">
        <v>38</v>
      </c>
      <c r="BI583" s="268">
        <v>27616</v>
      </c>
      <c r="BJ583" s="252">
        <v>39</v>
      </c>
      <c r="BK583" s="253">
        <v>8737</v>
      </c>
      <c r="BL583" s="267">
        <v>38</v>
      </c>
      <c r="BM583" s="268">
        <v>9089</v>
      </c>
      <c r="BN583" s="252">
        <v>39</v>
      </c>
      <c r="BO583" s="253">
        <v>8897</v>
      </c>
      <c r="BP583" s="267">
        <v>38</v>
      </c>
      <c r="BQ583" s="268">
        <v>8812</v>
      </c>
      <c r="BR583" s="252">
        <v>39</v>
      </c>
      <c r="BS583" s="253">
        <v>3138</v>
      </c>
      <c r="BT583" s="267">
        <v>38</v>
      </c>
      <c r="BU583" s="268">
        <v>1988</v>
      </c>
      <c r="BV583" s="252">
        <v>0</v>
      </c>
      <c r="BW583" s="253">
        <v>0</v>
      </c>
      <c r="BX583" s="267">
        <v>0</v>
      </c>
      <c r="BY583" s="268">
        <v>0</v>
      </c>
      <c r="BZ583" s="252"/>
      <c r="CA583" s="253"/>
      <c r="CB583" s="267"/>
      <c r="CC583" s="268"/>
      <c r="CD583" s="255">
        <f t="shared" si="92"/>
        <v>39</v>
      </c>
      <c r="CE583" s="256">
        <f t="shared" si="93"/>
        <v>406983</v>
      </c>
      <c r="CF583" s="257">
        <f t="shared" si="94"/>
        <v>38</v>
      </c>
      <c r="CG583" s="261">
        <f t="shared" si="95"/>
        <v>414532</v>
      </c>
    </row>
    <row r="584" spans="1:85" s="263" customFormat="1" ht="12.75" customHeight="1">
      <c r="A584" s="444" t="s">
        <v>346</v>
      </c>
      <c r="B584" s="411" t="s">
        <v>400</v>
      </c>
      <c r="C584" s="411"/>
      <c r="D584" s="412">
        <v>226408</v>
      </c>
      <c r="E584" s="290">
        <v>9</v>
      </c>
      <c r="F584" s="252">
        <v>34</v>
      </c>
      <c r="G584" s="253">
        <v>131941</v>
      </c>
      <c r="H584" s="267">
        <v>41</v>
      </c>
      <c r="I584" s="268">
        <v>137099</v>
      </c>
      <c r="J584" s="252">
        <v>28</v>
      </c>
      <c r="K584" s="253">
        <v>214753</v>
      </c>
      <c r="L584" s="267">
        <v>31</v>
      </c>
      <c r="M584" s="268">
        <v>246884</v>
      </c>
      <c r="N584" s="252">
        <v>27</v>
      </c>
      <c r="O584" s="253">
        <v>12217</v>
      </c>
      <c r="P584" s="267">
        <v>31</v>
      </c>
      <c r="Q584" s="268">
        <v>12719</v>
      </c>
      <c r="R584" s="252">
        <v>24</v>
      </c>
      <c r="S584" s="253">
        <v>19538</v>
      </c>
      <c r="T584" s="267">
        <v>29</v>
      </c>
      <c r="U584" s="268">
        <v>22786</v>
      </c>
      <c r="V584" s="252"/>
      <c r="W584" s="253"/>
      <c r="X584" s="267"/>
      <c r="Y584" s="268"/>
      <c r="Z584" s="252">
        <v>28</v>
      </c>
      <c r="AA584" s="253">
        <v>11208</v>
      </c>
      <c r="AB584" s="267">
        <v>30</v>
      </c>
      <c r="AC584" s="268">
        <v>10065</v>
      </c>
      <c r="AD584" s="252"/>
      <c r="AE584" s="253"/>
      <c r="AF584" s="267"/>
      <c r="AG584" s="268"/>
      <c r="AH584" s="252">
        <v>0</v>
      </c>
      <c r="AI584" s="253">
        <v>0</v>
      </c>
      <c r="AJ584" s="267">
        <v>0</v>
      </c>
      <c r="AK584" s="268">
        <v>0</v>
      </c>
      <c r="AL584" s="252"/>
      <c r="AM584" s="253"/>
      <c r="AN584" s="267"/>
      <c r="AO584" s="268"/>
      <c r="AP584" s="255">
        <f t="shared" si="88"/>
        <v>34</v>
      </c>
      <c r="AQ584" s="256">
        <f t="shared" si="89"/>
        <v>389657</v>
      </c>
      <c r="AR584" s="257">
        <f t="shared" si="90"/>
        <v>41</v>
      </c>
      <c r="AS584" s="258">
        <f t="shared" si="91"/>
        <v>429553</v>
      </c>
      <c r="AT584" s="259">
        <v>104</v>
      </c>
      <c r="AU584" s="253">
        <v>449329</v>
      </c>
      <c r="AV584" s="267">
        <v>109</v>
      </c>
      <c r="AW584" s="268">
        <v>434990</v>
      </c>
      <c r="AX584" s="252">
        <v>77</v>
      </c>
      <c r="AY584" s="253">
        <v>544277</v>
      </c>
      <c r="AZ584" s="267">
        <v>77</v>
      </c>
      <c r="BA584" s="268">
        <v>577378</v>
      </c>
      <c r="BB584" s="252">
        <v>75</v>
      </c>
      <c r="BC584" s="253">
        <v>44601</v>
      </c>
      <c r="BD584" s="267">
        <v>76</v>
      </c>
      <c r="BE584" s="268">
        <v>39343</v>
      </c>
      <c r="BF584" s="252">
        <v>66</v>
      </c>
      <c r="BG584" s="253">
        <v>63696</v>
      </c>
      <c r="BH584" s="267">
        <v>68</v>
      </c>
      <c r="BI584" s="268">
        <v>65072</v>
      </c>
      <c r="BJ584" s="252"/>
      <c r="BK584" s="253"/>
      <c r="BL584" s="267"/>
      <c r="BM584" s="268"/>
      <c r="BN584" s="252">
        <v>75</v>
      </c>
      <c r="BO584" s="253">
        <v>45006</v>
      </c>
      <c r="BP584" s="267">
        <v>76</v>
      </c>
      <c r="BQ584" s="268">
        <v>39857</v>
      </c>
      <c r="BR584" s="252"/>
      <c r="BS584" s="253"/>
      <c r="BT584" s="267"/>
      <c r="BU584" s="268"/>
      <c r="BV584" s="252">
        <v>0</v>
      </c>
      <c r="BW584" s="253">
        <v>0</v>
      </c>
      <c r="BX584" s="267">
        <v>0</v>
      </c>
      <c r="BY584" s="268">
        <v>0</v>
      </c>
      <c r="BZ584" s="252"/>
      <c r="CA584" s="253"/>
      <c r="CB584" s="267"/>
      <c r="CC584" s="268"/>
      <c r="CD584" s="255">
        <f t="shared" si="92"/>
        <v>104</v>
      </c>
      <c r="CE584" s="256">
        <f t="shared" si="93"/>
        <v>1146909</v>
      </c>
      <c r="CF584" s="257">
        <f t="shared" si="94"/>
        <v>109</v>
      </c>
      <c r="CG584" s="261">
        <f t="shared" si="95"/>
        <v>1156640</v>
      </c>
    </row>
    <row r="585" spans="1:85" s="263" customFormat="1" ht="12.75" customHeight="1">
      <c r="A585" s="444" t="s">
        <v>346</v>
      </c>
      <c r="B585" s="534" t="s">
        <v>401</v>
      </c>
      <c r="C585" s="535" t="s">
        <v>1234</v>
      </c>
      <c r="D585" s="412">
        <v>224615</v>
      </c>
      <c r="E585" s="533">
        <v>8</v>
      </c>
      <c r="F585" s="252">
        <v>136</v>
      </c>
      <c r="G585" s="253">
        <v>530000</v>
      </c>
      <c r="H585" s="267">
        <v>136</v>
      </c>
      <c r="I585" s="268">
        <v>531173</v>
      </c>
      <c r="J585" s="252">
        <v>136</v>
      </c>
      <c r="K585" s="253">
        <v>848035</v>
      </c>
      <c r="L585" s="267">
        <v>136</v>
      </c>
      <c r="M585" s="268">
        <v>893350</v>
      </c>
      <c r="N585" s="252"/>
      <c r="O585" s="253"/>
      <c r="P585" s="267"/>
      <c r="Q585" s="268"/>
      <c r="R585" s="252"/>
      <c r="S585" s="253"/>
      <c r="T585" s="267"/>
      <c r="U585" s="268"/>
      <c r="V585" s="252">
        <v>137</v>
      </c>
      <c r="W585" s="253">
        <v>74626</v>
      </c>
      <c r="X585" s="267">
        <v>136</v>
      </c>
      <c r="Y585" s="268">
        <v>73422</v>
      </c>
      <c r="Z585" s="252">
        <v>274</v>
      </c>
      <c r="AA585" s="253">
        <v>5656</v>
      </c>
      <c r="AB585" s="267">
        <v>272</v>
      </c>
      <c r="AC585" s="268">
        <v>5679</v>
      </c>
      <c r="AD585" s="252">
        <v>137</v>
      </c>
      <c r="AE585" s="253">
        <v>74628</v>
      </c>
      <c r="AF585" s="267">
        <v>136</v>
      </c>
      <c r="AG585" s="268">
        <v>73422</v>
      </c>
      <c r="AH585" s="252">
        <v>0</v>
      </c>
      <c r="AI585" s="253">
        <v>0</v>
      </c>
      <c r="AJ585" s="267">
        <v>0</v>
      </c>
      <c r="AK585" s="268">
        <v>0</v>
      </c>
      <c r="AL585" s="252"/>
      <c r="AM585" s="253"/>
      <c r="AN585" s="267"/>
      <c r="AO585" s="268"/>
      <c r="AP585" s="255">
        <f t="shared" si="88"/>
        <v>274</v>
      </c>
      <c r="AQ585" s="256">
        <f t="shared" si="89"/>
        <v>1532945</v>
      </c>
      <c r="AR585" s="257">
        <f t="shared" si="90"/>
        <v>272</v>
      </c>
      <c r="AS585" s="258">
        <f t="shared" si="91"/>
        <v>1577046</v>
      </c>
      <c r="AT585" s="259"/>
      <c r="AU585" s="253"/>
      <c r="AV585" s="267">
        <v>0</v>
      </c>
      <c r="AW585" s="268">
        <v>0</v>
      </c>
      <c r="AX585" s="252"/>
      <c r="AY585" s="253"/>
      <c r="AZ585" s="267"/>
      <c r="BA585" s="268"/>
      <c r="BB585" s="252"/>
      <c r="BC585" s="253"/>
      <c r="BD585" s="267"/>
      <c r="BE585" s="268"/>
      <c r="BF585" s="252"/>
      <c r="BG585" s="253"/>
      <c r="BH585" s="267"/>
      <c r="BI585" s="268"/>
      <c r="BJ585" s="252"/>
      <c r="BK585" s="253"/>
      <c r="BL585" s="267"/>
      <c r="BM585" s="268"/>
      <c r="BN585" s="252"/>
      <c r="BO585" s="253"/>
      <c r="BP585" s="267">
        <v>0</v>
      </c>
      <c r="BQ585" s="268">
        <v>0</v>
      </c>
      <c r="BR585" s="252"/>
      <c r="BS585" s="253"/>
      <c r="BT585" s="267"/>
      <c r="BU585" s="268"/>
      <c r="BV585" s="252"/>
      <c r="BW585" s="253"/>
      <c r="BX585" s="267">
        <v>0</v>
      </c>
      <c r="BY585" s="268">
        <v>0</v>
      </c>
      <c r="BZ585" s="252"/>
      <c r="CA585" s="253"/>
      <c r="CB585" s="267"/>
      <c r="CC585" s="268"/>
      <c r="CD585" s="255">
        <f t="shared" si="92"/>
        <v>0</v>
      </c>
      <c r="CE585" s="256">
        <f t="shared" si="93"/>
        <v>0</v>
      </c>
      <c r="CF585" s="257">
        <f t="shared" si="94"/>
        <v>0</v>
      </c>
      <c r="CG585" s="261">
        <f t="shared" si="95"/>
        <v>0</v>
      </c>
    </row>
    <row r="586" spans="1:85" s="263" customFormat="1" ht="12.75" customHeight="1">
      <c r="A586" s="444" t="s">
        <v>346</v>
      </c>
      <c r="B586" s="411" t="s">
        <v>402</v>
      </c>
      <c r="C586" s="411"/>
      <c r="D586" s="412">
        <v>225070</v>
      </c>
      <c r="E586" s="290">
        <v>9</v>
      </c>
      <c r="F586" s="252">
        <v>80</v>
      </c>
      <c r="G586" s="253">
        <v>286861</v>
      </c>
      <c r="H586" s="267">
        <v>87</v>
      </c>
      <c r="I586" s="268">
        <v>311806</v>
      </c>
      <c r="J586" s="252">
        <v>80</v>
      </c>
      <c r="K586" s="253">
        <v>475142</v>
      </c>
      <c r="L586" s="267">
        <v>87</v>
      </c>
      <c r="M586" s="268">
        <v>567896</v>
      </c>
      <c r="N586" s="252"/>
      <c r="O586" s="253"/>
      <c r="P586" s="267"/>
      <c r="Q586" s="268"/>
      <c r="R586" s="252">
        <v>80</v>
      </c>
      <c r="S586" s="253">
        <v>326101</v>
      </c>
      <c r="T586" s="267">
        <v>87</v>
      </c>
      <c r="U586" s="268">
        <v>352816</v>
      </c>
      <c r="V586" s="252">
        <v>80</v>
      </c>
      <c r="W586" s="253">
        <v>6400</v>
      </c>
      <c r="X586" s="267">
        <v>87</v>
      </c>
      <c r="Y586" s="268">
        <v>6960</v>
      </c>
      <c r="Z586" s="252">
        <v>80</v>
      </c>
      <c r="AA586" s="253">
        <v>2141</v>
      </c>
      <c r="AB586" s="267">
        <v>87</v>
      </c>
      <c r="AC586" s="268">
        <v>2328</v>
      </c>
      <c r="AD586" s="252">
        <v>80</v>
      </c>
      <c r="AE586" s="253">
        <v>42627</v>
      </c>
      <c r="AF586" s="267">
        <v>87</v>
      </c>
      <c r="AG586" s="268">
        <v>46120</v>
      </c>
      <c r="AH586" s="252">
        <v>0</v>
      </c>
      <c r="AI586" s="253">
        <v>0</v>
      </c>
      <c r="AJ586" s="267">
        <v>0</v>
      </c>
      <c r="AK586" s="268">
        <v>0</v>
      </c>
      <c r="AL586" s="252"/>
      <c r="AM586" s="253"/>
      <c r="AN586" s="267"/>
      <c r="AO586" s="268"/>
      <c r="AP586" s="255">
        <f t="shared" si="88"/>
        <v>80</v>
      </c>
      <c r="AQ586" s="256">
        <f t="shared" si="89"/>
        <v>1139272</v>
      </c>
      <c r="AR586" s="257">
        <f t="shared" si="90"/>
        <v>87</v>
      </c>
      <c r="AS586" s="258">
        <f t="shared" si="91"/>
        <v>1287926</v>
      </c>
      <c r="AT586" s="259">
        <v>11</v>
      </c>
      <c r="AU586" s="253">
        <v>41231</v>
      </c>
      <c r="AV586" s="267">
        <v>13</v>
      </c>
      <c r="AW586" s="268">
        <v>50987</v>
      </c>
      <c r="AX586" s="252">
        <v>11</v>
      </c>
      <c r="AY586" s="253">
        <v>75290</v>
      </c>
      <c r="AZ586" s="267">
        <v>13</v>
      </c>
      <c r="BA586" s="268">
        <v>92666</v>
      </c>
      <c r="BB586" s="252"/>
      <c r="BC586" s="253"/>
      <c r="BD586" s="267"/>
      <c r="BE586" s="268"/>
      <c r="BF586" s="252">
        <v>11</v>
      </c>
      <c r="BG586" s="253">
        <v>49284</v>
      </c>
      <c r="BH586" s="267">
        <v>13</v>
      </c>
      <c r="BI586" s="268">
        <v>53377</v>
      </c>
      <c r="BJ586" s="252">
        <v>11</v>
      </c>
      <c r="BK586" s="253">
        <v>880</v>
      </c>
      <c r="BL586" s="267">
        <v>13</v>
      </c>
      <c r="BM586" s="268">
        <v>1040</v>
      </c>
      <c r="BN586" s="252">
        <v>11</v>
      </c>
      <c r="BO586" s="253">
        <v>294</v>
      </c>
      <c r="BP586" s="267">
        <v>13</v>
      </c>
      <c r="BQ586" s="268">
        <v>348</v>
      </c>
      <c r="BR586" s="252">
        <v>11</v>
      </c>
      <c r="BS586" s="253">
        <v>6442</v>
      </c>
      <c r="BT586" s="267">
        <v>13</v>
      </c>
      <c r="BU586" s="268">
        <v>7631</v>
      </c>
      <c r="BV586" s="252">
        <v>0</v>
      </c>
      <c r="BW586" s="253">
        <v>0</v>
      </c>
      <c r="BX586" s="267">
        <v>0</v>
      </c>
      <c r="BY586" s="268">
        <v>0</v>
      </c>
      <c r="BZ586" s="252"/>
      <c r="CA586" s="253"/>
      <c r="CB586" s="267"/>
      <c r="CC586" s="268"/>
      <c r="CD586" s="255">
        <f t="shared" si="92"/>
        <v>11</v>
      </c>
      <c r="CE586" s="256">
        <f t="shared" si="93"/>
        <v>173421</v>
      </c>
      <c r="CF586" s="257">
        <f t="shared" si="94"/>
        <v>13</v>
      </c>
      <c r="CG586" s="261">
        <f t="shared" si="95"/>
        <v>206049</v>
      </c>
    </row>
    <row r="587" spans="1:85" s="263" customFormat="1" ht="12.75" customHeight="1">
      <c r="A587" s="444" t="s">
        <v>346</v>
      </c>
      <c r="B587" s="411" t="s">
        <v>403</v>
      </c>
      <c r="C587" s="411"/>
      <c r="D587" s="412">
        <v>225371</v>
      </c>
      <c r="E587" s="290">
        <v>9</v>
      </c>
      <c r="F587" s="252">
        <v>56</v>
      </c>
      <c r="G587" s="253">
        <v>176280</v>
      </c>
      <c r="H587" s="267">
        <v>71</v>
      </c>
      <c r="I587" s="268">
        <v>218507</v>
      </c>
      <c r="J587" s="252">
        <v>49</v>
      </c>
      <c r="K587" s="253">
        <v>327327</v>
      </c>
      <c r="L587" s="267">
        <v>65</v>
      </c>
      <c r="M587" s="268">
        <v>420553</v>
      </c>
      <c r="N587" s="252"/>
      <c r="O587" s="253"/>
      <c r="P587" s="267"/>
      <c r="Q587" s="268"/>
      <c r="R587" s="252"/>
      <c r="S587" s="253"/>
      <c r="T587" s="267"/>
      <c r="U587" s="268"/>
      <c r="V587" s="252">
        <v>56</v>
      </c>
      <c r="W587" s="253">
        <v>12059</v>
      </c>
      <c r="X587" s="267">
        <v>71</v>
      </c>
      <c r="Y587" s="268">
        <v>63909</v>
      </c>
      <c r="Z587" s="252">
        <v>54</v>
      </c>
      <c r="AA587" s="253">
        <v>1439</v>
      </c>
      <c r="AB587" s="267">
        <v>64</v>
      </c>
      <c r="AC587" s="268">
        <v>1865</v>
      </c>
      <c r="AD587" s="252">
        <v>56</v>
      </c>
      <c r="AE587" s="253">
        <v>24765</v>
      </c>
      <c r="AF587" s="267">
        <v>71</v>
      </c>
      <c r="AG587" s="268">
        <v>34473</v>
      </c>
      <c r="AH587" s="252">
        <v>2</v>
      </c>
      <c r="AI587" s="253">
        <v>500</v>
      </c>
      <c r="AJ587" s="267">
        <v>2</v>
      </c>
      <c r="AK587" s="268">
        <v>500</v>
      </c>
      <c r="AL587" s="252"/>
      <c r="AM587" s="253"/>
      <c r="AN587" s="267"/>
      <c r="AO587" s="268"/>
      <c r="AP587" s="255">
        <f t="shared" si="88"/>
        <v>56</v>
      </c>
      <c r="AQ587" s="256">
        <f t="shared" si="89"/>
        <v>542370</v>
      </c>
      <c r="AR587" s="257">
        <f t="shared" si="90"/>
        <v>71</v>
      </c>
      <c r="AS587" s="258">
        <f t="shared" si="91"/>
        <v>739807</v>
      </c>
      <c r="AT587" s="259">
        <v>14</v>
      </c>
      <c r="AU587" s="253">
        <v>49799</v>
      </c>
      <c r="AV587" s="267">
        <v>18</v>
      </c>
      <c r="AW587" s="268">
        <v>66039</v>
      </c>
      <c r="AX587" s="252">
        <v>13</v>
      </c>
      <c r="AY587" s="253">
        <v>89491</v>
      </c>
      <c r="AZ587" s="267">
        <v>18</v>
      </c>
      <c r="BA587" s="268">
        <v>127375</v>
      </c>
      <c r="BB587" s="252"/>
      <c r="BC587" s="253"/>
      <c r="BD587" s="267"/>
      <c r="BE587" s="268"/>
      <c r="BF587" s="252"/>
      <c r="BG587" s="253"/>
      <c r="BH587" s="267"/>
      <c r="BI587" s="268"/>
      <c r="BJ587" s="252">
        <v>14</v>
      </c>
      <c r="BK587" s="253">
        <v>3592</v>
      </c>
      <c r="BL587" s="267">
        <v>18</v>
      </c>
      <c r="BM587" s="268">
        <v>19833</v>
      </c>
      <c r="BN587" s="252">
        <v>13</v>
      </c>
      <c r="BO587" s="253">
        <v>373</v>
      </c>
      <c r="BP587" s="267">
        <v>18</v>
      </c>
      <c r="BQ587" s="268">
        <v>480</v>
      </c>
      <c r="BR587" s="252">
        <v>14</v>
      </c>
      <c r="BS587" s="253">
        <v>7376</v>
      </c>
      <c r="BT587" s="267">
        <v>18</v>
      </c>
      <c r="BU587" s="268">
        <v>9728</v>
      </c>
      <c r="BV587" s="252">
        <v>0</v>
      </c>
      <c r="BW587" s="253">
        <v>0</v>
      </c>
      <c r="BX587" s="267">
        <v>2</v>
      </c>
      <c r="BY587" s="268">
        <v>500</v>
      </c>
      <c r="BZ587" s="252"/>
      <c r="CA587" s="253"/>
      <c r="CB587" s="267"/>
      <c r="CC587" s="268"/>
      <c r="CD587" s="255">
        <f t="shared" si="92"/>
        <v>14</v>
      </c>
      <c r="CE587" s="256">
        <f t="shared" si="93"/>
        <v>150631</v>
      </c>
      <c r="CF587" s="257">
        <f t="shared" si="94"/>
        <v>18</v>
      </c>
      <c r="CG587" s="261">
        <f t="shared" si="95"/>
        <v>223955</v>
      </c>
    </row>
    <row r="588" spans="1:85" s="263" customFormat="1" ht="12.75" customHeight="1">
      <c r="A588" s="444" t="s">
        <v>346</v>
      </c>
      <c r="B588" s="411" t="s">
        <v>1058</v>
      </c>
      <c r="C588" s="411"/>
      <c r="D588" s="412">
        <v>225520</v>
      </c>
      <c r="E588" s="290">
        <v>9</v>
      </c>
      <c r="F588" s="252">
        <v>80</v>
      </c>
      <c r="G588" s="253">
        <v>266375</v>
      </c>
      <c r="H588" s="267">
        <v>80</v>
      </c>
      <c r="I588" s="268">
        <v>277056</v>
      </c>
      <c r="J588" s="252">
        <v>69</v>
      </c>
      <c r="K588" s="253">
        <v>456406</v>
      </c>
      <c r="L588" s="267">
        <v>77</v>
      </c>
      <c r="M588" s="268">
        <v>487716</v>
      </c>
      <c r="N588" s="252"/>
      <c r="O588" s="253"/>
      <c r="P588" s="267"/>
      <c r="Q588" s="268"/>
      <c r="R588" s="252">
        <v>82</v>
      </c>
      <c r="S588" s="253">
        <v>224093</v>
      </c>
      <c r="T588" s="267">
        <v>83</v>
      </c>
      <c r="U588" s="268">
        <v>253476</v>
      </c>
      <c r="V588" s="252">
        <v>82</v>
      </c>
      <c r="W588" s="253">
        <v>34591</v>
      </c>
      <c r="X588" s="267">
        <v>80</v>
      </c>
      <c r="Y588" s="268">
        <v>21036</v>
      </c>
      <c r="Z588" s="252">
        <v>0</v>
      </c>
      <c r="AA588" s="253">
        <v>0</v>
      </c>
      <c r="AB588" s="267">
        <v>0</v>
      </c>
      <c r="AC588" s="268">
        <v>0</v>
      </c>
      <c r="AD588" s="252">
        <v>82</v>
      </c>
      <c r="AE588" s="253">
        <v>35616</v>
      </c>
      <c r="AF588" s="267">
        <v>80</v>
      </c>
      <c r="AG588" s="268">
        <v>36480</v>
      </c>
      <c r="AH588" s="252">
        <v>4</v>
      </c>
      <c r="AI588" s="253">
        <v>690</v>
      </c>
      <c r="AJ588" s="267">
        <v>5</v>
      </c>
      <c r="AK588" s="268">
        <v>780</v>
      </c>
      <c r="AL588" s="252"/>
      <c r="AM588" s="253"/>
      <c r="AN588" s="267"/>
      <c r="AO588" s="268"/>
      <c r="AP588" s="255">
        <f t="shared" si="88"/>
        <v>82</v>
      </c>
      <c r="AQ588" s="256">
        <f t="shared" si="89"/>
        <v>1017771</v>
      </c>
      <c r="AR588" s="257">
        <f t="shared" si="90"/>
        <v>83</v>
      </c>
      <c r="AS588" s="258">
        <f t="shared" si="91"/>
        <v>1076544</v>
      </c>
      <c r="AT588" s="259">
        <v>61</v>
      </c>
      <c r="AU588" s="253">
        <v>198451</v>
      </c>
      <c r="AV588" s="267">
        <v>58</v>
      </c>
      <c r="AW588" s="268">
        <v>202872</v>
      </c>
      <c r="AX588" s="252">
        <v>58</v>
      </c>
      <c r="AY588" s="253">
        <v>347502</v>
      </c>
      <c r="AZ588" s="267">
        <v>54</v>
      </c>
      <c r="BA588" s="268">
        <v>356448</v>
      </c>
      <c r="BB588" s="252"/>
      <c r="BC588" s="253"/>
      <c r="BD588" s="267"/>
      <c r="BE588" s="268"/>
      <c r="BF588" s="252">
        <v>62</v>
      </c>
      <c r="BG588" s="253">
        <v>224093</v>
      </c>
      <c r="BH588" s="267">
        <v>60</v>
      </c>
      <c r="BI588" s="268">
        <v>182488</v>
      </c>
      <c r="BJ588" s="252">
        <v>62</v>
      </c>
      <c r="BK588" s="253">
        <v>25694</v>
      </c>
      <c r="BL588" s="267">
        <v>56</v>
      </c>
      <c r="BM588" s="268">
        <v>14484</v>
      </c>
      <c r="BN588" s="252">
        <v>0</v>
      </c>
      <c r="BO588" s="253">
        <v>0</v>
      </c>
      <c r="BP588" s="267">
        <v>0</v>
      </c>
      <c r="BQ588" s="268">
        <v>0</v>
      </c>
      <c r="BR588" s="252">
        <v>62</v>
      </c>
      <c r="BS588" s="253">
        <v>26227</v>
      </c>
      <c r="BT588" s="267">
        <v>60</v>
      </c>
      <c r="BU588" s="268">
        <v>26537</v>
      </c>
      <c r="BV588" s="252">
        <v>2</v>
      </c>
      <c r="BW588" s="253">
        <v>450</v>
      </c>
      <c r="BX588" s="267">
        <v>0</v>
      </c>
      <c r="BY588" s="268">
        <v>0</v>
      </c>
      <c r="BZ588" s="252"/>
      <c r="CA588" s="253"/>
      <c r="CB588" s="267"/>
      <c r="CC588" s="268"/>
      <c r="CD588" s="255">
        <f t="shared" si="92"/>
        <v>62</v>
      </c>
      <c r="CE588" s="256">
        <f t="shared" si="93"/>
        <v>822417</v>
      </c>
      <c r="CF588" s="257">
        <f t="shared" si="94"/>
        <v>60</v>
      </c>
      <c r="CG588" s="261">
        <f t="shared" si="95"/>
        <v>782829</v>
      </c>
    </row>
    <row r="589" spans="1:85" s="263" customFormat="1" ht="12.75" customHeight="1">
      <c r="A589" s="444" t="s">
        <v>346</v>
      </c>
      <c r="B589" s="411" t="s">
        <v>404</v>
      </c>
      <c r="C589" s="536" t="s">
        <v>1186</v>
      </c>
      <c r="D589" s="412">
        <v>226019</v>
      </c>
      <c r="E589" s="290">
        <v>9</v>
      </c>
      <c r="F589" s="252">
        <v>91</v>
      </c>
      <c r="G589" s="253">
        <v>276148</v>
      </c>
      <c r="H589" s="267">
        <v>98</v>
      </c>
      <c r="I589" s="268">
        <v>337148</v>
      </c>
      <c r="J589" s="252">
        <v>93</v>
      </c>
      <c r="K589" s="253">
        <v>549837</v>
      </c>
      <c r="L589" s="267">
        <v>99</v>
      </c>
      <c r="M589" s="268">
        <v>654734</v>
      </c>
      <c r="N589" s="252">
        <v>83</v>
      </c>
      <c r="O589" s="253">
        <v>39348</v>
      </c>
      <c r="P589" s="267">
        <v>99</v>
      </c>
      <c r="Q589" s="268">
        <v>43474</v>
      </c>
      <c r="R589" s="252"/>
      <c r="S589" s="253"/>
      <c r="T589" s="267"/>
      <c r="U589" s="268"/>
      <c r="V589" s="252"/>
      <c r="W589" s="253"/>
      <c r="X589" s="267"/>
      <c r="Y589" s="268"/>
      <c r="Z589" s="252">
        <v>83</v>
      </c>
      <c r="AA589" s="253">
        <v>72708</v>
      </c>
      <c r="AB589" s="267">
        <v>99</v>
      </c>
      <c r="AC589" s="268">
        <v>102288</v>
      </c>
      <c r="AD589" s="252"/>
      <c r="AE589" s="253"/>
      <c r="AF589" s="267"/>
      <c r="AG589" s="268"/>
      <c r="AH589" s="252">
        <v>0</v>
      </c>
      <c r="AI589" s="253">
        <v>0</v>
      </c>
      <c r="AJ589" s="267">
        <v>0</v>
      </c>
      <c r="AK589" s="268">
        <v>0</v>
      </c>
      <c r="AL589" s="252"/>
      <c r="AM589" s="253"/>
      <c r="AN589" s="267"/>
      <c r="AO589" s="268"/>
      <c r="AP589" s="255">
        <f t="shared" si="88"/>
        <v>93</v>
      </c>
      <c r="AQ589" s="256">
        <f t="shared" si="89"/>
        <v>938041</v>
      </c>
      <c r="AR589" s="257">
        <f t="shared" si="90"/>
        <v>99</v>
      </c>
      <c r="AS589" s="258">
        <f t="shared" si="91"/>
        <v>1137644</v>
      </c>
      <c r="AT589" s="259">
        <v>62</v>
      </c>
      <c r="AU589" s="253">
        <v>221828</v>
      </c>
      <c r="AV589" s="267">
        <v>61</v>
      </c>
      <c r="AW589" s="268">
        <v>241181</v>
      </c>
      <c r="AX589" s="252">
        <v>61</v>
      </c>
      <c r="AY589" s="253">
        <v>390024</v>
      </c>
      <c r="AZ589" s="267">
        <v>61</v>
      </c>
      <c r="BA589" s="268">
        <v>426532</v>
      </c>
      <c r="BB589" s="252">
        <v>56</v>
      </c>
      <c r="BC589" s="253">
        <v>25140</v>
      </c>
      <c r="BD589" s="267">
        <v>61</v>
      </c>
      <c r="BE589" s="268">
        <v>25123</v>
      </c>
      <c r="BF589" s="252"/>
      <c r="BG589" s="253"/>
      <c r="BH589" s="267"/>
      <c r="BI589" s="268"/>
      <c r="BJ589" s="252"/>
      <c r="BK589" s="253"/>
      <c r="BL589" s="267"/>
      <c r="BM589" s="268"/>
      <c r="BN589" s="252">
        <v>57</v>
      </c>
      <c r="BO589" s="253">
        <v>40032</v>
      </c>
      <c r="BP589" s="267">
        <v>61</v>
      </c>
      <c r="BQ589" s="268">
        <v>48504</v>
      </c>
      <c r="BR589" s="252"/>
      <c r="BS589" s="253"/>
      <c r="BT589" s="267"/>
      <c r="BU589" s="268"/>
      <c r="BV589" s="252">
        <v>1</v>
      </c>
      <c r="BW589" s="253">
        <v>450</v>
      </c>
      <c r="BX589" s="267">
        <v>0</v>
      </c>
      <c r="BY589" s="268">
        <v>0</v>
      </c>
      <c r="BZ589" s="252"/>
      <c r="CA589" s="253"/>
      <c r="CB589" s="267"/>
      <c r="CC589" s="268"/>
      <c r="CD589" s="255">
        <f t="shared" si="92"/>
        <v>62</v>
      </c>
      <c r="CE589" s="256">
        <f t="shared" si="93"/>
        <v>677474</v>
      </c>
      <c r="CF589" s="257">
        <f t="shared" si="94"/>
        <v>61</v>
      </c>
      <c r="CG589" s="261">
        <f t="shared" si="95"/>
        <v>741340</v>
      </c>
    </row>
    <row r="590" spans="1:85" s="263" customFormat="1" ht="12.75" customHeight="1">
      <c r="A590" s="447" t="s">
        <v>346</v>
      </c>
      <c r="B590" s="450" t="s">
        <v>405</v>
      </c>
      <c r="C590" s="450"/>
      <c r="D590" s="448">
        <v>441760</v>
      </c>
      <c r="E590" s="449">
        <v>9</v>
      </c>
      <c r="F590" s="252">
        <v>81</v>
      </c>
      <c r="G590" s="253">
        <v>259230</v>
      </c>
      <c r="H590" s="267">
        <v>81</v>
      </c>
      <c r="I590" s="268">
        <v>145756</v>
      </c>
      <c r="J590" s="252">
        <v>76</v>
      </c>
      <c r="K590" s="253">
        <v>477753</v>
      </c>
      <c r="L590" s="267">
        <v>77</v>
      </c>
      <c r="M590" s="268">
        <v>191752</v>
      </c>
      <c r="N590" s="252"/>
      <c r="O590" s="253"/>
      <c r="P590" s="267"/>
      <c r="Q590" s="268"/>
      <c r="R590" s="252">
        <v>81</v>
      </c>
      <c r="S590" s="253">
        <v>77679</v>
      </c>
      <c r="T590" s="267">
        <v>81</v>
      </c>
      <c r="U590" s="268">
        <v>152030</v>
      </c>
      <c r="V590" s="252"/>
      <c r="W590" s="253"/>
      <c r="X590" s="267"/>
      <c r="Y590" s="268"/>
      <c r="Z590" s="252">
        <v>80</v>
      </c>
      <c r="AA590" s="253">
        <v>2240</v>
      </c>
      <c r="AB590" s="267">
        <v>0</v>
      </c>
      <c r="AC590" s="268">
        <v>0</v>
      </c>
      <c r="AD590" s="252"/>
      <c r="AE590" s="253"/>
      <c r="AF590" s="267"/>
      <c r="AG590" s="268"/>
      <c r="AH590" s="252">
        <v>0</v>
      </c>
      <c r="AI590" s="253">
        <v>0</v>
      </c>
      <c r="AJ590" s="267">
        <v>0</v>
      </c>
      <c r="AK590" s="268">
        <v>0</v>
      </c>
      <c r="AL590" s="252"/>
      <c r="AM590" s="253"/>
      <c r="AN590" s="267"/>
      <c r="AO590" s="268"/>
      <c r="AP590" s="255">
        <f t="shared" si="88"/>
        <v>81</v>
      </c>
      <c r="AQ590" s="256">
        <f t="shared" si="89"/>
        <v>816902</v>
      </c>
      <c r="AR590" s="257">
        <f t="shared" si="90"/>
        <v>81</v>
      </c>
      <c r="AS590" s="258">
        <f t="shared" si="91"/>
        <v>489538</v>
      </c>
      <c r="AT590" s="259"/>
      <c r="AU590" s="253"/>
      <c r="AV590" s="267">
        <v>0</v>
      </c>
      <c r="AW590" s="268">
        <v>0</v>
      </c>
      <c r="AX590" s="252"/>
      <c r="AY590" s="253"/>
      <c r="AZ590" s="267"/>
      <c r="BA590" s="268"/>
      <c r="BB590" s="252"/>
      <c r="BC590" s="253"/>
      <c r="BD590" s="267"/>
      <c r="BE590" s="268"/>
      <c r="BF590" s="252"/>
      <c r="BG590" s="253"/>
      <c r="BH590" s="267"/>
      <c r="BI590" s="268"/>
      <c r="BJ590" s="252"/>
      <c r="BK590" s="253"/>
      <c r="BL590" s="267"/>
      <c r="BM590" s="268"/>
      <c r="BN590" s="252"/>
      <c r="BO590" s="253"/>
      <c r="BP590" s="267">
        <v>0</v>
      </c>
      <c r="BQ590" s="268">
        <v>0</v>
      </c>
      <c r="BR590" s="252"/>
      <c r="BS590" s="253"/>
      <c r="BT590" s="267"/>
      <c r="BU590" s="268"/>
      <c r="BV590" s="252"/>
      <c r="BW590" s="253"/>
      <c r="BX590" s="267">
        <v>0</v>
      </c>
      <c r="BY590" s="268">
        <v>0</v>
      </c>
      <c r="BZ590" s="252"/>
      <c r="CA590" s="253"/>
      <c r="CB590" s="267"/>
      <c r="CC590" s="268"/>
      <c r="CD590" s="255">
        <f t="shared" si="92"/>
        <v>0</v>
      </c>
      <c r="CE590" s="256">
        <f t="shared" si="93"/>
        <v>0</v>
      </c>
      <c r="CF590" s="257">
        <f t="shared" si="94"/>
        <v>0</v>
      </c>
      <c r="CG590" s="261">
        <f t="shared" si="95"/>
        <v>0</v>
      </c>
    </row>
    <row r="591" spans="1:85" s="263" customFormat="1" ht="12.75" customHeight="1">
      <c r="A591" s="444" t="s">
        <v>346</v>
      </c>
      <c r="B591" s="411" t="s">
        <v>407</v>
      </c>
      <c r="C591" s="411"/>
      <c r="D591" s="412">
        <v>226204</v>
      </c>
      <c r="E591" s="290">
        <v>9</v>
      </c>
      <c r="F591" s="252">
        <v>142</v>
      </c>
      <c r="G591" s="253">
        <v>469409</v>
      </c>
      <c r="H591" s="267">
        <v>139</v>
      </c>
      <c r="I591" s="268">
        <v>520881</v>
      </c>
      <c r="J591" s="252">
        <v>149</v>
      </c>
      <c r="K591" s="253">
        <v>685090</v>
      </c>
      <c r="L591" s="267">
        <v>138</v>
      </c>
      <c r="M591" s="268">
        <v>851124</v>
      </c>
      <c r="N591" s="252"/>
      <c r="O591" s="253"/>
      <c r="P591" s="267"/>
      <c r="Q591" s="268"/>
      <c r="R591" s="252">
        <v>149</v>
      </c>
      <c r="S591" s="253">
        <v>581720</v>
      </c>
      <c r="T591" s="267">
        <v>145</v>
      </c>
      <c r="U591" s="268">
        <v>562344</v>
      </c>
      <c r="V591" s="252"/>
      <c r="W591" s="253"/>
      <c r="X591" s="267"/>
      <c r="Y591" s="268"/>
      <c r="Z591" s="252">
        <v>0</v>
      </c>
      <c r="AA591" s="253">
        <v>0</v>
      </c>
      <c r="AB591" s="267">
        <v>0</v>
      </c>
      <c r="AC591" s="268">
        <v>0</v>
      </c>
      <c r="AD591" s="252"/>
      <c r="AE591" s="253"/>
      <c r="AF591" s="267"/>
      <c r="AG591" s="268"/>
      <c r="AH591" s="252">
        <v>0</v>
      </c>
      <c r="AI591" s="253">
        <v>0</v>
      </c>
      <c r="AJ591" s="267">
        <v>0</v>
      </c>
      <c r="AK591" s="268">
        <v>0</v>
      </c>
      <c r="AL591" s="252"/>
      <c r="AM591" s="253"/>
      <c r="AN591" s="267"/>
      <c r="AO591" s="268"/>
      <c r="AP591" s="255">
        <f t="shared" si="88"/>
        <v>149</v>
      </c>
      <c r="AQ591" s="256">
        <f t="shared" si="89"/>
        <v>1736219</v>
      </c>
      <c r="AR591" s="257">
        <f t="shared" si="90"/>
        <v>145</v>
      </c>
      <c r="AS591" s="258">
        <f t="shared" si="91"/>
        <v>1934349</v>
      </c>
      <c r="AT591" s="259">
        <v>28</v>
      </c>
      <c r="AU591" s="253">
        <v>111658</v>
      </c>
      <c r="AV591" s="267">
        <v>16</v>
      </c>
      <c r="AW591" s="268">
        <v>74898</v>
      </c>
      <c r="AX591" s="252">
        <v>28</v>
      </c>
      <c r="AY591" s="253">
        <v>128744</v>
      </c>
      <c r="AZ591" s="267">
        <v>16</v>
      </c>
      <c r="BA591" s="268">
        <v>116801</v>
      </c>
      <c r="BB591" s="252"/>
      <c r="BC591" s="253"/>
      <c r="BD591" s="267"/>
      <c r="BE591" s="268"/>
      <c r="BF591" s="252">
        <v>28</v>
      </c>
      <c r="BG591" s="253">
        <v>129585</v>
      </c>
      <c r="BH591" s="267">
        <v>16</v>
      </c>
      <c r="BI591" s="268">
        <v>73092</v>
      </c>
      <c r="BJ591" s="252"/>
      <c r="BK591" s="253"/>
      <c r="BL591" s="267"/>
      <c r="BM591" s="268"/>
      <c r="BN591" s="252">
        <v>0</v>
      </c>
      <c r="BO591" s="253">
        <v>0</v>
      </c>
      <c r="BP591" s="267">
        <v>0</v>
      </c>
      <c r="BQ591" s="268">
        <v>0</v>
      </c>
      <c r="BR591" s="252"/>
      <c r="BS591" s="253"/>
      <c r="BT591" s="267"/>
      <c r="BU591" s="268"/>
      <c r="BV591" s="252">
        <v>0</v>
      </c>
      <c r="BW591" s="253">
        <v>0</v>
      </c>
      <c r="BX591" s="267">
        <v>0</v>
      </c>
      <c r="BY591" s="268">
        <v>0</v>
      </c>
      <c r="BZ591" s="252"/>
      <c r="CA591" s="253"/>
      <c r="CB591" s="267"/>
      <c r="CC591" s="268"/>
      <c r="CD591" s="255">
        <f t="shared" si="92"/>
        <v>28</v>
      </c>
      <c r="CE591" s="256">
        <f t="shared" si="93"/>
        <v>369987</v>
      </c>
      <c r="CF591" s="257">
        <f t="shared" si="94"/>
        <v>16</v>
      </c>
      <c r="CG591" s="261">
        <f t="shared" si="95"/>
        <v>264791</v>
      </c>
    </row>
    <row r="592" spans="1:85" s="263" customFormat="1" ht="12.75" customHeight="1">
      <c r="A592" s="444" t="s">
        <v>346</v>
      </c>
      <c r="B592" s="446" t="s">
        <v>409</v>
      </c>
      <c r="C592" s="537" t="s">
        <v>1188</v>
      </c>
      <c r="D592" s="412">
        <v>226930</v>
      </c>
      <c r="E592" s="290">
        <v>9</v>
      </c>
      <c r="F592" s="252">
        <v>72</v>
      </c>
      <c r="G592" s="253">
        <v>323676</v>
      </c>
      <c r="H592" s="267">
        <v>75</v>
      </c>
      <c r="I592" s="268">
        <v>335447</v>
      </c>
      <c r="J592" s="252">
        <v>72</v>
      </c>
      <c r="K592" s="253">
        <v>401079</v>
      </c>
      <c r="L592" s="267">
        <v>75</v>
      </c>
      <c r="M592" s="268">
        <v>441148</v>
      </c>
      <c r="N592" s="252"/>
      <c r="O592" s="253"/>
      <c r="P592" s="267"/>
      <c r="Q592" s="268"/>
      <c r="R592" s="252"/>
      <c r="S592" s="253"/>
      <c r="T592" s="267"/>
      <c r="U592" s="268"/>
      <c r="V592" s="252">
        <v>74</v>
      </c>
      <c r="W592" s="253">
        <v>45021</v>
      </c>
      <c r="X592" s="267">
        <v>77</v>
      </c>
      <c r="Y592" s="268">
        <v>46369</v>
      </c>
      <c r="Z592" s="252">
        <v>148</v>
      </c>
      <c r="AA592" s="253">
        <v>3054</v>
      </c>
      <c r="AB592" s="267">
        <v>154</v>
      </c>
      <c r="AC592" s="268">
        <v>3215</v>
      </c>
      <c r="AD592" s="252">
        <v>74</v>
      </c>
      <c r="AE592" s="253">
        <v>45021</v>
      </c>
      <c r="AF592" s="267">
        <v>77</v>
      </c>
      <c r="AG592" s="268">
        <v>46369</v>
      </c>
      <c r="AH592" s="252">
        <v>0</v>
      </c>
      <c r="AI592" s="253">
        <v>0</v>
      </c>
      <c r="AJ592" s="267">
        <v>0</v>
      </c>
      <c r="AK592" s="268">
        <v>0</v>
      </c>
      <c r="AL592" s="252"/>
      <c r="AM592" s="253"/>
      <c r="AN592" s="267"/>
      <c r="AO592" s="268"/>
      <c r="AP592" s="255">
        <f t="shared" si="88"/>
        <v>148</v>
      </c>
      <c r="AQ592" s="256">
        <f t="shared" si="89"/>
        <v>817851</v>
      </c>
      <c r="AR592" s="257">
        <f t="shared" si="90"/>
        <v>154</v>
      </c>
      <c r="AS592" s="258">
        <f t="shared" si="91"/>
        <v>872548</v>
      </c>
      <c r="AT592" s="259"/>
      <c r="AU592" s="253"/>
      <c r="AV592" s="267">
        <v>0</v>
      </c>
      <c r="AW592" s="268">
        <v>0</v>
      </c>
      <c r="AX592" s="252"/>
      <c r="AY592" s="253"/>
      <c r="AZ592" s="267"/>
      <c r="BA592" s="268"/>
      <c r="BB592" s="252"/>
      <c r="BC592" s="253"/>
      <c r="BD592" s="267"/>
      <c r="BE592" s="268"/>
      <c r="BF592" s="252"/>
      <c r="BG592" s="253"/>
      <c r="BH592" s="267"/>
      <c r="BI592" s="268"/>
      <c r="BJ592" s="252"/>
      <c r="BK592" s="253"/>
      <c r="BL592" s="267"/>
      <c r="BM592" s="268"/>
      <c r="BN592" s="252"/>
      <c r="BO592" s="253"/>
      <c r="BP592" s="267">
        <v>0</v>
      </c>
      <c r="BQ592" s="268">
        <v>0</v>
      </c>
      <c r="BR592" s="252"/>
      <c r="BS592" s="253"/>
      <c r="BT592" s="267"/>
      <c r="BU592" s="268"/>
      <c r="BV592" s="252"/>
      <c r="BW592" s="253"/>
      <c r="BX592" s="267">
        <v>0</v>
      </c>
      <c r="BY592" s="268">
        <v>0</v>
      </c>
      <c r="BZ592" s="252"/>
      <c r="CA592" s="253"/>
      <c r="CB592" s="267"/>
      <c r="CC592" s="268"/>
      <c r="CD592" s="255">
        <f t="shared" si="92"/>
        <v>0</v>
      </c>
      <c r="CE592" s="256">
        <f t="shared" si="93"/>
        <v>0</v>
      </c>
      <c r="CF592" s="257">
        <f t="shared" si="94"/>
        <v>0</v>
      </c>
      <c r="CG592" s="261">
        <f t="shared" si="95"/>
        <v>0</v>
      </c>
    </row>
    <row r="593" spans="1:85" s="263" customFormat="1" ht="12.75" customHeight="1">
      <c r="A593" s="444" t="s">
        <v>346</v>
      </c>
      <c r="B593" s="534" t="s">
        <v>411</v>
      </c>
      <c r="C593" s="535" t="s">
        <v>1234</v>
      </c>
      <c r="D593" s="412">
        <v>224110</v>
      </c>
      <c r="E593" s="533">
        <v>8</v>
      </c>
      <c r="F593" s="252">
        <v>100</v>
      </c>
      <c r="G593" s="253">
        <v>359601</v>
      </c>
      <c r="H593" s="267">
        <v>89</v>
      </c>
      <c r="I593" s="268">
        <v>341796</v>
      </c>
      <c r="J593" s="252">
        <v>92</v>
      </c>
      <c r="K593" s="253">
        <v>523942</v>
      </c>
      <c r="L593" s="267">
        <v>84</v>
      </c>
      <c r="M593" s="268">
        <v>532135</v>
      </c>
      <c r="N593" s="252"/>
      <c r="O593" s="253"/>
      <c r="P593" s="267"/>
      <c r="Q593" s="268"/>
      <c r="R593" s="252">
        <v>89</v>
      </c>
      <c r="S593" s="253">
        <v>64705</v>
      </c>
      <c r="T593" s="267">
        <v>83</v>
      </c>
      <c r="U593" s="268">
        <v>61255</v>
      </c>
      <c r="V593" s="252"/>
      <c r="W593" s="253"/>
      <c r="X593" s="267"/>
      <c r="Y593" s="268"/>
      <c r="Z593" s="252">
        <v>0</v>
      </c>
      <c r="AA593" s="253">
        <v>0</v>
      </c>
      <c r="AB593" s="267">
        <v>0</v>
      </c>
      <c r="AC593" s="268">
        <v>0</v>
      </c>
      <c r="AD593" s="252"/>
      <c r="AE593" s="253"/>
      <c r="AF593" s="267"/>
      <c r="AG593" s="268"/>
      <c r="AH593" s="252">
        <v>100</v>
      </c>
      <c r="AI593" s="253">
        <v>25550</v>
      </c>
      <c r="AJ593" s="267">
        <v>89</v>
      </c>
      <c r="AK593" s="268">
        <v>28470</v>
      </c>
      <c r="AL593" s="252"/>
      <c r="AM593" s="253"/>
      <c r="AN593" s="267"/>
      <c r="AO593" s="268"/>
      <c r="AP593" s="255">
        <f t="shared" si="88"/>
        <v>100</v>
      </c>
      <c r="AQ593" s="256">
        <f t="shared" si="89"/>
        <v>973798</v>
      </c>
      <c r="AR593" s="257">
        <f t="shared" si="90"/>
        <v>89</v>
      </c>
      <c r="AS593" s="258">
        <f t="shared" si="91"/>
        <v>963656</v>
      </c>
      <c r="AT593" s="259">
        <v>27</v>
      </c>
      <c r="AU593" s="253">
        <v>115746</v>
      </c>
      <c r="AV593" s="267">
        <v>33</v>
      </c>
      <c r="AW593" s="268">
        <v>153938</v>
      </c>
      <c r="AX593" s="252">
        <v>27</v>
      </c>
      <c r="AY593" s="253">
        <v>172544</v>
      </c>
      <c r="AZ593" s="267">
        <v>33</v>
      </c>
      <c r="BA593" s="268">
        <v>226884</v>
      </c>
      <c r="BB593" s="252"/>
      <c r="BC593" s="253"/>
      <c r="BD593" s="267"/>
      <c r="BE593" s="268"/>
      <c r="BF593" s="252">
        <v>27</v>
      </c>
      <c r="BG593" s="253">
        <v>23120</v>
      </c>
      <c r="BH593" s="267">
        <v>33</v>
      </c>
      <c r="BI593" s="268">
        <v>28889</v>
      </c>
      <c r="BJ593" s="252"/>
      <c r="BK593" s="253"/>
      <c r="BL593" s="267"/>
      <c r="BM593" s="268"/>
      <c r="BN593" s="252">
        <v>0</v>
      </c>
      <c r="BO593" s="253">
        <v>0</v>
      </c>
      <c r="BP593" s="267">
        <v>0</v>
      </c>
      <c r="BQ593" s="268">
        <v>0</v>
      </c>
      <c r="BR593" s="252"/>
      <c r="BS593" s="253"/>
      <c r="BT593" s="267"/>
      <c r="BU593" s="268"/>
      <c r="BV593" s="252">
        <v>27</v>
      </c>
      <c r="BW593" s="253">
        <v>9450</v>
      </c>
      <c r="BX593" s="267">
        <v>33</v>
      </c>
      <c r="BY593" s="268">
        <v>10530</v>
      </c>
      <c r="BZ593" s="252"/>
      <c r="CA593" s="253"/>
      <c r="CB593" s="267"/>
      <c r="CC593" s="268"/>
      <c r="CD593" s="255">
        <f t="shared" si="92"/>
        <v>27</v>
      </c>
      <c r="CE593" s="256">
        <f t="shared" si="93"/>
        <v>320860</v>
      </c>
      <c r="CF593" s="257">
        <f t="shared" si="94"/>
        <v>33</v>
      </c>
      <c r="CG593" s="261">
        <f t="shared" si="95"/>
        <v>420241</v>
      </c>
    </row>
    <row r="594" spans="1:85" s="263" customFormat="1" ht="12.75" customHeight="1">
      <c r="A594" s="444" t="s">
        <v>346</v>
      </c>
      <c r="B594" s="411" t="s">
        <v>412</v>
      </c>
      <c r="C594" s="411"/>
      <c r="D594" s="412">
        <v>227304</v>
      </c>
      <c r="E594" s="290">
        <v>9</v>
      </c>
      <c r="F594" s="252">
        <v>99</v>
      </c>
      <c r="G594" s="253">
        <v>333659</v>
      </c>
      <c r="H594" s="267">
        <v>106</v>
      </c>
      <c r="I594" s="268">
        <v>360147</v>
      </c>
      <c r="J594" s="252">
        <v>99</v>
      </c>
      <c r="K594" s="253">
        <v>518069</v>
      </c>
      <c r="L594" s="267">
        <v>106</v>
      </c>
      <c r="M594" s="268">
        <v>665899</v>
      </c>
      <c r="N594" s="252"/>
      <c r="O594" s="253"/>
      <c r="P594" s="267"/>
      <c r="Q594" s="268"/>
      <c r="R594" s="252">
        <v>97</v>
      </c>
      <c r="S594" s="253">
        <v>364885</v>
      </c>
      <c r="T594" s="267">
        <v>106</v>
      </c>
      <c r="U594" s="268">
        <v>458600</v>
      </c>
      <c r="V594" s="252"/>
      <c r="W594" s="253"/>
      <c r="X594" s="267"/>
      <c r="Y594" s="268"/>
      <c r="Z594" s="252">
        <v>99</v>
      </c>
      <c r="AA594" s="253">
        <v>2890</v>
      </c>
      <c r="AB594" s="267">
        <v>106</v>
      </c>
      <c r="AC594" s="268">
        <v>2824</v>
      </c>
      <c r="AD594" s="252"/>
      <c r="AE594" s="253"/>
      <c r="AF594" s="267"/>
      <c r="AG594" s="268"/>
      <c r="AH594" s="252">
        <v>0</v>
      </c>
      <c r="AI594" s="253">
        <v>0</v>
      </c>
      <c r="AJ594" s="267">
        <v>0</v>
      </c>
      <c r="AK594" s="268">
        <v>0</v>
      </c>
      <c r="AL594" s="252"/>
      <c r="AM594" s="253"/>
      <c r="AN594" s="267"/>
      <c r="AO594" s="268"/>
      <c r="AP594" s="255">
        <f t="shared" si="88"/>
        <v>99</v>
      </c>
      <c r="AQ594" s="256">
        <f t="shared" si="89"/>
        <v>1219503</v>
      </c>
      <c r="AR594" s="257">
        <f t="shared" si="90"/>
        <v>106</v>
      </c>
      <c r="AS594" s="258">
        <f t="shared" si="91"/>
        <v>1487470</v>
      </c>
      <c r="AT594" s="259">
        <v>18</v>
      </c>
      <c r="AU594" s="253">
        <v>77328</v>
      </c>
      <c r="AV594" s="267">
        <v>13</v>
      </c>
      <c r="AW594" s="268">
        <v>66038</v>
      </c>
      <c r="AX594" s="252">
        <v>16</v>
      </c>
      <c r="AY594" s="253">
        <v>112602</v>
      </c>
      <c r="AZ594" s="267">
        <v>18</v>
      </c>
      <c r="BA594" s="268">
        <v>122411</v>
      </c>
      <c r="BB594" s="252"/>
      <c r="BC594" s="253"/>
      <c r="BD594" s="267"/>
      <c r="BE594" s="268"/>
      <c r="BF594" s="252">
        <v>18</v>
      </c>
      <c r="BG594" s="253">
        <v>86734</v>
      </c>
      <c r="BH594" s="267">
        <v>18</v>
      </c>
      <c r="BI594" s="268">
        <v>87824</v>
      </c>
      <c r="BJ594" s="252"/>
      <c r="BK594" s="253"/>
      <c r="BL594" s="267"/>
      <c r="BM594" s="268"/>
      <c r="BN594" s="252">
        <v>16</v>
      </c>
      <c r="BO594" s="253">
        <v>428</v>
      </c>
      <c r="BP594" s="267">
        <v>18</v>
      </c>
      <c r="BQ594" s="268">
        <v>480</v>
      </c>
      <c r="BR594" s="252"/>
      <c r="BS594" s="253"/>
      <c r="BT594" s="267"/>
      <c r="BU594" s="268"/>
      <c r="BV594" s="252">
        <v>0</v>
      </c>
      <c r="BW594" s="253">
        <v>0</v>
      </c>
      <c r="BX594" s="267">
        <v>0</v>
      </c>
      <c r="BY594" s="268">
        <v>0</v>
      </c>
      <c r="BZ594" s="252"/>
      <c r="CA594" s="253"/>
      <c r="CB594" s="267"/>
      <c r="CC594" s="268"/>
      <c r="CD594" s="255">
        <f t="shared" si="92"/>
        <v>18</v>
      </c>
      <c r="CE594" s="256">
        <f t="shared" si="93"/>
        <v>277092</v>
      </c>
      <c r="CF594" s="257">
        <f t="shared" si="94"/>
        <v>18</v>
      </c>
      <c r="CG594" s="261">
        <f t="shared" si="95"/>
        <v>276753</v>
      </c>
    </row>
    <row r="595" spans="1:85" s="263" customFormat="1" ht="12.75" customHeight="1">
      <c r="A595" s="444" t="s">
        <v>346</v>
      </c>
      <c r="B595" s="411" t="s">
        <v>413</v>
      </c>
      <c r="C595" s="411"/>
      <c r="D595" s="412">
        <v>227401</v>
      </c>
      <c r="E595" s="290">
        <v>9</v>
      </c>
      <c r="F595" s="252">
        <v>73</v>
      </c>
      <c r="G595" s="253">
        <v>243490</v>
      </c>
      <c r="H595" s="267">
        <v>75</v>
      </c>
      <c r="I595" s="268">
        <v>285627</v>
      </c>
      <c r="J595" s="252">
        <v>73</v>
      </c>
      <c r="K595" s="253">
        <v>315944</v>
      </c>
      <c r="L595" s="267">
        <v>75</v>
      </c>
      <c r="M595" s="268">
        <v>324600</v>
      </c>
      <c r="N595" s="252"/>
      <c r="O595" s="253"/>
      <c r="P595" s="267"/>
      <c r="Q595" s="268"/>
      <c r="R595" s="252">
        <v>73</v>
      </c>
      <c r="S595" s="253">
        <v>235880</v>
      </c>
      <c r="T595" s="267">
        <v>75</v>
      </c>
      <c r="U595" s="268">
        <v>251250</v>
      </c>
      <c r="V595" s="252">
        <v>73</v>
      </c>
      <c r="W595" s="253">
        <v>6570</v>
      </c>
      <c r="X595" s="267">
        <v>75</v>
      </c>
      <c r="Y595" s="268">
        <v>6750</v>
      </c>
      <c r="Z595" s="252">
        <v>0</v>
      </c>
      <c r="AA595" s="253">
        <v>0</v>
      </c>
      <c r="AB595" s="267">
        <v>0</v>
      </c>
      <c r="AC595" s="268">
        <v>0</v>
      </c>
      <c r="AD595" s="252">
        <v>73</v>
      </c>
      <c r="AE595" s="253">
        <v>6570</v>
      </c>
      <c r="AF595" s="267">
        <v>75</v>
      </c>
      <c r="AG595" s="268">
        <v>6750</v>
      </c>
      <c r="AH595" s="252">
        <v>0</v>
      </c>
      <c r="AI595" s="253">
        <v>0</v>
      </c>
      <c r="AJ595" s="267">
        <v>0</v>
      </c>
      <c r="AK595" s="268">
        <v>0</v>
      </c>
      <c r="AL595" s="252"/>
      <c r="AM595" s="253"/>
      <c r="AN595" s="267"/>
      <c r="AO595" s="268"/>
      <c r="AP595" s="255">
        <f t="shared" si="88"/>
        <v>73</v>
      </c>
      <c r="AQ595" s="256">
        <f t="shared" si="89"/>
        <v>808454</v>
      </c>
      <c r="AR595" s="257">
        <f t="shared" si="90"/>
        <v>75</v>
      </c>
      <c r="AS595" s="258">
        <f t="shared" si="91"/>
        <v>874977</v>
      </c>
      <c r="AT595" s="259">
        <v>26</v>
      </c>
      <c r="AU595" s="253">
        <v>110432</v>
      </c>
      <c r="AV595" s="267">
        <v>24</v>
      </c>
      <c r="AW595" s="268">
        <v>112644</v>
      </c>
      <c r="AX595" s="252">
        <v>26</v>
      </c>
      <c r="AY595" s="253">
        <v>112476</v>
      </c>
      <c r="AZ595" s="267">
        <v>24</v>
      </c>
      <c r="BA595" s="268">
        <v>103824</v>
      </c>
      <c r="BB595" s="252"/>
      <c r="BC595" s="253"/>
      <c r="BD595" s="267"/>
      <c r="BE595" s="268"/>
      <c r="BF595" s="252">
        <v>26</v>
      </c>
      <c r="BG595" s="253">
        <v>106981</v>
      </c>
      <c r="BH595" s="267">
        <v>24</v>
      </c>
      <c r="BI595" s="268">
        <v>107448</v>
      </c>
      <c r="BJ595" s="252">
        <v>26</v>
      </c>
      <c r="BK595" s="253">
        <v>2340</v>
      </c>
      <c r="BL595" s="267">
        <v>24</v>
      </c>
      <c r="BM595" s="268">
        <v>2160</v>
      </c>
      <c r="BN595" s="252">
        <v>0</v>
      </c>
      <c r="BO595" s="253">
        <v>0</v>
      </c>
      <c r="BP595" s="267">
        <v>0</v>
      </c>
      <c r="BQ595" s="268">
        <v>0</v>
      </c>
      <c r="BR595" s="252">
        <v>26</v>
      </c>
      <c r="BS595" s="253">
        <v>2340</v>
      </c>
      <c r="BT595" s="267">
        <v>24</v>
      </c>
      <c r="BU595" s="268">
        <v>2160</v>
      </c>
      <c r="BV595" s="252">
        <v>0</v>
      </c>
      <c r="BW595" s="253">
        <v>0</v>
      </c>
      <c r="BX595" s="267">
        <v>0</v>
      </c>
      <c r="BY595" s="268">
        <v>0</v>
      </c>
      <c r="BZ595" s="252"/>
      <c r="CA595" s="253"/>
      <c r="CB595" s="267"/>
      <c r="CC595" s="268"/>
      <c r="CD595" s="255">
        <f t="shared" si="92"/>
        <v>26</v>
      </c>
      <c r="CE595" s="256">
        <f t="shared" si="93"/>
        <v>334569</v>
      </c>
      <c r="CF595" s="257">
        <f t="shared" si="94"/>
        <v>24</v>
      </c>
      <c r="CG595" s="261">
        <f t="shared" si="95"/>
        <v>328236</v>
      </c>
    </row>
    <row r="596" spans="1:85" s="263" customFormat="1" ht="12.75" customHeight="1">
      <c r="A596" s="444" t="s">
        <v>346</v>
      </c>
      <c r="B596" s="411" t="s">
        <v>414</v>
      </c>
      <c r="C596" s="411"/>
      <c r="D596" s="412">
        <v>228316</v>
      </c>
      <c r="E596" s="290">
        <v>9</v>
      </c>
      <c r="F596" s="252">
        <v>102</v>
      </c>
      <c r="G596" s="253">
        <v>317419</v>
      </c>
      <c r="H596" s="267">
        <v>103</v>
      </c>
      <c r="I596" s="268">
        <v>336902</v>
      </c>
      <c r="J596" s="252">
        <v>104</v>
      </c>
      <c r="K596" s="253">
        <v>630952</v>
      </c>
      <c r="L596" s="267">
        <v>104</v>
      </c>
      <c r="M596" s="268">
        <v>682553</v>
      </c>
      <c r="N596" s="252"/>
      <c r="O596" s="253"/>
      <c r="P596" s="267"/>
      <c r="Q596" s="268"/>
      <c r="R596" s="252">
        <v>2</v>
      </c>
      <c r="S596" s="253">
        <v>5880</v>
      </c>
      <c r="T596" s="267">
        <v>2</v>
      </c>
      <c r="U596" s="268">
        <v>5994</v>
      </c>
      <c r="V596" s="252"/>
      <c r="W596" s="253"/>
      <c r="X596" s="267"/>
      <c r="Y596" s="268"/>
      <c r="Z596" s="252">
        <v>104</v>
      </c>
      <c r="AA596" s="253">
        <v>2770</v>
      </c>
      <c r="AB596" s="267">
        <v>104</v>
      </c>
      <c r="AC596" s="268">
        <v>2770</v>
      </c>
      <c r="AD596" s="252">
        <v>104</v>
      </c>
      <c r="AE596" s="253">
        <v>17991</v>
      </c>
      <c r="AF596" s="267">
        <v>105</v>
      </c>
      <c r="AG596" s="268">
        <v>4975</v>
      </c>
      <c r="AH596" s="252">
        <v>17</v>
      </c>
      <c r="AI596" s="253">
        <v>6394</v>
      </c>
      <c r="AJ596" s="267">
        <v>8</v>
      </c>
      <c r="AK596" s="268">
        <v>5844</v>
      </c>
      <c r="AL596" s="252"/>
      <c r="AM596" s="253"/>
      <c r="AN596" s="267"/>
      <c r="AO596" s="268"/>
      <c r="AP596" s="255">
        <f t="shared" si="88"/>
        <v>104</v>
      </c>
      <c r="AQ596" s="256">
        <f t="shared" si="89"/>
        <v>981406</v>
      </c>
      <c r="AR596" s="257">
        <f t="shared" si="90"/>
        <v>105</v>
      </c>
      <c r="AS596" s="258">
        <f t="shared" si="91"/>
        <v>1039038</v>
      </c>
      <c r="AT596" s="259">
        <v>8</v>
      </c>
      <c r="AU596" s="253">
        <v>33332</v>
      </c>
      <c r="AV596" s="267">
        <v>10</v>
      </c>
      <c r="AW596" s="268">
        <v>45075</v>
      </c>
      <c r="AX596" s="252">
        <v>7</v>
      </c>
      <c r="AY596" s="253">
        <v>42784</v>
      </c>
      <c r="AZ596" s="267">
        <v>9</v>
      </c>
      <c r="BA596" s="268">
        <v>56362</v>
      </c>
      <c r="BB596" s="252"/>
      <c r="BC596" s="253"/>
      <c r="BD596" s="267"/>
      <c r="BE596" s="268"/>
      <c r="BF596" s="252"/>
      <c r="BG596" s="253"/>
      <c r="BH596" s="267"/>
      <c r="BI596" s="268"/>
      <c r="BJ596" s="252"/>
      <c r="BK596" s="253"/>
      <c r="BL596" s="267"/>
      <c r="BM596" s="268"/>
      <c r="BN596" s="252">
        <v>7</v>
      </c>
      <c r="BO596" s="253">
        <v>186</v>
      </c>
      <c r="BP596" s="267">
        <v>9</v>
      </c>
      <c r="BQ596" s="268">
        <v>240</v>
      </c>
      <c r="BR596" s="252">
        <v>8</v>
      </c>
      <c r="BS596" s="253">
        <v>1384</v>
      </c>
      <c r="BT596" s="267">
        <v>10</v>
      </c>
      <c r="BU596" s="268">
        <v>474</v>
      </c>
      <c r="BV596" s="252">
        <v>0</v>
      </c>
      <c r="BW596" s="253">
        <v>0</v>
      </c>
      <c r="BX596" s="267">
        <v>0</v>
      </c>
      <c r="BY596" s="268">
        <v>0</v>
      </c>
      <c r="BZ596" s="252"/>
      <c r="CA596" s="253"/>
      <c r="CB596" s="267"/>
      <c r="CC596" s="268"/>
      <c r="CD596" s="255">
        <f t="shared" si="92"/>
        <v>8</v>
      </c>
      <c r="CE596" s="256">
        <f t="shared" si="93"/>
        <v>77686</v>
      </c>
      <c r="CF596" s="257">
        <f t="shared" si="94"/>
        <v>10</v>
      </c>
      <c r="CG596" s="261">
        <f t="shared" si="95"/>
        <v>102151</v>
      </c>
    </row>
    <row r="597" spans="1:85" s="263" customFormat="1" ht="12.75" customHeight="1">
      <c r="A597" s="444" t="s">
        <v>346</v>
      </c>
      <c r="B597" s="411" t="s">
        <v>415</v>
      </c>
      <c r="C597" s="411"/>
      <c r="D597" s="412">
        <v>228608</v>
      </c>
      <c r="E597" s="290">
        <v>9</v>
      </c>
      <c r="F597" s="252">
        <v>78</v>
      </c>
      <c r="G597" s="253">
        <v>349149</v>
      </c>
      <c r="H597" s="267">
        <v>80</v>
      </c>
      <c r="I597" s="268">
        <v>365082</v>
      </c>
      <c r="J597" s="252">
        <v>71</v>
      </c>
      <c r="K597" s="253">
        <v>444167</v>
      </c>
      <c r="L597" s="267">
        <v>75</v>
      </c>
      <c r="M597" s="268">
        <v>492101</v>
      </c>
      <c r="N597" s="252"/>
      <c r="O597" s="253"/>
      <c r="P597" s="267"/>
      <c r="Q597" s="268"/>
      <c r="R597" s="252">
        <v>78</v>
      </c>
      <c r="S597" s="253">
        <v>338706</v>
      </c>
      <c r="T597" s="267">
        <v>80</v>
      </c>
      <c r="U597" s="268">
        <v>367115</v>
      </c>
      <c r="V597" s="252">
        <v>78</v>
      </c>
      <c r="W597" s="253">
        <v>13791</v>
      </c>
      <c r="X597" s="267">
        <v>80</v>
      </c>
      <c r="Y597" s="268">
        <v>14800</v>
      </c>
      <c r="Z597" s="252">
        <v>71</v>
      </c>
      <c r="AA597" s="253">
        <v>1891</v>
      </c>
      <c r="AB597" s="267">
        <v>75</v>
      </c>
      <c r="AC597" s="268">
        <v>1998</v>
      </c>
      <c r="AD597" s="252">
        <v>78</v>
      </c>
      <c r="AE597" s="253">
        <v>8500</v>
      </c>
      <c r="AF597" s="267">
        <v>80</v>
      </c>
      <c r="AG597" s="268">
        <v>8800</v>
      </c>
      <c r="AH597" s="252">
        <v>21</v>
      </c>
      <c r="AI597" s="253">
        <v>10800</v>
      </c>
      <c r="AJ597" s="267">
        <v>26</v>
      </c>
      <c r="AK597" s="268">
        <v>12480</v>
      </c>
      <c r="AL597" s="252"/>
      <c r="AM597" s="253"/>
      <c r="AN597" s="267"/>
      <c r="AO597" s="268"/>
      <c r="AP597" s="255">
        <f t="shared" si="88"/>
        <v>78</v>
      </c>
      <c r="AQ597" s="256">
        <f t="shared" si="89"/>
        <v>1167004</v>
      </c>
      <c r="AR597" s="257">
        <f t="shared" si="90"/>
        <v>80</v>
      </c>
      <c r="AS597" s="258">
        <f t="shared" si="91"/>
        <v>1262376</v>
      </c>
      <c r="AT597" s="259">
        <v>35</v>
      </c>
      <c r="AU597" s="253">
        <v>163915</v>
      </c>
      <c r="AV597" s="267">
        <v>37</v>
      </c>
      <c r="AW597" s="268">
        <v>173248</v>
      </c>
      <c r="AX597" s="252">
        <v>33</v>
      </c>
      <c r="AY597" s="253">
        <v>168456</v>
      </c>
      <c r="AZ597" s="267">
        <v>34</v>
      </c>
      <c r="BA597" s="268">
        <v>207108</v>
      </c>
      <c r="BB597" s="252"/>
      <c r="BC597" s="253"/>
      <c r="BD597" s="267"/>
      <c r="BE597" s="268"/>
      <c r="BF597" s="252">
        <v>35</v>
      </c>
      <c r="BG597" s="253">
        <v>166458</v>
      </c>
      <c r="BH597" s="267">
        <v>37</v>
      </c>
      <c r="BI597" s="268">
        <v>175360</v>
      </c>
      <c r="BJ597" s="252">
        <v>35</v>
      </c>
      <c r="BK597" s="253">
        <v>8400</v>
      </c>
      <c r="BL597" s="267">
        <v>37</v>
      </c>
      <c r="BM597" s="268">
        <v>9065</v>
      </c>
      <c r="BN597" s="252">
        <v>33</v>
      </c>
      <c r="BO597" s="253">
        <v>879</v>
      </c>
      <c r="BP597" s="267">
        <v>34</v>
      </c>
      <c r="BQ597" s="268">
        <v>906</v>
      </c>
      <c r="BR597" s="252">
        <v>35</v>
      </c>
      <c r="BS597" s="253">
        <v>3570</v>
      </c>
      <c r="BT597" s="267">
        <v>37</v>
      </c>
      <c r="BU597" s="268">
        <v>3885</v>
      </c>
      <c r="BV597" s="252">
        <v>2</v>
      </c>
      <c r="BW597" s="253">
        <v>900</v>
      </c>
      <c r="BX597" s="267">
        <v>2</v>
      </c>
      <c r="BY597" s="268">
        <v>960</v>
      </c>
      <c r="BZ597" s="252"/>
      <c r="CA597" s="253"/>
      <c r="CB597" s="267"/>
      <c r="CC597" s="268"/>
      <c r="CD597" s="255">
        <f t="shared" si="92"/>
        <v>35</v>
      </c>
      <c r="CE597" s="256">
        <f t="shared" si="93"/>
        <v>512578</v>
      </c>
      <c r="CF597" s="257">
        <f t="shared" si="94"/>
        <v>37</v>
      </c>
      <c r="CG597" s="261">
        <f t="shared" si="95"/>
        <v>570532</v>
      </c>
    </row>
    <row r="598" spans="1:85" s="263" customFormat="1" ht="12.75" customHeight="1">
      <c r="A598" s="444" t="s">
        <v>346</v>
      </c>
      <c r="B598" s="411" t="s">
        <v>416</v>
      </c>
      <c r="C598" s="411"/>
      <c r="D598" s="412">
        <v>228699</v>
      </c>
      <c r="E598" s="290">
        <v>9</v>
      </c>
      <c r="F598" s="252">
        <v>70</v>
      </c>
      <c r="G598" s="253">
        <v>291799</v>
      </c>
      <c r="H598" s="267">
        <v>67</v>
      </c>
      <c r="I598" s="268">
        <v>236041</v>
      </c>
      <c r="J598" s="252">
        <v>70</v>
      </c>
      <c r="K598" s="253">
        <v>323719</v>
      </c>
      <c r="L598" s="267">
        <v>67</v>
      </c>
      <c r="M598" s="268">
        <v>331583</v>
      </c>
      <c r="N598" s="252">
        <v>70</v>
      </c>
      <c r="O598" s="253">
        <v>26912</v>
      </c>
      <c r="P598" s="267">
        <v>67</v>
      </c>
      <c r="Q598" s="268">
        <v>25728</v>
      </c>
      <c r="R598" s="252"/>
      <c r="S598" s="253"/>
      <c r="T598" s="267"/>
      <c r="U598" s="268"/>
      <c r="V598" s="252">
        <v>70</v>
      </c>
      <c r="W598" s="253">
        <v>3070</v>
      </c>
      <c r="X598" s="267">
        <v>67</v>
      </c>
      <c r="Y598" s="268">
        <v>2948</v>
      </c>
      <c r="Z598" s="252">
        <v>70</v>
      </c>
      <c r="AA598" s="253">
        <v>9996</v>
      </c>
      <c r="AB598" s="267">
        <v>67</v>
      </c>
      <c r="AC598" s="268">
        <v>9581</v>
      </c>
      <c r="AD598" s="252">
        <v>70</v>
      </c>
      <c r="AE598" s="253">
        <v>24562</v>
      </c>
      <c r="AF598" s="267">
        <v>67</v>
      </c>
      <c r="AG598" s="268">
        <v>23517</v>
      </c>
      <c r="AH598" s="252">
        <v>0</v>
      </c>
      <c r="AI598" s="253">
        <v>0</v>
      </c>
      <c r="AJ598" s="267">
        <v>0</v>
      </c>
      <c r="AK598" s="268">
        <v>0</v>
      </c>
      <c r="AL598" s="252"/>
      <c r="AM598" s="253"/>
      <c r="AN598" s="267"/>
      <c r="AO598" s="268"/>
      <c r="AP598" s="255">
        <f t="shared" si="88"/>
        <v>70</v>
      </c>
      <c r="AQ598" s="256">
        <f t="shared" si="89"/>
        <v>680058</v>
      </c>
      <c r="AR598" s="257">
        <f t="shared" si="90"/>
        <v>67</v>
      </c>
      <c r="AS598" s="258">
        <f t="shared" si="91"/>
        <v>629398</v>
      </c>
      <c r="AT598" s="259">
        <v>38</v>
      </c>
      <c r="AU598" s="253">
        <v>183605</v>
      </c>
      <c r="AV598" s="267">
        <v>35</v>
      </c>
      <c r="AW598" s="268">
        <v>145861</v>
      </c>
      <c r="AX598" s="252">
        <v>38</v>
      </c>
      <c r="AY598" s="253">
        <v>175733</v>
      </c>
      <c r="AZ598" s="267">
        <v>35</v>
      </c>
      <c r="BA598" s="268">
        <v>173215</v>
      </c>
      <c r="BB598" s="252">
        <v>38</v>
      </c>
      <c r="BC598" s="253">
        <v>17280</v>
      </c>
      <c r="BD598" s="267">
        <v>35</v>
      </c>
      <c r="BE598" s="268">
        <v>15925</v>
      </c>
      <c r="BF598" s="252"/>
      <c r="BG598" s="253"/>
      <c r="BH598" s="267"/>
      <c r="BI598" s="268"/>
      <c r="BJ598" s="252">
        <v>38</v>
      </c>
      <c r="BK598" s="253">
        <v>1667</v>
      </c>
      <c r="BL598" s="267">
        <v>35</v>
      </c>
      <c r="BM598" s="268">
        <v>1540</v>
      </c>
      <c r="BN598" s="252">
        <v>38</v>
      </c>
      <c r="BO598" s="253">
        <v>6418</v>
      </c>
      <c r="BP598" s="267">
        <v>35</v>
      </c>
      <c r="BQ598" s="268">
        <v>3815</v>
      </c>
      <c r="BR598" s="252">
        <v>38</v>
      </c>
      <c r="BS598" s="253">
        <v>13333</v>
      </c>
      <c r="BT598" s="267">
        <v>35</v>
      </c>
      <c r="BU598" s="268">
        <v>12285</v>
      </c>
      <c r="BV598" s="252">
        <v>0</v>
      </c>
      <c r="BW598" s="253">
        <v>0</v>
      </c>
      <c r="BX598" s="267">
        <v>0</v>
      </c>
      <c r="BY598" s="268">
        <v>0</v>
      </c>
      <c r="BZ598" s="252"/>
      <c r="CA598" s="253"/>
      <c r="CB598" s="267"/>
      <c r="CC598" s="268"/>
      <c r="CD598" s="255">
        <f t="shared" si="92"/>
        <v>38</v>
      </c>
      <c r="CE598" s="256">
        <f t="shared" si="93"/>
        <v>398036</v>
      </c>
      <c r="CF598" s="257">
        <f t="shared" si="94"/>
        <v>35</v>
      </c>
      <c r="CG598" s="261">
        <f t="shared" si="95"/>
        <v>352641</v>
      </c>
    </row>
    <row r="599" spans="1:85" s="263" customFormat="1" ht="12.75" customHeight="1">
      <c r="A599" s="444" t="s">
        <v>346</v>
      </c>
      <c r="B599" s="411" t="s">
        <v>417</v>
      </c>
      <c r="C599" s="411"/>
      <c r="D599" s="412">
        <v>229319</v>
      </c>
      <c r="E599" s="290">
        <v>9</v>
      </c>
      <c r="F599" s="252">
        <v>34</v>
      </c>
      <c r="G599" s="253">
        <v>113887</v>
      </c>
      <c r="H599" s="267">
        <v>32</v>
      </c>
      <c r="I599" s="268">
        <v>95800</v>
      </c>
      <c r="J599" s="252">
        <v>34</v>
      </c>
      <c r="K599" s="253">
        <v>199804</v>
      </c>
      <c r="L599" s="267">
        <v>32</v>
      </c>
      <c r="M599" s="268">
        <v>179822</v>
      </c>
      <c r="N599" s="252"/>
      <c r="O599" s="253"/>
      <c r="P599" s="267"/>
      <c r="Q599" s="268"/>
      <c r="R599" s="252">
        <v>34</v>
      </c>
      <c r="S599" s="253">
        <v>86519</v>
      </c>
      <c r="T599" s="267">
        <v>32</v>
      </c>
      <c r="U599" s="268">
        <v>78605</v>
      </c>
      <c r="V599" s="252">
        <v>34</v>
      </c>
      <c r="W599" s="253">
        <v>13955</v>
      </c>
      <c r="X599" s="267">
        <v>32</v>
      </c>
      <c r="Y599" s="268">
        <v>12678</v>
      </c>
      <c r="Z599" s="252">
        <v>0</v>
      </c>
      <c r="AA599" s="253">
        <v>0</v>
      </c>
      <c r="AB599" s="267">
        <v>0</v>
      </c>
      <c r="AC599" s="268">
        <v>0</v>
      </c>
      <c r="AD599" s="252">
        <v>34</v>
      </c>
      <c r="AE599" s="253">
        <v>4186</v>
      </c>
      <c r="AF599" s="267">
        <v>32</v>
      </c>
      <c r="AG599" s="268">
        <v>3803</v>
      </c>
      <c r="AH599" s="252">
        <v>0</v>
      </c>
      <c r="AI599" s="253">
        <v>0</v>
      </c>
      <c r="AJ599" s="267">
        <v>0</v>
      </c>
      <c r="AK599" s="268">
        <v>0</v>
      </c>
      <c r="AL599" s="252"/>
      <c r="AM599" s="253"/>
      <c r="AN599" s="267"/>
      <c r="AO599" s="268"/>
      <c r="AP599" s="255">
        <f t="shared" si="88"/>
        <v>34</v>
      </c>
      <c r="AQ599" s="256">
        <f t="shared" si="89"/>
        <v>418351</v>
      </c>
      <c r="AR599" s="257">
        <f t="shared" si="90"/>
        <v>32</v>
      </c>
      <c r="AS599" s="258">
        <f t="shared" si="91"/>
        <v>370708</v>
      </c>
      <c r="AT599" s="259">
        <v>121</v>
      </c>
      <c r="AU599" s="253">
        <v>450299</v>
      </c>
      <c r="AV599" s="267">
        <v>125</v>
      </c>
      <c r="AW599" s="268">
        <v>478727</v>
      </c>
      <c r="AX599" s="252">
        <v>121</v>
      </c>
      <c r="AY599" s="253">
        <v>704230</v>
      </c>
      <c r="AZ599" s="267">
        <v>125</v>
      </c>
      <c r="BA599" s="268">
        <v>767997</v>
      </c>
      <c r="BB599" s="252"/>
      <c r="BC599" s="253"/>
      <c r="BD599" s="267"/>
      <c r="BE599" s="268"/>
      <c r="BF599" s="252">
        <v>121</v>
      </c>
      <c r="BG599" s="253">
        <v>362965</v>
      </c>
      <c r="BH599" s="267">
        <v>125</v>
      </c>
      <c r="BI599" s="268">
        <v>373529</v>
      </c>
      <c r="BJ599" s="252">
        <v>121</v>
      </c>
      <c r="BK599" s="253">
        <v>58543</v>
      </c>
      <c r="BL599" s="267">
        <v>125</v>
      </c>
      <c r="BM599" s="268">
        <v>60246</v>
      </c>
      <c r="BN599" s="252">
        <v>0</v>
      </c>
      <c r="BO599" s="253">
        <v>0</v>
      </c>
      <c r="BP599" s="267">
        <v>0</v>
      </c>
      <c r="BQ599" s="268">
        <v>0</v>
      </c>
      <c r="BR599" s="252">
        <v>121</v>
      </c>
      <c r="BS599" s="253">
        <v>17563</v>
      </c>
      <c r="BT599" s="267">
        <v>125</v>
      </c>
      <c r="BU599" s="268">
        <v>18073</v>
      </c>
      <c r="BV599" s="252">
        <v>0</v>
      </c>
      <c r="BW599" s="253">
        <v>0</v>
      </c>
      <c r="BX599" s="267">
        <v>0</v>
      </c>
      <c r="BY599" s="268">
        <v>0</v>
      </c>
      <c r="BZ599" s="252"/>
      <c r="CA599" s="253"/>
      <c r="CB599" s="267"/>
      <c r="CC599" s="268"/>
      <c r="CD599" s="255">
        <f t="shared" si="92"/>
        <v>121</v>
      </c>
      <c r="CE599" s="256">
        <f t="shared" si="93"/>
        <v>1593600</v>
      </c>
      <c r="CF599" s="257">
        <f t="shared" si="94"/>
        <v>125</v>
      </c>
      <c r="CG599" s="261">
        <f t="shared" si="95"/>
        <v>1698572</v>
      </c>
    </row>
    <row r="600" spans="1:85" s="263" customFormat="1" ht="12.75" customHeight="1">
      <c r="A600" s="444" t="s">
        <v>346</v>
      </c>
      <c r="B600" s="411" t="s">
        <v>418</v>
      </c>
      <c r="C600" s="536" t="s">
        <v>1186</v>
      </c>
      <c r="D600" s="412">
        <v>228680</v>
      </c>
      <c r="E600" s="290">
        <v>9</v>
      </c>
      <c r="F600" s="252">
        <v>28</v>
      </c>
      <c r="G600" s="253">
        <v>84666</v>
      </c>
      <c r="H600" s="267">
        <v>24</v>
      </c>
      <c r="I600" s="268">
        <v>72954</v>
      </c>
      <c r="J600" s="252">
        <v>28</v>
      </c>
      <c r="K600" s="253">
        <v>163493</v>
      </c>
      <c r="L600" s="267">
        <v>24</v>
      </c>
      <c r="M600" s="268">
        <v>129213</v>
      </c>
      <c r="N600" s="252"/>
      <c r="O600" s="253"/>
      <c r="P600" s="267"/>
      <c r="Q600" s="268"/>
      <c r="R600" s="252">
        <v>28</v>
      </c>
      <c r="S600" s="253">
        <v>74018</v>
      </c>
      <c r="T600" s="267">
        <v>24</v>
      </c>
      <c r="U600" s="268">
        <v>62790</v>
      </c>
      <c r="V600" s="252">
        <v>28</v>
      </c>
      <c r="W600" s="253">
        <v>11843</v>
      </c>
      <c r="X600" s="267">
        <v>24</v>
      </c>
      <c r="Y600" s="268">
        <v>10127</v>
      </c>
      <c r="Z600" s="252">
        <v>0</v>
      </c>
      <c r="AA600" s="253">
        <v>0</v>
      </c>
      <c r="AB600" s="267">
        <v>0</v>
      </c>
      <c r="AC600" s="268">
        <v>0</v>
      </c>
      <c r="AD600" s="252">
        <v>28</v>
      </c>
      <c r="AE600" s="253">
        <v>3403</v>
      </c>
      <c r="AF600" s="267">
        <v>24</v>
      </c>
      <c r="AG600" s="268">
        <v>3028</v>
      </c>
      <c r="AH600" s="252">
        <v>0</v>
      </c>
      <c r="AI600" s="253">
        <v>0</v>
      </c>
      <c r="AJ600" s="267">
        <v>0</v>
      </c>
      <c r="AK600" s="268">
        <v>0</v>
      </c>
      <c r="AL600" s="252"/>
      <c r="AM600" s="253"/>
      <c r="AN600" s="267"/>
      <c r="AO600" s="268"/>
      <c r="AP600" s="255">
        <f t="shared" si="88"/>
        <v>28</v>
      </c>
      <c r="AQ600" s="256">
        <f t="shared" si="89"/>
        <v>337423</v>
      </c>
      <c r="AR600" s="257">
        <f t="shared" si="90"/>
        <v>24</v>
      </c>
      <c r="AS600" s="258">
        <f t="shared" si="91"/>
        <v>278112</v>
      </c>
      <c r="AT600" s="259">
        <v>222</v>
      </c>
      <c r="AU600" s="253">
        <v>774180</v>
      </c>
      <c r="AV600" s="267">
        <v>228</v>
      </c>
      <c r="AW600" s="268">
        <v>804570</v>
      </c>
      <c r="AX600" s="252">
        <v>222</v>
      </c>
      <c r="AY600" s="253">
        <v>1379174</v>
      </c>
      <c r="AZ600" s="267">
        <v>228</v>
      </c>
      <c r="BA600" s="268">
        <v>1505277</v>
      </c>
      <c r="BB600" s="252"/>
      <c r="BC600" s="253"/>
      <c r="BD600" s="267"/>
      <c r="BE600" s="268"/>
      <c r="BF600" s="252">
        <v>222</v>
      </c>
      <c r="BG600" s="253">
        <v>664921</v>
      </c>
      <c r="BH600" s="267">
        <v>228</v>
      </c>
      <c r="BI600" s="268">
        <v>674078</v>
      </c>
      <c r="BJ600" s="252">
        <v>222</v>
      </c>
      <c r="BK600" s="253">
        <v>106387</v>
      </c>
      <c r="BL600" s="267">
        <v>228</v>
      </c>
      <c r="BM600" s="268">
        <v>108722</v>
      </c>
      <c r="BN600" s="252">
        <v>0</v>
      </c>
      <c r="BO600" s="253">
        <v>0</v>
      </c>
      <c r="BP600" s="267">
        <v>0</v>
      </c>
      <c r="BQ600" s="268">
        <v>0</v>
      </c>
      <c r="BR600" s="252">
        <v>222</v>
      </c>
      <c r="BS600" s="253">
        <v>31916</v>
      </c>
      <c r="BT600" s="267">
        <v>228</v>
      </c>
      <c r="BU600" s="268">
        <v>32616</v>
      </c>
      <c r="BV600" s="252">
        <v>0</v>
      </c>
      <c r="BW600" s="253">
        <v>0</v>
      </c>
      <c r="BX600" s="267">
        <v>0</v>
      </c>
      <c r="BY600" s="268">
        <v>0</v>
      </c>
      <c r="BZ600" s="252"/>
      <c r="CA600" s="253"/>
      <c r="CB600" s="267"/>
      <c r="CC600" s="268"/>
      <c r="CD600" s="255">
        <f t="shared" si="92"/>
        <v>222</v>
      </c>
      <c r="CE600" s="256">
        <f t="shared" si="93"/>
        <v>2956578</v>
      </c>
      <c r="CF600" s="257">
        <f t="shared" si="94"/>
        <v>228</v>
      </c>
      <c r="CG600" s="261">
        <f t="shared" si="95"/>
        <v>3125263</v>
      </c>
    </row>
    <row r="601" spans="1:85" s="263" customFormat="1" ht="12.75" customHeight="1">
      <c r="A601" s="444" t="s">
        <v>346</v>
      </c>
      <c r="B601" s="411" t="s">
        <v>419</v>
      </c>
      <c r="C601" s="536" t="s">
        <v>1186</v>
      </c>
      <c r="D601" s="412">
        <v>225308</v>
      </c>
      <c r="E601" s="290">
        <v>9</v>
      </c>
      <c r="F601" s="252">
        <v>106</v>
      </c>
      <c r="G601" s="253">
        <v>366925</v>
      </c>
      <c r="H601" s="267">
        <v>121</v>
      </c>
      <c r="I601" s="268">
        <v>401414</v>
      </c>
      <c r="J601" s="252">
        <v>102</v>
      </c>
      <c r="K601" s="253">
        <v>577728</v>
      </c>
      <c r="L601" s="267">
        <v>115</v>
      </c>
      <c r="M601" s="268">
        <v>775545</v>
      </c>
      <c r="N601" s="252">
        <v>106</v>
      </c>
      <c r="O601" s="253">
        <v>48336</v>
      </c>
      <c r="P601" s="267">
        <v>113</v>
      </c>
      <c r="Q601" s="268">
        <v>47828</v>
      </c>
      <c r="R601" s="252">
        <v>108</v>
      </c>
      <c r="S601" s="253">
        <v>412128</v>
      </c>
      <c r="T601" s="267">
        <v>119</v>
      </c>
      <c r="U601" s="268">
        <v>388871</v>
      </c>
      <c r="V601" s="252"/>
      <c r="W601" s="253"/>
      <c r="X601" s="267"/>
      <c r="Y601" s="268"/>
      <c r="Z601" s="252">
        <v>194</v>
      </c>
      <c r="AA601" s="253">
        <v>232358</v>
      </c>
      <c r="AB601" s="267">
        <v>140</v>
      </c>
      <c r="AC601" s="268">
        <v>817365</v>
      </c>
      <c r="AD601" s="252">
        <v>108</v>
      </c>
      <c r="AE601" s="253">
        <v>10152</v>
      </c>
      <c r="AF601" s="267">
        <v>119</v>
      </c>
      <c r="AG601" s="268">
        <v>11854</v>
      </c>
      <c r="AH601" s="252">
        <v>10</v>
      </c>
      <c r="AI601" s="253">
        <v>2180</v>
      </c>
      <c r="AJ601" s="267">
        <v>6</v>
      </c>
      <c r="AK601" s="268">
        <v>800</v>
      </c>
      <c r="AL601" s="252"/>
      <c r="AM601" s="253"/>
      <c r="AN601" s="267"/>
      <c r="AO601" s="268"/>
      <c r="AP601" s="255">
        <f t="shared" ref="AP601:AP664" si="96">MAX(AL601,AH601,AD601,Z601,V601,R601,N601,J601,F601)</f>
        <v>194</v>
      </c>
      <c r="AQ601" s="256">
        <f t="shared" ref="AQ601:AQ664" si="97">SUM(AM601,AI601,AE601,AA601,W601,S601,O601,K601,G601)</f>
        <v>1649807</v>
      </c>
      <c r="AR601" s="257">
        <f t="shared" ref="AR601:AR664" si="98">MAX(AN601,AJ601,AF601,AB601,X601,T601,P601,L601,H601)</f>
        <v>140</v>
      </c>
      <c r="AS601" s="258">
        <f t="shared" ref="AS601:AS664" si="99">SUM(AO601,AK601,AG601,AC601,Y601,U601,Q601,M601,I601)</f>
        <v>2443677</v>
      </c>
      <c r="AT601" s="259">
        <v>28</v>
      </c>
      <c r="AU601" s="253">
        <v>117325</v>
      </c>
      <c r="AV601" s="267">
        <v>34</v>
      </c>
      <c r="AW601" s="268">
        <v>141039</v>
      </c>
      <c r="AX601" s="252">
        <v>27</v>
      </c>
      <c r="AY601" s="253">
        <v>166509</v>
      </c>
      <c r="AZ601" s="267">
        <v>31</v>
      </c>
      <c r="BA601" s="268">
        <v>219719</v>
      </c>
      <c r="BB601" s="252">
        <v>27</v>
      </c>
      <c r="BC601" s="253">
        <v>11529</v>
      </c>
      <c r="BD601" s="267">
        <v>30</v>
      </c>
      <c r="BE601" s="268">
        <v>12015</v>
      </c>
      <c r="BF601" s="252">
        <v>28</v>
      </c>
      <c r="BG601" s="253">
        <v>135296</v>
      </c>
      <c r="BH601" s="267">
        <v>34</v>
      </c>
      <c r="BI601" s="268">
        <v>136632</v>
      </c>
      <c r="BJ601" s="252"/>
      <c r="BK601" s="253"/>
      <c r="BL601" s="267"/>
      <c r="BM601" s="268"/>
      <c r="BN601" s="252">
        <v>32</v>
      </c>
      <c r="BO601" s="253">
        <v>14339</v>
      </c>
      <c r="BP601" s="267">
        <v>35</v>
      </c>
      <c r="BQ601" s="268">
        <v>162706</v>
      </c>
      <c r="BR601" s="252">
        <v>28</v>
      </c>
      <c r="BS601" s="253">
        <v>3332</v>
      </c>
      <c r="BT601" s="267">
        <v>34</v>
      </c>
      <c r="BU601" s="268">
        <v>4165</v>
      </c>
      <c r="BV601" s="252">
        <v>0</v>
      </c>
      <c r="BW601" s="253">
        <v>0</v>
      </c>
      <c r="BX601" s="267">
        <v>0</v>
      </c>
      <c r="BY601" s="268">
        <v>0</v>
      </c>
      <c r="BZ601" s="252"/>
      <c r="CA601" s="253"/>
      <c r="CB601" s="267"/>
      <c r="CC601" s="268"/>
      <c r="CD601" s="255">
        <f t="shared" ref="CD601:CD664" si="100">MAX(BZ601,BV601,BR601,BN601,BJ601,BF601,BB601,AX601,AT601)</f>
        <v>32</v>
      </c>
      <c r="CE601" s="256">
        <f t="shared" ref="CE601:CE664" si="101">SUM(CA601,BW601,BS601,BO601,BK601,BG601,BC601,AY601,AU601)</f>
        <v>448330</v>
      </c>
      <c r="CF601" s="257">
        <f t="shared" ref="CF601:CF664" si="102">MAX(CB601,BX601,BT601,BP601,BL601,BH601,BD601,AZ601,AV601)</f>
        <v>35</v>
      </c>
      <c r="CG601" s="261">
        <f t="shared" ref="CG601:CG664" si="103">SUM(CC601,BY601,BU601,BQ601,BM601,BI601,BE601,BA601,AW601)</f>
        <v>676276</v>
      </c>
    </row>
    <row r="602" spans="1:85" s="263" customFormat="1" ht="12.75" customHeight="1">
      <c r="A602" s="447" t="s">
        <v>346</v>
      </c>
      <c r="B602" s="450" t="s">
        <v>420</v>
      </c>
      <c r="C602" s="450"/>
      <c r="D602" s="448">
        <v>229504</v>
      </c>
      <c r="E602" s="449">
        <v>9</v>
      </c>
      <c r="F602" s="252">
        <v>46</v>
      </c>
      <c r="G602" s="253">
        <v>136804</v>
      </c>
      <c r="H602" s="267">
        <v>51</v>
      </c>
      <c r="I602" s="268">
        <v>144404</v>
      </c>
      <c r="J602" s="252">
        <v>46</v>
      </c>
      <c r="K602" s="253">
        <v>235994</v>
      </c>
      <c r="L602" s="267">
        <v>51</v>
      </c>
      <c r="M602" s="268">
        <v>303691</v>
      </c>
      <c r="N602" s="252">
        <v>46</v>
      </c>
      <c r="O602" s="253">
        <v>13485</v>
      </c>
      <c r="P602" s="267">
        <v>51</v>
      </c>
      <c r="Q602" s="268">
        <v>13890</v>
      </c>
      <c r="R602" s="252">
        <v>46</v>
      </c>
      <c r="S602" s="253">
        <v>27933</v>
      </c>
      <c r="T602" s="267">
        <v>51</v>
      </c>
      <c r="U602" s="268">
        <v>31969</v>
      </c>
      <c r="V602" s="252"/>
      <c r="W602" s="253"/>
      <c r="X602" s="267"/>
      <c r="Y602" s="268"/>
      <c r="Z602" s="252">
        <v>0</v>
      </c>
      <c r="AA602" s="253">
        <v>0</v>
      </c>
      <c r="AB602" s="267">
        <v>0</v>
      </c>
      <c r="AC602" s="268">
        <v>0</v>
      </c>
      <c r="AD602" s="252">
        <v>46</v>
      </c>
      <c r="AE602" s="253">
        <v>5895</v>
      </c>
      <c r="AF602" s="267">
        <v>51</v>
      </c>
      <c r="AG602" s="268">
        <v>6632</v>
      </c>
      <c r="AH602" s="252">
        <v>0</v>
      </c>
      <c r="AI602" s="253">
        <v>0</v>
      </c>
      <c r="AJ602" s="267">
        <v>0</v>
      </c>
      <c r="AK602" s="268">
        <v>0</v>
      </c>
      <c r="AL602" s="252"/>
      <c r="AM602" s="253"/>
      <c r="AN602" s="267"/>
      <c r="AO602" s="268"/>
      <c r="AP602" s="255">
        <f t="shared" si="96"/>
        <v>46</v>
      </c>
      <c r="AQ602" s="256">
        <f t="shared" si="97"/>
        <v>420111</v>
      </c>
      <c r="AR602" s="257">
        <f t="shared" si="98"/>
        <v>51</v>
      </c>
      <c r="AS602" s="258">
        <f t="shared" si="99"/>
        <v>500586</v>
      </c>
      <c r="AT602" s="259">
        <v>31</v>
      </c>
      <c r="AU602" s="253">
        <v>113739</v>
      </c>
      <c r="AV602" s="267">
        <v>30</v>
      </c>
      <c r="AW602" s="268">
        <v>103754</v>
      </c>
      <c r="AX602" s="252">
        <v>31</v>
      </c>
      <c r="AY602" s="253">
        <v>163030</v>
      </c>
      <c r="AZ602" s="267">
        <v>30</v>
      </c>
      <c r="BA602" s="268">
        <v>172014</v>
      </c>
      <c r="BB602" s="252">
        <v>31</v>
      </c>
      <c r="BC602" s="253">
        <v>11425</v>
      </c>
      <c r="BD602" s="267">
        <v>30</v>
      </c>
      <c r="BE602" s="268">
        <v>10018</v>
      </c>
      <c r="BF602" s="252">
        <v>31</v>
      </c>
      <c r="BG602" s="253">
        <v>23667</v>
      </c>
      <c r="BH602" s="267">
        <v>30</v>
      </c>
      <c r="BI602" s="268">
        <v>23057</v>
      </c>
      <c r="BJ602" s="252"/>
      <c r="BK602" s="253"/>
      <c r="BL602" s="267"/>
      <c r="BM602" s="268"/>
      <c r="BN602" s="252">
        <v>0</v>
      </c>
      <c r="BO602" s="253">
        <v>0</v>
      </c>
      <c r="BP602" s="267">
        <v>0</v>
      </c>
      <c r="BQ602" s="268">
        <v>0</v>
      </c>
      <c r="BR602" s="252">
        <v>31</v>
      </c>
      <c r="BS602" s="253">
        <v>4994</v>
      </c>
      <c r="BT602" s="267">
        <v>30</v>
      </c>
      <c r="BU602" s="268">
        <v>4789</v>
      </c>
      <c r="BV602" s="252">
        <v>0</v>
      </c>
      <c r="BW602" s="253">
        <v>0</v>
      </c>
      <c r="BX602" s="267">
        <v>0</v>
      </c>
      <c r="BY602" s="268">
        <v>0</v>
      </c>
      <c r="BZ602" s="252"/>
      <c r="CA602" s="253"/>
      <c r="CB602" s="267"/>
      <c r="CC602" s="268"/>
      <c r="CD602" s="255">
        <f t="shared" si="100"/>
        <v>31</v>
      </c>
      <c r="CE602" s="256">
        <f t="shared" si="101"/>
        <v>316855</v>
      </c>
      <c r="CF602" s="257">
        <f t="shared" si="102"/>
        <v>30</v>
      </c>
      <c r="CG602" s="261">
        <f t="shared" si="103"/>
        <v>313632</v>
      </c>
    </row>
    <row r="603" spans="1:85" s="263" customFormat="1" ht="12.75" customHeight="1">
      <c r="A603" s="444" t="s">
        <v>346</v>
      </c>
      <c r="B603" s="411" t="s">
        <v>421</v>
      </c>
      <c r="C603" s="411"/>
      <c r="D603" s="412">
        <v>229540</v>
      </c>
      <c r="E603" s="290">
        <v>9</v>
      </c>
      <c r="F603" s="252">
        <v>70</v>
      </c>
      <c r="G603" s="253">
        <v>255875</v>
      </c>
      <c r="H603" s="267">
        <v>76</v>
      </c>
      <c r="I603" s="268">
        <v>258314</v>
      </c>
      <c r="J603" s="252">
        <v>66</v>
      </c>
      <c r="K603" s="253">
        <v>413803</v>
      </c>
      <c r="L603" s="267">
        <v>72</v>
      </c>
      <c r="M603" s="268">
        <v>474500</v>
      </c>
      <c r="N603" s="252"/>
      <c r="O603" s="253"/>
      <c r="P603" s="267"/>
      <c r="Q603" s="268"/>
      <c r="R603" s="252">
        <v>71</v>
      </c>
      <c r="S603" s="253">
        <v>287567</v>
      </c>
      <c r="T603" s="267">
        <v>76</v>
      </c>
      <c r="U603" s="268">
        <v>302222</v>
      </c>
      <c r="V603" s="252"/>
      <c r="W603" s="253"/>
      <c r="X603" s="267"/>
      <c r="Y603" s="268"/>
      <c r="Z603" s="252">
        <v>71</v>
      </c>
      <c r="AA603" s="253">
        <v>1892</v>
      </c>
      <c r="AB603" s="267">
        <v>76</v>
      </c>
      <c r="AC603" s="268">
        <v>2025</v>
      </c>
      <c r="AD603" s="252">
        <v>71</v>
      </c>
      <c r="AE603" s="253">
        <v>29430</v>
      </c>
      <c r="AF603" s="267">
        <v>76</v>
      </c>
      <c r="AG603" s="268">
        <v>18201</v>
      </c>
      <c r="AH603" s="252">
        <v>6</v>
      </c>
      <c r="AI603" s="253">
        <v>3706</v>
      </c>
      <c r="AJ603" s="267">
        <v>6</v>
      </c>
      <c r="AK603" s="268">
        <v>2588</v>
      </c>
      <c r="AL603" s="252">
        <v>71</v>
      </c>
      <c r="AM603" s="253">
        <v>25560</v>
      </c>
      <c r="AN603" s="267">
        <v>76</v>
      </c>
      <c r="AO603" s="268">
        <v>27360</v>
      </c>
      <c r="AP603" s="255">
        <f t="shared" si="96"/>
        <v>71</v>
      </c>
      <c r="AQ603" s="256">
        <f t="shared" si="97"/>
        <v>1017833</v>
      </c>
      <c r="AR603" s="257">
        <f t="shared" si="98"/>
        <v>76</v>
      </c>
      <c r="AS603" s="258">
        <f t="shared" si="99"/>
        <v>1085210</v>
      </c>
      <c r="AT603" s="259">
        <v>27</v>
      </c>
      <c r="AU603" s="253">
        <v>119466</v>
      </c>
      <c r="AV603" s="267">
        <v>29</v>
      </c>
      <c r="AW603" s="268">
        <v>121414</v>
      </c>
      <c r="AX603" s="252">
        <v>25</v>
      </c>
      <c r="AY603" s="253">
        <v>150053</v>
      </c>
      <c r="AZ603" s="267">
        <v>27</v>
      </c>
      <c r="BA603" s="268">
        <v>175576</v>
      </c>
      <c r="BB603" s="252"/>
      <c r="BC603" s="253"/>
      <c r="BD603" s="267"/>
      <c r="BE603" s="268"/>
      <c r="BF603" s="252">
        <v>27</v>
      </c>
      <c r="BG603" s="253">
        <v>133292</v>
      </c>
      <c r="BH603" s="267">
        <v>29</v>
      </c>
      <c r="BI603" s="268">
        <v>141625</v>
      </c>
      <c r="BJ603" s="252"/>
      <c r="BK603" s="253"/>
      <c r="BL603" s="267"/>
      <c r="BM603" s="268"/>
      <c r="BN603" s="252">
        <v>27</v>
      </c>
      <c r="BO603" s="253">
        <v>720</v>
      </c>
      <c r="BP603" s="267">
        <v>29</v>
      </c>
      <c r="BQ603" s="268">
        <v>773</v>
      </c>
      <c r="BR603" s="252">
        <v>27</v>
      </c>
      <c r="BS603" s="253">
        <v>13641</v>
      </c>
      <c r="BT603" s="267">
        <v>29</v>
      </c>
      <c r="BU603" s="268">
        <v>8529</v>
      </c>
      <c r="BV603" s="252">
        <v>6</v>
      </c>
      <c r="BW603" s="253">
        <v>3164</v>
      </c>
      <c r="BX603" s="267">
        <v>4</v>
      </c>
      <c r="BY603" s="268">
        <v>2074</v>
      </c>
      <c r="BZ603" s="252">
        <v>27</v>
      </c>
      <c r="CA603" s="253">
        <v>9720</v>
      </c>
      <c r="CB603" s="267">
        <v>29</v>
      </c>
      <c r="CC603" s="268">
        <v>10440</v>
      </c>
      <c r="CD603" s="255">
        <f t="shared" si="100"/>
        <v>27</v>
      </c>
      <c r="CE603" s="256">
        <f t="shared" si="101"/>
        <v>430056</v>
      </c>
      <c r="CF603" s="257">
        <f t="shared" si="102"/>
        <v>29</v>
      </c>
      <c r="CG603" s="261">
        <f t="shared" si="103"/>
        <v>460431</v>
      </c>
    </row>
    <row r="604" spans="1:85" s="263" customFormat="1" ht="12.75" customHeight="1">
      <c r="A604" s="444" t="s">
        <v>346</v>
      </c>
      <c r="B604" s="411" t="s">
        <v>422</v>
      </c>
      <c r="C604" s="411"/>
      <c r="D604" s="412">
        <v>229799</v>
      </c>
      <c r="E604" s="290">
        <v>9</v>
      </c>
      <c r="F604" s="252">
        <v>84</v>
      </c>
      <c r="G604" s="253">
        <v>323711</v>
      </c>
      <c r="H604" s="267">
        <v>92</v>
      </c>
      <c r="I604" s="268">
        <v>359483</v>
      </c>
      <c r="J604" s="252">
        <v>76</v>
      </c>
      <c r="K604" s="253">
        <v>453113</v>
      </c>
      <c r="L604" s="267">
        <v>76</v>
      </c>
      <c r="M604" s="268">
        <v>500945</v>
      </c>
      <c r="N604" s="252"/>
      <c r="O604" s="253"/>
      <c r="P604" s="267"/>
      <c r="Q604" s="268"/>
      <c r="R604" s="252"/>
      <c r="S604" s="253"/>
      <c r="T604" s="267"/>
      <c r="U604" s="268"/>
      <c r="V604" s="252"/>
      <c r="W604" s="253"/>
      <c r="X604" s="267"/>
      <c r="Y604" s="268"/>
      <c r="Z604" s="252">
        <v>2</v>
      </c>
      <c r="AA604" s="253">
        <v>1440</v>
      </c>
      <c r="AB604" s="267">
        <v>0</v>
      </c>
      <c r="AC604" s="268">
        <v>0</v>
      </c>
      <c r="AD604" s="252">
        <v>84</v>
      </c>
      <c r="AE604" s="253">
        <v>12756</v>
      </c>
      <c r="AF604" s="267">
        <v>92</v>
      </c>
      <c r="AG604" s="268">
        <v>9380</v>
      </c>
      <c r="AH604" s="252">
        <v>6</v>
      </c>
      <c r="AI604" s="253">
        <v>4317</v>
      </c>
      <c r="AJ604" s="267">
        <v>10</v>
      </c>
      <c r="AK604" s="268">
        <v>5061</v>
      </c>
      <c r="AL604" s="252"/>
      <c r="AM604" s="253"/>
      <c r="AN604" s="267"/>
      <c r="AO604" s="268"/>
      <c r="AP604" s="255">
        <f t="shared" si="96"/>
        <v>84</v>
      </c>
      <c r="AQ604" s="256">
        <f t="shared" si="97"/>
        <v>795337</v>
      </c>
      <c r="AR604" s="257">
        <f t="shared" si="98"/>
        <v>92</v>
      </c>
      <c r="AS604" s="258">
        <f t="shared" si="99"/>
        <v>874869</v>
      </c>
      <c r="AT604" s="259">
        <v>36</v>
      </c>
      <c r="AU604" s="253">
        <v>150168</v>
      </c>
      <c r="AV604" s="267">
        <v>38</v>
      </c>
      <c r="AW604" s="268">
        <v>162112</v>
      </c>
      <c r="AX604" s="252">
        <v>33</v>
      </c>
      <c r="AY604" s="253">
        <v>193211</v>
      </c>
      <c r="AZ604" s="267">
        <v>37</v>
      </c>
      <c r="BA604" s="268">
        <v>233701</v>
      </c>
      <c r="BB604" s="252"/>
      <c r="BC604" s="253"/>
      <c r="BD604" s="267"/>
      <c r="BE604" s="268"/>
      <c r="BF604" s="252"/>
      <c r="BG604" s="253"/>
      <c r="BH604" s="267"/>
      <c r="BI604" s="268"/>
      <c r="BJ604" s="252"/>
      <c r="BK604" s="253"/>
      <c r="BL604" s="267"/>
      <c r="BM604" s="268"/>
      <c r="BN604" s="252">
        <v>0</v>
      </c>
      <c r="BO604" s="253">
        <v>0</v>
      </c>
      <c r="BP604" s="267">
        <v>0</v>
      </c>
      <c r="BQ604" s="268">
        <v>0</v>
      </c>
      <c r="BR604" s="252">
        <v>36</v>
      </c>
      <c r="BS604" s="253">
        <v>6203</v>
      </c>
      <c r="BT604" s="267">
        <v>38</v>
      </c>
      <c r="BU604" s="268">
        <v>4441</v>
      </c>
      <c r="BV604" s="252">
        <v>2</v>
      </c>
      <c r="BW604" s="253">
        <v>553</v>
      </c>
      <c r="BX604" s="267">
        <v>5</v>
      </c>
      <c r="BY604" s="268">
        <v>5214</v>
      </c>
      <c r="BZ604" s="252"/>
      <c r="CA604" s="253"/>
      <c r="CB604" s="267"/>
      <c r="CC604" s="268"/>
      <c r="CD604" s="255">
        <f t="shared" si="100"/>
        <v>36</v>
      </c>
      <c r="CE604" s="256">
        <f t="shared" si="101"/>
        <v>350135</v>
      </c>
      <c r="CF604" s="257">
        <f t="shared" si="102"/>
        <v>38</v>
      </c>
      <c r="CG604" s="261">
        <f t="shared" si="103"/>
        <v>405468</v>
      </c>
    </row>
    <row r="605" spans="1:85" s="263" customFormat="1" ht="12.75" customHeight="1">
      <c r="A605" s="444" t="s">
        <v>346</v>
      </c>
      <c r="B605" s="411" t="s">
        <v>423</v>
      </c>
      <c r="C605" s="411"/>
      <c r="D605" s="412">
        <v>229841</v>
      </c>
      <c r="E605" s="290">
        <v>9</v>
      </c>
      <c r="F605" s="252">
        <v>101</v>
      </c>
      <c r="G605" s="253">
        <v>326102</v>
      </c>
      <c r="H605" s="267">
        <v>108</v>
      </c>
      <c r="I605" s="268">
        <v>375543</v>
      </c>
      <c r="J605" s="252">
        <v>101</v>
      </c>
      <c r="K605" s="253">
        <v>531389</v>
      </c>
      <c r="L605" s="267">
        <v>89</v>
      </c>
      <c r="M605" s="268">
        <v>573972</v>
      </c>
      <c r="N605" s="252">
        <v>101</v>
      </c>
      <c r="O605" s="253">
        <v>10924</v>
      </c>
      <c r="P605" s="267">
        <v>108</v>
      </c>
      <c r="Q605" s="268">
        <v>10321</v>
      </c>
      <c r="R605" s="252">
        <v>101</v>
      </c>
      <c r="S605" s="253">
        <v>379857</v>
      </c>
      <c r="T605" s="267">
        <v>108</v>
      </c>
      <c r="U605" s="268">
        <v>415556</v>
      </c>
      <c r="V605" s="252">
        <v>101</v>
      </c>
      <c r="W605" s="253">
        <v>12259</v>
      </c>
      <c r="X605" s="267">
        <v>108</v>
      </c>
      <c r="Y605" s="268">
        <v>15745</v>
      </c>
      <c r="Z605" s="252">
        <v>101</v>
      </c>
      <c r="AA605" s="253">
        <v>2703</v>
      </c>
      <c r="AB605" s="267">
        <v>108</v>
      </c>
      <c r="AC605" s="268">
        <v>2890</v>
      </c>
      <c r="AD605" s="252">
        <v>101</v>
      </c>
      <c r="AE605" s="253">
        <v>13109</v>
      </c>
      <c r="AF605" s="267">
        <v>108</v>
      </c>
      <c r="AG605" s="268">
        <v>9832</v>
      </c>
      <c r="AH605" s="252">
        <v>11</v>
      </c>
      <c r="AI605" s="253">
        <v>3712</v>
      </c>
      <c r="AJ605" s="267">
        <v>11</v>
      </c>
      <c r="AK605" s="268">
        <v>3869</v>
      </c>
      <c r="AL605" s="252"/>
      <c r="AM605" s="253"/>
      <c r="AN605" s="267"/>
      <c r="AO605" s="268"/>
      <c r="AP605" s="255">
        <f t="shared" si="96"/>
        <v>101</v>
      </c>
      <c r="AQ605" s="256">
        <f t="shared" si="97"/>
        <v>1280055</v>
      </c>
      <c r="AR605" s="257">
        <f t="shared" si="98"/>
        <v>108</v>
      </c>
      <c r="AS605" s="258">
        <f t="shared" si="99"/>
        <v>1407728</v>
      </c>
      <c r="AT605" s="259">
        <v>53</v>
      </c>
      <c r="AU605" s="253">
        <v>213776</v>
      </c>
      <c r="AV605" s="267">
        <v>53</v>
      </c>
      <c r="AW605" s="268">
        <v>228771</v>
      </c>
      <c r="AX605" s="252">
        <v>54</v>
      </c>
      <c r="AY605" s="253">
        <v>355336</v>
      </c>
      <c r="AZ605" s="267">
        <v>44</v>
      </c>
      <c r="BA605" s="268">
        <v>285456</v>
      </c>
      <c r="BB605" s="252">
        <v>54</v>
      </c>
      <c r="BC605" s="253">
        <v>7230</v>
      </c>
      <c r="BD605" s="267">
        <v>54</v>
      </c>
      <c r="BE605" s="268">
        <v>6329</v>
      </c>
      <c r="BF605" s="252">
        <v>54</v>
      </c>
      <c r="BG605" s="253">
        <v>251398</v>
      </c>
      <c r="BH605" s="267">
        <v>54</v>
      </c>
      <c r="BI605" s="268">
        <v>254814</v>
      </c>
      <c r="BJ605" s="252">
        <v>54</v>
      </c>
      <c r="BK605" s="253">
        <v>6554</v>
      </c>
      <c r="BL605" s="267">
        <v>54</v>
      </c>
      <c r="BM605" s="268">
        <v>7873</v>
      </c>
      <c r="BN605" s="252">
        <v>54</v>
      </c>
      <c r="BO605" s="253">
        <v>1445</v>
      </c>
      <c r="BP605" s="267">
        <v>54</v>
      </c>
      <c r="BQ605" s="268">
        <v>1445</v>
      </c>
      <c r="BR605" s="252">
        <v>54</v>
      </c>
      <c r="BS605" s="253">
        <v>8676</v>
      </c>
      <c r="BT605" s="267">
        <v>54</v>
      </c>
      <c r="BU605" s="268">
        <v>6029</v>
      </c>
      <c r="BV605" s="252">
        <v>2</v>
      </c>
      <c r="BW605" s="253">
        <v>416</v>
      </c>
      <c r="BX605" s="267">
        <v>5</v>
      </c>
      <c r="BY605" s="268">
        <v>1504</v>
      </c>
      <c r="BZ605" s="252"/>
      <c r="CA605" s="253"/>
      <c r="CB605" s="267"/>
      <c r="CC605" s="268"/>
      <c r="CD605" s="255">
        <f t="shared" si="100"/>
        <v>54</v>
      </c>
      <c r="CE605" s="256">
        <f t="shared" si="101"/>
        <v>844831</v>
      </c>
      <c r="CF605" s="257">
        <f t="shared" si="102"/>
        <v>54</v>
      </c>
      <c r="CG605" s="261">
        <f t="shared" si="103"/>
        <v>792221</v>
      </c>
    </row>
    <row r="606" spans="1:85" s="263" customFormat="1" ht="12.75" customHeight="1">
      <c r="A606" s="444" t="s">
        <v>346</v>
      </c>
      <c r="B606" s="411" t="s">
        <v>424</v>
      </c>
      <c r="C606" s="411"/>
      <c r="D606" s="412">
        <v>223922</v>
      </c>
      <c r="E606" s="290">
        <v>10</v>
      </c>
      <c r="F606" s="252">
        <v>27</v>
      </c>
      <c r="G606" s="253">
        <v>69835</v>
      </c>
      <c r="H606" s="267">
        <v>28</v>
      </c>
      <c r="I606" s="268">
        <v>73279</v>
      </c>
      <c r="J606" s="252">
        <v>26</v>
      </c>
      <c r="K606" s="253">
        <v>156328</v>
      </c>
      <c r="L606" s="267">
        <v>27</v>
      </c>
      <c r="M606" s="268">
        <v>172958</v>
      </c>
      <c r="N606" s="252"/>
      <c r="O606" s="253"/>
      <c r="P606" s="267"/>
      <c r="Q606" s="268"/>
      <c r="R606" s="252">
        <v>26</v>
      </c>
      <c r="S606" s="253">
        <v>14956</v>
      </c>
      <c r="T606" s="267">
        <v>28</v>
      </c>
      <c r="U606" s="268">
        <v>15888</v>
      </c>
      <c r="V606" s="252">
        <v>27</v>
      </c>
      <c r="W606" s="253">
        <v>860</v>
      </c>
      <c r="X606" s="267">
        <v>28</v>
      </c>
      <c r="Y606" s="268">
        <v>1035</v>
      </c>
      <c r="Z606" s="252">
        <v>26</v>
      </c>
      <c r="AA606" s="253">
        <v>693</v>
      </c>
      <c r="AB606" s="267">
        <v>27</v>
      </c>
      <c r="AC606" s="268">
        <v>719</v>
      </c>
      <c r="AD606" s="252">
        <v>27</v>
      </c>
      <c r="AE606" s="253">
        <v>3462</v>
      </c>
      <c r="AF606" s="267">
        <v>28</v>
      </c>
      <c r="AG606" s="268">
        <v>3506</v>
      </c>
      <c r="AH606" s="252">
        <v>0</v>
      </c>
      <c r="AI606" s="253">
        <v>0</v>
      </c>
      <c r="AJ606" s="267">
        <v>0</v>
      </c>
      <c r="AK606" s="268">
        <v>0</v>
      </c>
      <c r="AL606" s="252"/>
      <c r="AM606" s="253"/>
      <c r="AN606" s="267"/>
      <c r="AO606" s="268"/>
      <c r="AP606" s="255">
        <f t="shared" si="96"/>
        <v>27</v>
      </c>
      <c r="AQ606" s="256">
        <f t="shared" si="97"/>
        <v>246134</v>
      </c>
      <c r="AR606" s="257">
        <f t="shared" si="98"/>
        <v>28</v>
      </c>
      <c r="AS606" s="258">
        <f t="shared" si="99"/>
        <v>267385</v>
      </c>
      <c r="AT606" s="259">
        <v>6</v>
      </c>
      <c r="AU606" s="253">
        <v>20857</v>
      </c>
      <c r="AV606" s="267">
        <v>9</v>
      </c>
      <c r="AW606" s="268">
        <v>29994</v>
      </c>
      <c r="AX606" s="252">
        <v>5</v>
      </c>
      <c r="AY606" s="253">
        <v>27404</v>
      </c>
      <c r="AZ606" s="267">
        <v>5</v>
      </c>
      <c r="BA606" s="268">
        <v>36032</v>
      </c>
      <c r="BB606" s="252"/>
      <c r="BC606" s="253"/>
      <c r="BD606" s="267"/>
      <c r="BE606" s="268"/>
      <c r="BF606" s="252">
        <v>6</v>
      </c>
      <c r="BG606" s="253">
        <v>4597</v>
      </c>
      <c r="BH606" s="267">
        <v>9</v>
      </c>
      <c r="BI606" s="268">
        <v>6397</v>
      </c>
      <c r="BJ606" s="252">
        <v>6</v>
      </c>
      <c r="BK606" s="253">
        <v>252</v>
      </c>
      <c r="BL606" s="267">
        <v>9</v>
      </c>
      <c r="BM606" s="268">
        <v>417</v>
      </c>
      <c r="BN606" s="252">
        <v>5</v>
      </c>
      <c r="BO606" s="253">
        <v>133</v>
      </c>
      <c r="BP606" s="267">
        <v>5</v>
      </c>
      <c r="BQ606" s="268">
        <v>133</v>
      </c>
      <c r="BR606" s="252">
        <v>6</v>
      </c>
      <c r="BS606" s="253">
        <v>1014</v>
      </c>
      <c r="BT606" s="267">
        <v>9</v>
      </c>
      <c r="BU606" s="268">
        <v>1412</v>
      </c>
      <c r="BV606" s="252">
        <v>0</v>
      </c>
      <c r="BW606" s="253">
        <v>0</v>
      </c>
      <c r="BX606" s="267">
        <v>0</v>
      </c>
      <c r="BY606" s="268">
        <v>0</v>
      </c>
      <c r="BZ606" s="252"/>
      <c r="CA606" s="253"/>
      <c r="CB606" s="267"/>
      <c r="CC606" s="268"/>
      <c r="CD606" s="255">
        <f t="shared" si="100"/>
        <v>6</v>
      </c>
      <c r="CE606" s="256">
        <f t="shared" si="101"/>
        <v>54257</v>
      </c>
      <c r="CF606" s="257">
        <f t="shared" si="102"/>
        <v>9</v>
      </c>
      <c r="CG606" s="261">
        <f t="shared" si="103"/>
        <v>74385</v>
      </c>
    </row>
    <row r="607" spans="1:85" s="263" customFormat="1" ht="12.75" customHeight="1">
      <c r="A607" s="444" t="s">
        <v>346</v>
      </c>
      <c r="B607" s="411" t="s">
        <v>425</v>
      </c>
      <c r="C607" s="411"/>
      <c r="D607" s="412">
        <v>224891</v>
      </c>
      <c r="E607" s="290">
        <v>10</v>
      </c>
      <c r="F607" s="252">
        <v>23</v>
      </c>
      <c r="G607" s="253">
        <v>55783</v>
      </c>
      <c r="H607" s="267">
        <v>13</v>
      </c>
      <c r="I607" s="268">
        <v>27332</v>
      </c>
      <c r="J607" s="252">
        <v>23</v>
      </c>
      <c r="K607" s="253">
        <v>7126</v>
      </c>
      <c r="L607" s="267">
        <v>25</v>
      </c>
      <c r="M607" s="268">
        <v>8500</v>
      </c>
      <c r="N607" s="252">
        <v>19</v>
      </c>
      <c r="O607" s="253">
        <v>3296</v>
      </c>
      <c r="P607" s="267">
        <v>23</v>
      </c>
      <c r="Q607" s="268">
        <v>3710</v>
      </c>
      <c r="R607" s="252"/>
      <c r="S607" s="253"/>
      <c r="T607" s="267"/>
      <c r="U607" s="268"/>
      <c r="V607" s="252">
        <v>23</v>
      </c>
      <c r="W607" s="253">
        <v>3956</v>
      </c>
      <c r="X607" s="267">
        <v>24</v>
      </c>
      <c r="Y607" s="268">
        <v>4183</v>
      </c>
      <c r="Z607" s="252">
        <v>23</v>
      </c>
      <c r="AA607" s="253">
        <v>1806</v>
      </c>
      <c r="AB607" s="267">
        <v>25</v>
      </c>
      <c r="AC607" s="268">
        <v>2265</v>
      </c>
      <c r="AD607" s="252">
        <v>23</v>
      </c>
      <c r="AE607" s="253">
        <v>3726</v>
      </c>
      <c r="AF607" s="267">
        <v>25</v>
      </c>
      <c r="AG607" s="268">
        <v>4260</v>
      </c>
      <c r="AH607" s="252">
        <v>2</v>
      </c>
      <c r="AI607" s="253">
        <v>901</v>
      </c>
      <c r="AJ607" s="267">
        <v>1</v>
      </c>
      <c r="AK607" s="268">
        <v>216</v>
      </c>
      <c r="AL607" s="252"/>
      <c r="AM607" s="253"/>
      <c r="AN607" s="267"/>
      <c r="AO607" s="268"/>
      <c r="AP607" s="255">
        <f t="shared" si="96"/>
        <v>23</v>
      </c>
      <c r="AQ607" s="256">
        <f t="shared" si="97"/>
        <v>76594</v>
      </c>
      <c r="AR607" s="257">
        <f t="shared" si="98"/>
        <v>25</v>
      </c>
      <c r="AS607" s="258">
        <f t="shared" si="99"/>
        <v>50466</v>
      </c>
      <c r="AT607" s="259">
        <v>5</v>
      </c>
      <c r="AU607" s="253">
        <v>13694</v>
      </c>
      <c r="AV607" s="267">
        <v>3</v>
      </c>
      <c r="AW607" s="268">
        <v>6975</v>
      </c>
      <c r="AX607" s="252">
        <v>4</v>
      </c>
      <c r="AY607" s="253">
        <v>9728</v>
      </c>
      <c r="AZ607" s="267">
        <v>3</v>
      </c>
      <c r="BA607" s="268">
        <v>7324</v>
      </c>
      <c r="BB607" s="252">
        <v>3</v>
      </c>
      <c r="BC607" s="253">
        <v>826</v>
      </c>
      <c r="BD607" s="267">
        <v>5</v>
      </c>
      <c r="BE607" s="268">
        <v>1310</v>
      </c>
      <c r="BF607" s="252"/>
      <c r="BG607" s="253"/>
      <c r="BH607" s="267"/>
      <c r="BI607" s="268"/>
      <c r="BJ607" s="252">
        <v>5</v>
      </c>
      <c r="BK607" s="253">
        <v>860</v>
      </c>
      <c r="BL607" s="267">
        <v>6</v>
      </c>
      <c r="BM607" s="268">
        <v>1044</v>
      </c>
      <c r="BN607" s="252">
        <v>2</v>
      </c>
      <c r="BO607" s="253">
        <v>385</v>
      </c>
      <c r="BP607" s="267">
        <v>3</v>
      </c>
      <c r="BQ607" s="268">
        <v>518</v>
      </c>
      <c r="BR607" s="252">
        <v>5</v>
      </c>
      <c r="BS607" s="253">
        <v>810</v>
      </c>
      <c r="BT607" s="267">
        <v>6</v>
      </c>
      <c r="BU607" s="268">
        <v>1020</v>
      </c>
      <c r="BV607" s="252">
        <v>1</v>
      </c>
      <c r="BW607" s="253">
        <v>384</v>
      </c>
      <c r="BX607" s="267">
        <v>0</v>
      </c>
      <c r="BY607" s="268">
        <v>0</v>
      </c>
      <c r="BZ607" s="252"/>
      <c r="CA607" s="253"/>
      <c r="CB607" s="267"/>
      <c r="CC607" s="268"/>
      <c r="CD607" s="255">
        <f t="shared" si="100"/>
        <v>5</v>
      </c>
      <c r="CE607" s="256">
        <f t="shared" si="101"/>
        <v>26687</v>
      </c>
      <c r="CF607" s="257">
        <f t="shared" si="102"/>
        <v>6</v>
      </c>
      <c r="CG607" s="261">
        <f t="shared" si="103"/>
        <v>18191</v>
      </c>
    </row>
    <row r="608" spans="1:85" s="263" customFormat="1" ht="12.75" customHeight="1">
      <c r="A608" s="444" t="s">
        <v>346</v>
      </c>
      <c r="B608" s="411" t="s">
        <v>426</v>
      </c>
      <c r="C608" s="411"/>
      <c r="D608" s="412">
        <v>224961</v>
      </c>
      <c r="E608" s="290">
        <v>10</v>
      </c>
      <c r="F608" s="252">
        <v>43</v>
      </c>
      <c r="G608" s="253">
        <v>193155</v>
      </c>
      <c r="H608" s="267">
        <v>44</v>
      </c>
      <c r="I608" s="268">
        <v>199148</v>
      </c>
      <c r="J608" s="252">
        <v>39</v>
      </c>
      <c r="K608" s="253">
        <v>215346</v>
      </c>
      <c r="L608" s="267">
        <v>39</v>
      </c>
      <c r="M608" s="268">
        <v>233437</v>
      </c>
      <c r="N608" s="252">
        <v>39</v>
      </c>
      <c r="O608" s="253">
        <v>7920</v>
      </c>
      <c r="P608" s="267">
        <v>41</v>
      </c>
      <c r="Q608" s="268">
        <v>7405</v>
      </c>
      <c r="R608" s="252">
        <v>43</v>
      </c>
      <c r="S608" s="253">
        <v>168030</v>
      </c>
      <c r="T608" s="267">
        <v>44</v>
      </c>
      <c r="U608" s="268">
        <v>174621</v>
      </c>
      <c r="V608" s="252">
        <v>43</v>
      </c>
      <c r="W608" s="253">
        <v>16792</v>
      </c>
      <c r="X608" s="267">
        <v>44</v>
      </c>
      <c r="Y608" s="268">
        <v>17423</v>
      </c>
      <c r="Z608" s="252">
        <v>41</v>
      </c>
      <c r="AA608" s="253">
        <v>30540</v>
      </c>
      <c r="AB608" s="267">
        <v>42</v>
      </c>
      <c r="AC608" s="268">
        <v>30891</v>
      </c>
      <c r="AD608" s="252">
        <v>43</v>
      </c>
      <c r="AE608" s="253">
        <v>11681</v>
      </c>
      <c r="AF608" s="267">
        <v>44</v>
      </c>
      <c r="AG608" s="268">
        <v>12119</v>
      </c>
      <c r="AH608" s="252">
        <v>0</v>
      </c>
      <c r="AI608" s="253">
        <v>0</v>
      </c>
      <c r="AJ608" s="267">
        <v>0</v>
      </c>
      <c r="AK608" s="268">
        <v>0</v>
      </c>
      <c r="AL608" s="252"/>
      <c r="AM608" s="253"/>
      <c r="AN608" s="267"/>
      <c r="AO608" s="268"/>
      <c r="AP608" s="255">
        <f t="shared" si="96"/>
        <v>43</v>
      </c>
      <c r="AQ608" s="256">
        <f t="shared" si="97"/>
        <v>643464</v>
      </c>
      <c r="AR608" s="257">
        <f t="shared" si="98"/>
        <v>44</v>
      </c>
      <c r="AS608" s="258">
        <f t="shared" si="99"/>
        <v>675044</v>
      </c>
      <c r="AT608" s="259">
        <v>6</v>
      </c>
      <c r="AU608" s="253">
        <v>29485</v>
      </c>
      <c r="AV608" s="267">
        <v>9</v>
      </c>
      <c r="AW608" s="268">
        <v>44619</v>
      </c>
      <c r="AX608" s="252">
        <v>6</v>
      </c>
      <c r="AY608" s="253">
        <v>29824</v>
      </c>
      <c r="AZ608" s="267">
        <v>8</v>
      </c>
      <c r="BA608" s="268">
        <v>45002</v>
      </c>
      <c r="BB608" s="252">
        <v>5</v>
      </c>
      <c r="BC608" s="253">
        <v>816</v>
      </c>
      <c r="BD608" s="267">
        <v>8</v>
      </c>
      <c r="BE608" s="268">
        <v>1209</v>
      </c>
      <c r="BF608" s="252">
        <v>6</v>
      </c>
      <c r="BG608" s="253">
        <v>27514</v>
      </c>
      <c r="BH608" s="267">
        <v>9</v>
      </c>
      <c r="BI608" s="268">
        <v>41908</v>
      </c>
      <c r="BJ608" s="252">
        <v>6</v>
      </c>
      <c r="BK608" s="253">
        <v>2750</v>
      </c>
      <c r="BL608" s="267">
        <v>9</v>
      </c>
      <c r="BM608" s="268">
        <v>4181</v>
      </c>
      <c r="BN608" s="252">
        <v>5</v>
      </c>
      <c r="BO608" s="253">
        <v>1164</v>
      </c>
      <c r="BP608" s="267">
        <v>8</v>
      </c>
      <c r="BQ608" s="268">
        <v>3344</v>
      </c>
      <c r="BR608" s="252">
        <v>6</v>
      </c>
      <c r="BS608" s="253">
        <v>1913</v>
      </c>
      <c r="BT608" s="267">
        <v>9</v>
      </c>
      <c r="BU608" s="268">
        <v>2909</v>
      </c>
      <c r="BV608" s="252">
        <v>0</v>
      </c>
      <c r="BW608" s="253">
        <v>0</v>
      </c>
      <c r="BX608" s="267">
        <v>0</v>
      </c>
      <c r="BY608" s="268">
        <v>0</v>
      </c>
      <c r="BZ608" s="252"/>
      <c r="CA608" s="253"/>
      <c r="CB608" s="267"/>
      <c r="CC608" s="268"/>
      <c r="CD608" s="255">
        <f t="shared" si="100"/>
        <v>6</v>
      </c>
      <c r="CE608" s="256">
        <f t="shared" si="101"/>
        <v>93466</v>
      </c>
      <c r="CF608" s="257">
        <f t="shared" si="102"/>
        <v>9</v>
      </c>
      <c r="CG608" s="261">
        <f t="shared" si="103"/>
        <v>143172</v>
      </c>
    </row>
    <row r="609" spans="1:85" s="263" customFormat="1" ht="12.75" customHeight="1">
      <c r="A609" s="447" t="s">
        <v>346</v>
      </c>
      <c r="B609" s="450" t="s">
        <v>427</v>
      </c>
      <c r="C609" s="450"/>
      <c r="D609" s="448">
        <v>226107</v>
      </c>
      <c r="E609" s="449">
        <v>10</v>
      </c>
      <c r="F609" s="252">
        <v>40</v>
      </c>
      <c r="G609" s="253">
        <v>149124</v>
      </c>
      <c r="H609" s="267">
        <v>42</v>
      </c>
      <c r="I609" s="268">
        <v>161449</v>
      </c>
      <c r="J609" s="252">
        <v>40</v>
      </c>
      <c r="K609" s="253">
        <v>212665</v>
      </c>
      <c r="L609" s="267">
        <v>39</v>
      </c>
      <c r="M609" s="268">
        <v>215523</v>
      </c>
      <c r="N609" s="252"/>
      <c r="O609" s="253"/>
      <c r="P609" s="267"/>
      <c r="Q609" s="268"/>
      <c r="R609" s="252">
        <v>41</v>
      </c>
      <c r="S609" s="253">
        <v>132586</v>
      </c>
      <c r="T609" s="267">
        <v>43</v>
      </c>
      <c r="U609" s="268">
        <v>174452</v>
      </c>
      <c r="V609" s="252"/>
      <c r="W609" s="253"/>
      <c r="X609" s="267"/>
      <c r="Y609" s="268"/>
      <c r="Z609" s="252">
        <v>40</v>
      </c>
      <c r="AA609" s="253">
        <v>1070</v>
      </c>
      <c r="AB609" s="267">
        <v>39</v>
      </c>
      <c r="AC609" s="268">
        <v>1039</v>
      </c>
      <c r="AD609" s="252"/>
      <c r="AE609" s="253"/>
      <c r="AF609" s="267"/>
      <c r="AG609" s="268"/>
      <c r="AH609" s="252">
        <v>0</v>
      </c>
      <c r="AI609" s="253">
        <v>0</v>
      </c>
      <c r="AJ609" s="267">
        <v>0</v>
      </c>
      <c r="AK609" s="268">
        <v>0</v>
      </c>
      <c r="AL609" s="252"/>
      <c r="AM609" s="253"/>
      <c r="AN609" s="267"/>
      <c r="AO609" s="268"/>
      <c r="AP609" s="255">
        <f t="shared" si="96"/>
        <v>41</v>
      </c>
      <c r="AQ609" s="256">
        <f t="shared" si="97"/>
        <v>495445</v>
      </c>
      <c r="AR609" s="257">
        <f t="shared" si="98"/>
        <v>43</v>
      </c>
      <c r="AS609" s="258">
        <f t="shared" si="99"/>
        <v>552463</v>
      </c>
      <c r="AT609" s="259">
        <v>7</v>
      </c>
      <c r="AU609" s="253">
        <v>22509</v>
      </c>
      <c r="AV609" s="267">
        <v>8</v>
      </c>
      <c r="AW609" s="268">
        <v>29954</v>
      </c>
      <c r="AX609" s="252">
        <v>7</v>
      </c>
      <c r="AY609" s="253">
        <v>41426</v>
      </c>
      <c r="AZ609" s="267">
        <v>7</v>
      </c>
      <c r="BA609" s="268">
        <v>44452</v>
      </c>
      <c r="BB609" s="252"/>
      <c r="BC609" s="253"/>
      <c r="BD609" s="267"/>
      <c r="BE609" s="268"/>
      <c r="BF609" s="252">
        <v>7</v>
      </c>
      <c r="BG609" s="253">
        <v>41426</v>
      </c>
      <c r="BH609" s="267">
        <v>8</v>
      </c>
      <c r="BI609" s="268">
        <v>32075</v>
      </c>
      <c r="BJ609" s="252"/>
      <c r="BK609" s="253"/>
      <c r="BL609" s="267"/>
      <c r="BM609" s="268"/>
      <c r="BN609" s="252">
        <v>7</v>
      </c>
      <c r="BO609" s="253">
        <v>188</v>
      </c>
      <c r="BP609" s="267">
        <v>7</v>
      </c>
      <c r="BQ609" s="268">
        <v>186</v>
      </c>
      <c r="BR609" s="252"/>
      <c r="BS609" s="253"/>
      <c r="BT609" s="267"/>
      <c r="BU609" s="268"/>
      <c r="BV609" s="252">
        <v>0</v>
      </c>
      <c r="BW609" s="253">
        <v>0</v>
      </c>
      <c r="BX609" s="267">
        <v>0</v>
      </c>
      <c r="BY609" s="268">
        <v>0</v>
      </c>
      <c r="BZ609" s="252"/>
      <c r="CA609" s="253"/>
      <c r="CB609" s="267"/>
      <c r="CC609" s="268"/>
      <c r="CD609" s="255">
        <f t="shared" si="100"/>
        <v>7</v>
      </c>
      <c r="CE609" s="256">
        <f t="shared" si="101"/>
        <v>105549</v>
      </c>
      <c r="CF609" s="257">
        <f t="shared" si="102"/>
        <v>8</v>
      </c>
      <c r="CG609" s="261">
        <f t="shared" si="103"/>
        <v>106667</v>
      </c>
    </row>
    <row r="610" spans="1:85" s="263" customFormat="1" ht="12.75" customHeight="1">
      <c r="A610" s="447" t="s">
        <v>346</v>
      </c>
      <c r="B610" s="450" t="s">
        <v>406</v>
      </c>
      <c r="C610" s="538" t="s">
        <v>1190</v>
      </c>
      <c r="D610" s="448">
        <v>226116</v>
      </c>
      <c r="E610" s="449">
        <v>10</v>
      </c>
      <c r="F610" s="252">
        <v>42</v>
      </c>
      <c r="G610" s="253">
        <v>155753</v>
      </c>
      <c r="H610" s="267">
        <v>40</v>
      </c>
      <c r="I610" s="268">
        <v>142010</v>
      </c>
      <c r="J610" s="252">
        <v>36</v>
      </c>
      <c r="K610" s="253">
        <v>193513</v>
      </c>
      <c r="L610" s="267">
        <v>36</v>
      </c>
      <c r="M610" s="268">
        <v>186012</v>
      </c>
      <c r="N610" s="252"/>
      <c r="O610" s="253"/>
      <c r="P610" s="267"/>
      <c r="Q610" s="268"/>
      <c r="R610" s="252">
        <v>43</v>
      </c>
      <c r="S610" s="253">
        <v>167097</v>
      </c>
      <c r="T610" s="267">
        <v>40</v>
      </c>
      <c r="U610" s="268">
        <v>151566</v>
      </c>
      <c r="V610" s="252"/>
      <c r="W610" s="253"/>
      <c r="X610" s="267"/>
      <c r="Y610" s="268"/>
      <c r="Z610" s="252">
        <v>0</v>
      </c>
      <c r="AA610" s="253">
        <v>0</v>
      </c>
      <c r="AB610" s="267">
        <v>0</v>
      </c>
      <c r="AC610" s="268">
        <v>0</v>
      </c>
      <c r="AD610" s="252"/>
      <c r="AE610" s="253"/>
      <c r="AF610" s="267"/>
      <c r="AG610" s="268"/>
      <c r="AH610" s="252">
        <v>0</v>
      </c>
      <c r="AI610" s="253">
        <v>0</v>
      </c>
      <c r="AJ610" s="267">
        <v>0</v>
      </c>
      <c r="AK610" s="268">
        <v>0</v>
      </c>
      <c r="AL610" s="252"/>
      <c r="AM610" s="253"/>
      <c r="AN610" s="267"/>
      <c r="AO610" s="268"/>
      <c r="AP610" s="255">
        <f t="shared" si="96"/>
        <v>43</v>
      </c>
      <c r="AQ610" s="256">
        <f t="shared" si="97"/>
        <v>516363</v>
      </c>
      <c r="AR610" s="257">
        <f t="shared" si="98"/>
        <v>40</v>
      </c>
      <c r="AS610" s="258">
        <f t="shared" si="99"/>
        <v>479588</v>
      </c>
      <c r="AT610" s="259">
        <v>18</v>
      </c>
      <c r="AU610" s="253">
        <v>43097</v>
      </c>
      <c r="AV610" s="267">
        <v>34</v>
      </c>
      <c r="AW610" s="268">
        <v>97649</v>
      </c>
      <c r="AX610" s="252">
        <v>25</v>
      </c>
      <c r="AY610" s="253">
        <v>127866</v>
      </c>
      <c r="AZ610" s="267">
        <v>30</v>
      </c>
      <c r="BA610" s="268">
        <v>124734</v>
      </c>
      <c r="BB610" s="252"/>
      <c r="BC610" s="253"/>
      <c r="BD610" s="267"/>
      <c r="BE610" s="268"/>
      <c r="BF610" s="252">
        <v>29</v>
      </c>
      <c r="BG610" s="253">
        <v>98609</v>
      </c>
      <c r="BH610" s="267">
        <v>34</v>
      </c>
      <c r="BI610" s="268">
        <v>100647</v>
      </c>
      <c r="BJ610" s="252"/>
      <c r="BK610" s="253"/>
      <c r="BL610" s="267"/>
      <c r="BM610" s="268"/>
      <c r="BN610" s="252">
        <v>0</v>
      </c>
      <c r="BO610" s="253">
        <v>0</v>
      </c>
      <c r="BP610" s="267">
        <v>0</v>
      </c>
      <c r="BQ610" s="268">
        <v>0</v>
      </c>
      <c r="BR610" s="252"/>
      <c r="BS610" s="253"/>
      <c r="BT610" s="267"/>
      <c r="BU610" s="268"/>
      <c r="BV610" s="252">
        <v>0</v>
      </c>
      <c r="BW610" s="253">
        <v>0</v>
      </c>
      <c r="BX610" s="267">
        <v>0</v>
      </c>
      <c r="BY610" s="268">
        <v>0</v>
      </c>
      <c r="BZ610" s="252"/>
      <c r="CA610" s="253"/>
      <c r="CB610" s="267"/>
      <c r="CC610" s="268"/>
      <c r="CD610" s="255">
        <f t="shared" si="100"/>
        <v>29</v>
      </c>
      <c r="CE610" s="256">
        <f t="shared" si="101"/>
        <v>269572</v>
      </c>
      <c r="CF610" s="257">
        <f t="shared" si="102"/>
        <v>34</v>
      </c>
      <c r="CG610" s="261">
        <f t="shared" si="103"/>
        <v>323030</v>
      </c>
    </row>
    <row r="611" spans="1:85" s="263" customFormat="1" ht="12.75" customHeight="1">
      <c r="A611" s="447" t="s">
        <v>346</v>
      </c>
      <c r="B611" s="450" t="s">
        <v>209</v>
      </c>
      <c r="C611" s="450"/>
      <c r="D611" s="539">
        <v>222992</v>
      </c>
      <c r="E611" s="449">
        <v>10</v>
      </c>
      <c r="F611" s="252"/>
      <c r="G611" s="253"/>
      <c r="H611" s="267">
        <v>0</v>
      </c>
      <c r="I611" s="268">
        <v>0</v>
      </c>
      <c r="J611" s="252"/>
      <c r="K611" s="253"/>
      <c r="L611" s="267"/>
      <c r="M611" s="268"/>
      <c r="N611" s="252"/>
      <c r="O611" s="253"/>
      <c r="P611" s="267"/>
      <c r="Q611" s="268"/>
      <c r="R611" s="252"/>
      <c r="S611" s="253"/>
      <c r="T611" s="267"/>
      <c r="U611" s="268"/>
      <c r="V611" s="252"/>
      <c r="W611" s="253"/>
      <c r="X611" s="267"/>
      <c r="Y611" s="268"/>
      <c r="Z611" s="252"/>
      <c r="AA611" s="253"/>
      <c r="AB611" s="267">
        <v>0</v>
      </c>
      <c r="AC611" s="268">
        <v>0</v>
      </c>
      <c r="AD611" s="252"/>
      <c r="AE611" s="253"/>
      <c r="AF611" s="267"/>
      <c r="AG611" s="268"/>
      <c r="AH611" s="252"/>
      <c r="AI611" s="253"/>
      <c r="AJ611" s="267">
        <v>0</v>
      </c>
      <c r="AK611" s="268">
        <v>0</v>
      </c>
      <c r="AL611" s="252"/>
      <c r="AM611" s="253"/>
      <c r="AN611" s="267"/>
      <c r="AO611" s="268"/>
      <c r="AP611" s="255">
        <f t="shared" si="96"/>
        <v>0</v>
      </c>
      <c r="AQ611" s="256">
        <f t="shared" si="97"/>
        <v>0</v>
      </c>
      <c r="AR611" s="257">
        <f t="shared" si="98"/>
        <v>0</v>
      </c>
      <c r="AS611" s="258">
        <f t="shared" si="99"/>
        <v>0</v>
      </c>
      <c r="AT611" s="259"/>
      <c r="AU611" s="253"/>
      <c r="AV611" s="267">
        <v>0</v>
      </c>
      <c r="AW611" s="268">
        <v>0</v>
      </c>
      <c r="AX611" s="252"/>
      <c r="AY611" s="253"/>
      <c r="AZ611" s="267"/>
      <c r="BA611" s="268"/>
      <c r="BB611" s="252"/>
      <c r="BC611" s="253"/>
      <c r="BD611" s="267"/>
      <c r="BE611" s="268"/>
      <c r="BF611" s="252"/>
      <c r="BG611" s="253"/>
      <c r="BH611" s="267"/>
      <c r="BI611" s="268"/>
      <c r="BJ611" s="252"/>
      <c r="BK611" s="253"/>
      <c r="BL611" s="267"/>
      <c r="BM611" s="268"/>
      <c r="BN611" s="252"/>
      <c r="BO611" s="253"/>
      <c r="BP611" s="267">
        <v>0</v>
      </c>
      <c r="BQ611" s="268">
        <v>0</v>
      </c>
      <c r="BR611" s="252"/>
      <c r="BS611" s="253"/>
      <c r="BT611" s="267"/>
      <c r="BU611" s="268"/>
      <c r="BV611" s="252"/>
      <c r="BW611" s="253"/>
      <c r="BX611" s="267">
        <v>0</v>
      </c>
      <c r="BY611" s="268">
        <v>0</v>
      </c>
      <c r="BZ611" s="252"/>
      <c r="CA611" s="253"/>
      <c r="CB611" s="267"/>
      <c r="CC611" s="268"/>
      <c r="CD611" s="255">
        <f t="shared" si="100"/>
        <v>0</v>
      </c>
      <c r="CE611" s="256">
        <f t="shared" si="101"/>
        <v>0</v>
      </c>
      <c r="CF611" s="257">
        <f t="shared" si="102"/>
        <v>0</v>
      </c>
      <c r="CG611" s="261">
        <f t="shared" si="103"/>
        <v>0</v>
      </c>
    </row>
    <row r="612" spans="1:85" s="263" customFormat="1" ht="12.75" customHeight="1">
      <c r="A612" s="444" t="s">
        <v>346</v>
      </c>
      <c r="B612" s="411" t="s">
        <v>428</v>
      </c>
      <c r="C612" s="536" t="s">
        <v>1189</v>
      </c>
      <c r="D612" s="412">
        <v>227225</v>
      </c>
      <c r="E612" s="290">
        <v>10</v>
      </c>
      <c r="F612" s="252">
        <v>59</v>
      </c>
      <c r="G612" s="253">
        <v>348263</v>
      </c>
      <c r="H612" s="267">
        <v>50</v>
      </c>
      <c r="I612" s="268">
        <v>231238</v>
      </c>
      <c r="J612" s="252">
        <v>46</v>
      </c>
      <c r="K612" s="253">
        <v>280839</v>
      </c>
      <c r="L612" s="267">
        <v>50</v>
      </c>
      <c r="M612" s="268">
        <v>320364</v>
      </c>
      <c r="N612" s="252">
        <v>46</v>
      </c>
      <c r="O612" s="253">
        <v>16455</v>
      </c>
      <c r="P612" s="267">
        <v>50</v>
      </c>
      <c r="Q612" s="268">
        <v>16785</v>
      </c>
      <c r="R612" s="252">
        <v>46</v>
      </c>
      <c r="S612" s="253">
        <v>47197</v>
      </c>
      <c r="T612" s="267"/>
      <c r="U612" s="268"/>
      <c r="V612" s="252">
        <v>46</v>
      </c>
      <c r="W612" s="253">
        <v>44250</v>
      </c>
      <c r="X612" s="267">
        <v>50</v>
      </c>
      <c r="Y612" s="268">
        <v>18522</v>
      </c>
      <c r="Z612" s="252">
        <v>0</v>
      </c>
      <c r="AA612" s="253">
        <v>0</v>
      </c>
      <c r="AB612" s="267">
        <v>0</v>
      </c>
      <c r="AC612" s="268">
        <v>0</v>
      </c>
      <c r="AD612" s="252">
        <v>46</v>
      </c>
      <c r="AE612" s="253">
        <v>15635</v>
      </c>
      <c r="AF612" s="267">
        <v>50</v>
      </c>
      <c r="AG612" s="268">
        <v>11844</v>
      </c>
      <c r="AH612" s="252">
        <v>3</v>
      </c>
      <c r="AI612" s="253">
        <v>2200</v>
      </c>
      <c r="AJ612" s="267">
        <v>4</v>
      </c>
      <c r="AK612" s="268">
        <v>1799</v>
      </c>
      <c r="AL612" s="252"/>
      <c r="AM612" s="253"/>
      <c r="AN612" s="267"/>
      <c r="AO612" s="268"/>
      <c r="AP612" s="255">
        <f t="shared" si="96"/>
        <v>59</v>
      </c>
      <c r="AQ612" s="256">
        <f t="shared" si="97"/>
        <v>754839</v>
      </c>
      <c r="AR612" s="257">
        <f t="shared" si="98"/>
        <v>50</v>
      </c>
      <c r="AS612" s="258">
        <f t="shared" si="99"/>
        <v>600552</v>
      </c>
      <c r="AT612" s="259">
        <v>19</v>
      </c>
      <c r="AU612" s="253">
        <v>103650</v>
      </c>
      <c r="AV612" s="267">
        <v>21</v>
      </c>
      <c r="AW612" s="268">
        <v>86382</v>
      </c>
      <c r="AX612" s="252">
        <v>19</v>
      </c>
      <c r="AY612" s="253">
        <v>170932</v>
      </c>
      <c r="AZ612" s="267">
        <v>18</v>
      </c>
      <c r="BA612" s="268">
        <v>140928</v>
      </c>
      <c r="BB612" s="252">
        <v>19</v>
      </c>
      <c r="BC612" s="253">
        <v>8686</v>
      </c>
      <c r="BD612" s="267">
        <v>20</v>
      </c>
      <c r="BE612" s="268">
        <v>7577</v>
      </c>
      <c r="BF612" s="252">
        <v>19</v>
      </c>
      <c r="BG612" s="253">
        <v>20122</v>
      </c>
      <c r="BH612" s="267">
        <v>1</v>
      </c>
      <c r="BI612" s="268">
        <v>4056</v>
      </c>
      <c r="BJ612" s="252">
        <v>19</v>
      </c>
      <c r="BK612" s="253">
        <v>6224</v>
      </c>
      <c r="BL612" s="267">
        <v>21</v>
      </c>
      <c r="BM612" s="268">
        <v>3687</v>
      </c>
      <c r="BN612" s="252">
        <v>0</v>
      </c>
      <c r="BO612" s="253">
        <v>0</v>
      </c>
      <c r="BP612" s="267">
        <v>0</v>
      </c>
      <c r="BQ612" s="268">
        <v>0</v>
      </c>
      <c r="BR612" s="252">
        <v>19</v>
      </c>
      <c r="BS612" s="253">
        <v>4112</v>
      </c>
      <c r="BT612" s="267">
        <v>21</v>
      </c>
      <c r="BU612" s="268">
        <v>5616</v>
      </c>
      <c r="BV612" s="252">
        <v>1</v>
      </c>
      <c r="BW612" s="253">
        <v>1012</v>
      </c>
      <c r="BX612" s="267">
        <v>3</v>
      </c>
      <c r="BY612" s="268">
        <v>1719</v>
      </c>
      <c r="BZ612" s="252"/>
      <c r="CA612" s="253"/>
      <c r="CB612" s="267"/>
      <c r="CC612" s="268"/>
      <c r="CD612" s="255">
        <f t="shared" si="100"/>
        <v>19</v>
      </c>
      <c r="CE612" s="256">
        <f t="shared" si="101"/>
        <v>314738</v>
      </c>
      <c r="CF612" s="257">
        <f t="shared" si="102"/>
        <v>21</v>
      </c>
      <c r="CG612" s="261">
        <f t="shared" si="103"/>
        <v>249965</v>
      </c>
    </row>
    <row r="613" spans="1:85" s="263" customFormat="1" ht="12.75" customHeight="1">
      <c r="A613" s="444" t="s">
        <v>346</v>
      </c>
      <c r="B613" s="411" t="s">
        <v>429</v>
      </c>
      <c r="C613" s="411"/>
      <c r="D613" s="412">
        <v>227386</v>
      </c>
      <c r="E613" s="290">
        <v>10</v>
      </c>
      <c r="F613" s="252">
        <v>52</v>
      </c>
      <c r="G613" s="253">
        <v>151631</v>
      </c>
      <c r="H613" s="267">
        <v>49</v>
      </c>
      <c r="I613" s="268">
        <v>146000</v>
      </c>
      <c r="J613" s="252">
        <v>52</v>
      </c>
      <c r="K613" s="253">
        <v>328693</v>
      </c>
      <c r="L613" s="267">
        <v>49</v>
      </c>
      <c r="M613" s="268">
        <v>325348</v>
      </c>
      <c r="N613" s="252"/>
      <c r="O613" s="253"/>
      <c r="P613" s="267"/>
      <c r="Q613" s="268"/>
      <c r="R613" s="252">
        <v>52</v>
      </c>
      <c r="S613" s="253">
        <v>193330</v>
      </c>
      <c r="T613" s="267">
        <v>49</v>
      </c>
      <c r="U613" s="268">
        <v>186149</v>
      </c>
      <c r="V613" s="252">
        <v>52</v>
      </c>
      <c r="W613" s="253">
        <v>9934</v>
      </c>
      <c r="X613" s="267">
        <v>49</v>
      </c>
      <c r="Y613" s="268">
        <v>10123</v>
      </c>
      <c r="Z613" s="252">
        <v>0</v>
      </c>
      <c r="AA613" s="253">
        <v>0</v>
      </c>
      <c r="AB613" s="267">
        <v>0</v>
      </c>
      <c r="AC613" s="268">
        <v>0</v>
      </c>
      <c r="AD613" s="252">
        <v>52</v>
      </c>
      <c r="AE613" s="253">
        <v>6267</v>
      </c>
      <c r="AF613" s="267">
        <v>49</v>
      </c>
      <c r="AG613" s="268">
        <v>6684</v>
      </c>
      <c r="AH613" s="252">
        <v>2</v>
      </c>
      <c r="AI613" s="253">
        <v>712</v>
      </c>
      <c r="AJ613" s="267">
        <v>1</v>
      </c>
      <c r="AK613" s="268">
        <v>412</v>
      </c>
      <c r="AL613" s="252"/>
      <c r="AM613" s="253"/>
      <c r="AN613" s="267"/>
      <c r="AO613" s="268"/>
      <c r="AP613" s="255">
        <f t="shared" si="96"/>
        <v>52</v>
      </c>
      <c r="AQ613" s="256">
        <f t="shared" si="97"/>
        <v>690567</v>
      </c>
      <c r="AR613" s="257">
        <f t="shared" si="98"/>
        <v>49</v>
      </c>
      <c r="AS613" s="258">
        <f t="shared" si="99"/>
        <v>674716</v>
      </c>
      <c r="AT613" s="259">
        <v>13</v>
      </c>
      <c r="AU613" s="253">
        <v>44542</v>
      </c>
      <c r="AV613" s="267">
        <v>13</v>
      </c>
      <c r="AW613" s="268">
        <v>45402</v>
      </c>
      <c r="AX613" s="252">
        <v>13</v>
      </c>
      <c r="AY613" s="253">
        <v>93540</v>
      </c>
      <c r="AZ613" s="267">
        <v>13</v>
      </c>
      <c r="BA613" s="268">
        <v>84788</v>
      </c>
      <c r="BB613" s="252"/>
      <c r="BC613" s="253"/>
      <c r="BD613" s="267"/>
      <c r="BE613" s="268"/>
      <c r="BF613" s="252">
        <v>13</v>
      </c>
      <c r="BG613" s="253">
        <v>56791</v>
      </c>
      <c r="BH613" s="267">
        <v>13</v>
      </c>
      <c r="BI613" s="268">
        <v>56614</v>
      </c>
      <c r="BJ613" s="252">
        <v>13</v>
      </c>
      <c r="BK613" s="253">
        <v>2918</v>
      </c>
      <c r="BL613" s="267">
        <v>13</v>
      </c>
      <c r="BM613" s="268">
        <v>3079</v>
      </c>
      <c r="BN613" s="252">
        <v>0</v>
      </c>
      <c r="BO613" s="253">
        <v>0</v>
      </c>
      <c r="BP613" s="267">
        <v>0</v>
      </c>
      <c r="BQ613" s="268">
        <v>0</v>
      </c>
      <c r="BR613" s="252">
        <v>13</v>
      </c>
      <c r="BS613" s="253">
        <v>1841</v>
      </c>
      <c r="BT613" s="267">
        <v>13</v>
      </c>
      <c r="BU613" s="268">
        <v>2033</v>
      </c>
      <c r="BV613" s="252">
        <v>1</v>
      </c>
      <c r="BW613" s="253">
        <v>328</v>
      </c>
      <c r="BX613" s="267">
        <v>1</v>
      </c>
      <c r="BY613" s="268">
        <v>428</v>
      </c>
      <c r="BZ613" s="252"/>
      <c r="CA613" s="253"/>
      <c r="CB613" s="267"/>
      <c r="CC613" s="268"/>
      <c r="CD613" s="255">
        <f t="shared" si="100"/>
        <v>13</v>
      </c>
      <c r="CE613" s="256">
        <f t="shared" si="101"/>
        <v>199960</v>
      </c>
      <c r="CF613" s="257">
        <f t="shared" si="102"/>
        <v>13</v>
      </c>
      <c r="CG613" s="261">
        <f t="shared" si="103"/>
        <v>192344</v>
      </c>
    </row>
    <row r="614" spans="1:85" s="263" customFormat="1" ht="12.75" customHeight="1">
      <c r="A614" s="444" t="s">
        <v>346</v>
      </c>
      <c r="B614" s="411" t="s">
        <v>430</v>
      </c>
      <c r="C614" s="411"/>
      <c r="D614" s="412">
        <v>227687</v>
      </c>
      <c r="E614" s="290">
        <v>10</v>
      </c>
      <c r="F614" s="252">
        <v>19</v>
      </c>
      <c r="G614" s="253">
        <v>46445</v>
      </c>
      <c r="H614" s="267">
        <v>15</v>
      </c>
      <c r="I614" s="268">
        <v>28875</v>
      </c>
      <c r="J614" s="252">
        <v>19</v>
      </c>
      <c r="K614" s="253">
        <v>138700</v>
      </c>
      <c r="L614" s="267">
        <v>15</v>
      </c>
      <c r="M614" s="268">
        <v>129830</v>
      </c>
      <c r="N614" s="252"/>
      <c r="O614" s="253"/>
      <c r="P614" s="267"/>
      <c r="Q614" s="268"/>
      <c r="R614" s="252"/>
      <c r="S614" s="253"/>
      <c r="T614" s="267"/>
      <c r="U614" s="268"/>
      <c r="V614" s="252">
        <v>19</v>
      </c>
      <c r="W614" s="253">
        <v>2717</v>
      </c>
      <c r="X614" s="267">
        <v>15</v>
      </c>
      <c r="Y614" s="268">
        <v>2835</v>
      </c>
      <c r="Z614" s="252">
        <v>0</v>
      </c>
      <c r="AA614" s="253">
        <v>0</v>
      </c>
      <c r="AB614" s="267">
        <v>0</v>
      </c>
      <c r="AC614" s="268">
        <v>0</v>
      </c>
      <c r="AD614" s="252">
        <v>19</v>
      </c>
      <c r="AE614" s="253">
        <v>4218</v>
      </c>
      <c r="AF614" s="267">
        <v>15</v>
      </c>
      <c r="AG614" s="268">
        <v>4417</v>
      </c>
      <c r="AH614" s="252">
        <v>0</v>
      </c>
      <c r="AI614" s="253">
        <v>0</v>
      </c>
      <c r="AJ614" s="267">
        <v>0</v>
      </c>
      <c r="AK614" s="268">
        <v>0</v>
      </c>
      <c r="AL614" s="252"/>
      <c r="AM614" s="253"/>
      <c r="AN614" s="267"/>
      <c r="AO614" s="268"/>
      <c r="AP614" s="255">
        <f t="shared" si="96"/>
        <v>19</v>
      </c>
      <c r="AQ614" s="256">
        <f t="shared" si="97"/>
        <v>192080</v>
      </c>
      <c r="AR614" s="257">
        <f t="shared" si="98"/>
        <v>15</v>
      </c>
      <c r="AS614" s="258">
        <f t="shared" si="99"/>
        <v>165957</v>
      </c>
      <c r="AT614" s="259">
        <v>13</v>
      </c>
      <c r="AU614" s="253">
        <v>31772</v>
      </c>
      <c r="AV614" s="267">
        <v>20</v>
      </c>
      <c r="AW614" s="268">
        <v>48003</v>
      </c>
      <c r="AX614" s="252">
        <v>13</v>
      </c>
      <c r="AY614" s="253">
        <v>98800</v>
      </c>
      <c r="AZ614" s="267">
        <v>20</v>
      </c>
      <c r="BA614" s="268">
        <v>211880</v>
      </c>
      <c r="BB614" s="252"/>
      <c r="BC614" s="253"/>
      <c r="BD614" s="267"/>
      <c r="BE614" s="268"/>
      <c r="BF614" s="252"/>
      <c r="BG614" s="253"/>
      <c r="BH614" s="267"/>
      <c r="BI614" s="268"/>
      <c r="BJ614" s="252">
        <v>13</v>
      </c>
      <c r="BK614" s="253">
        <v>1547</v>
      </c>
      <c r="BL614" s="267">
        <v>20</v>
      </c>
      <c r="BM614" s="268">
        <v>3780</v>
      </c>
      <c r="BN614" s="252">
        <v>0</v>
      </c>
      <c r="BO614" s="253">
        <v>0</v>
      </c>
      <c r="BP614" s="267">
        <v>0</v>
      </c>
      <c r="BQ614" s="268">
        <v>0</v>
      </c>
      <c r="BR614" s="252">
        <v>13</v>
      </c>
      <c r="BS614" s="253">
        <v>2509</v>
      </c>
      <c r="BT614" s="267">
        <v>20</v>
      </c>
      <c r="BU614" s="268">
        <v>7309</v>
      </c>
      <c r="BV614" s="252">
        <v>0</v>
      </c>
      <c r="BW614" s="253">
        <v>0</v>
      </c>
      <c r="BX614" s="267">
        <v>0</v>
      </c>
      <c r="BY614" s="268">
        <v>0</v>
      </c>
      <c r="BZ614" s="252"/>
      <c r="CA614" s="253"/>
      <c r="CB614" s="267"/>
      <c r="CC614" s="268"/>
      <c r="CD614" s="255">
        <f t="shared" si="100"/>
        <v>13</v>
      </c>
      <c r="CE614" s="256">
        <f t="shared" si="101"/>
        <v>134628</v>
      </c>
      <c r="CF614" s="257">
        <f t="shared" si="102"/>
        <v>20</v>
      </c>
      <c r="CG614" s="261">
        <f t="shared" si="103"/>
        <v>270972</v>
      </c>
    </row>
    <row r="615" spans="1:85" s="263" customFormat="1" ht="12.75" customHeight="1">
      <c r="A615" s="444" t="s">
        <v>346</v>
      </c>
      <c r="B615" s="411" t="s">
        <v>1059</v>
      </c>
      <c r="C615" s="411"/>
      <c r="D615" s="412">
        <v>382911</v>
      </c>
      <c r="E615" s="290">
        <v>10</v>
      </c>
      <c r="F615" s="252"/>
      <c r="G615" s="253"/>
      <c r="H615" s="267">
        <v>0</v>
      </c>
      <c r="I615" s="268">
        <v>0</v>
      </c>
      <c r="J615" s="252"/>
      <c r="K615" s="253"/>
      <c r="L615" s="267"/>
      <c r="M615" s="268"/>
      <c r="N615" s="252"/>
      <c r="O615" s="253"/>
      <c r="P615" s="267"/>
      <c r="Q615" s="268"/>
      <c r="R615" s="252"/>
      <c r="S615" s="253"/>
      <c r="T615" s="267"/>
      <c r="U615" s="268"/>
      <c r="V615" s="252"/>
      <c r="W615" s="253"/>
      <c r="X615" s="267"/>
      <c r="Y615" s="268"/>
      <c r="Z615" s="252"/>
      <c r="AA615" s="253"/>
      <c r="AB615" s="267">
        <v>0</v>
      </c>
      <c r="AC615" s="268">
        <v>0</v>
      </c>
      <c r="AD615" s="252"/>
      <c r="AE615" s="253"/>
      <c r="AF615" s="267"/>
      <c r="AG615" s="268"/>
      <c r="AH615" s="252"/>
      <c r="AI615" s="253"/>
      <c r="AJ615" s="267">
        <v>0</v>
      </c>
      <c r="AK615" s="268">
        <v>0</v>
      </c>
      <c r="AL615" s="252"/>
      <c r="AM615" s="253"/>
      <c r="AN615" s="267"/>
      <c r="AO615" s="268"/>
      <c r="AP615" s="255">
        <f t="shared" si="96"/>
        <v>0</v>
      </c>
      <c r="AQ615" s="256">
        <f t="shared" si="97"/>
        <v>0</v>
      </c>
      <c r="AR615" s="257">
        <f t="shared" si="98"/>
        <v>0</v>
      </c>
      <c r="AS615" s="258">
        <f t="shared" si="99"/>
        <v>0</v>
      </c>
      <c r="AT615" s="259"/>
      <c r="AU615" s="253"/>
      <c r="AV615" s="267">
        <v>0</v>
      </c>
      <c r="AW615" s="268">
        <v>0</v>
      </c>
      <c r="AX615" s="252"/>
      <c r="AY615" s="253"/>
      <c r="AZ615" s="267"/>
      <c r="BA615" s="268"/>
      <c r="BB615" s="252"/>
      <c r="BC615" s="253"/>
      <c r="BD615" s="267"/>
      <c r="BE615" s="268"/>
      <c r="BF615" s="252"/>
      <c r="BG615" s="253"/>
      <c r="BH615" s="267"/>
      <c r="BI615" s="268"/>
      <c r="BJ615" s="252"/>
      <c r="BK615" s="253"/>
      <c r="BL615" s="267"/>
      <c r="BM615" s="268"/>
      <c r="BN615" s="252"/>
      <c r="BO615" s="253"/>
      <c r="BP615" s="267">
        <v>0</v>
      </c>
      <c r="BQ615" s="268">
        <v>0</v>
      </c>
      <c r="BR615" s="252"/>
      <c r="BS615" s="253"/>
      <c r="BT615" s="267"/>
      <c r="BU615" s="268"/>
      <c r="BV615" s="252"/>
      <c r="BW615" s="253"/>
      <c r="BX615" s="267">
        <v>0</v>
      </c>
      <c r="BY615" s="268">
        <v>0</v>
      </c>
      <c r="BZ615" s="252"/>
      <c r="CA615" s="253"/>
      <c r="CB615" s="267"/>
      <c r="CC615" s="268"/>
      <c r="CD615" s="255">
        <f t="shared" si="100"/>
        <v>0</v>
      </c>
      <c r="CE615" s="256">
        <f t="shared" si="101"/>
        <v>0</v>
      </c>
      <c r="CF615" s="257">
        <f t="shared" si="102"/>
        <v>0</v>
      </c>
      <c r="CG615" s="261">
        <f t="shared" si="103"/>
        <v>0</v>
      </c>
    </row>
    <row r="616" spans="1:85" s="263" customFormat="1" ht="12.75" customHeight="1">
      <c r="A616" s="444" t="s">
        <v>346</v>
      </c>
      <c r="B616" s="411" t="s">
        <v>431</v>
      </c>
      <c r="C616" s="411"/>
      <c r="D616" s="412">
        <v>408394</v>
      </c>
      <c r="E616" s="290">
        <v>10</v>
      </c>
      <c r="F616" s="252"/>
      <c r="G616" s="253"/>
      <c r="H616" s="267">
        <v>0</v>
      </c>
      <c r="I616" s="268">
        <v>0</v>
      </c>
      <c r="J616" s="252"/>
      <c r="K616" s="253"/>
      <c r="L616" s="267"/>
      <c r="M616" s="268"/>
      <c r="N616" s="252"/>
      <c r="O616" s="253"/>
      <c r="P616" s="267"/>
      <c r="Q616" s="268"/>
      <c r="R616" s="252"/>
      <c r="S616" s="253"/>
      <c r="T616" s="267"/>
      <c r="U616" s="268"/>
      <c r="V616" s="252"/>
      <c r="W616" s="253"/>
      <c r="X616" s="267"/>
      <c r="Y616" s="268"/>
      <c r="Z616" s="252"/>
      <c r="AA616" s="253"/>
      <c r="AB616" s="267">
        <v>0</v>
      </c>
      <c r="AC616" s="268">
        <v>0</v>
      </c>
      <c r="AD616" s="252"/>
      <c r="AE616" s="253"/>
      <c r="AF616" s="267"/>
      <c r="AG616" s="268"/>
      <c r="AH616" s="252"/>
      <c r="AI616" s="253"/>
      <c r="AJ616" s="267">
        <v>0</v>
      </c>
      <c r="AK616" s="268">
        <v>0</v>
      </c>
      <c r="AL616" s="252"/>
      <c r="AM616" s="253"/>
      <c r="AN616" s="267"/>
      <c r="AO616" s="268"/>
      <c r="AP616" s="255">
        <f t="shared" si="96"/>
        <v>0</v>
      </c>
      <c r="AQ616" s="256">
        <f t="shared" si="97"/>
        <v>0</v>
      </c>
      <c r="AR616" s="257">
        <f t="shared" si="98"/>
        <v>0</v>
      </c>
      <c r="AS616" s="258">
        <f t="shared" si="99"/>
        <v>0</v>
      </c>
      <c r="AT616" s="259">
        <v>37</v>
      </c>
      <c r="AU616" s="253">
        <v>121215</v>
      </c>
      <c r="AV616" s="267">
        <v>40</v>
      </c>
      <c r="AW616" s="268">
        <v>130469</v>
      </c>
      <c r="AX616" s="252">
        <v>37</v>
      </c>
      <c r="AY616" s="253">
        <v>229818</v>
      </c>
      <c r="AZ616" s="267">
        <v>40</v>
      </c>
      <c r="BA616" s="268">
        <v>242622</v>
      </c>
      <c r="BB616" s="252"/>
      <c r="BC616" s="253"/>
      <c r="BD616" s="267"/>
      <c r="BE616" s="268"/>
      <c r="BF616" s="252">
        <v>37</v>
      </c>
      <c r="BG616" s="253">
        <v>105032</v>
      </c>
      <c r="BH616" s="267">
        <v>40</v>
      </c>
      <c r="BI616" s="268">
        <v>111411</v>
      </c>
      <c r="BJ616" s="252">
        <v>37</v>
      </c>
      <c r="BK616" s="253">
        <v>16940</v>
      </c>
      <c r="BL616" s="267">
        <v>40</v>
      </c>
      <c r="BM616" s="268">
        <v>17969</v>
      </c>
      <c r="BN616" s="252">
        <v>0</v>
      </c>
      <c r="BO616" s="253">
        <v>0</v>
      </c>
      <c r="BP616" s="267">
        <v>0</v>
      </c>
      <c r="BQ616" s="268">
        <v>0</v>
      </c>
      <c r="BR616" s="252">
        <v>37</v>
      </c>
      <c r="BS616" s="253">
        <v>5082</v>
      </c>
      <c r="BT616" s="267">
        <v>40</v>
      </c>
      <c r="BU616" s="268">
        <v>5390</v>
      </c>
      <c r="BV616" s="252">
        <v>0</v>
      </c>
      <c r="BW616" s="253">
        <v>0</v>
      </c>
      <c r="BX616" s="267">
        <v>0</v>
      </c>
      <c r="BY616" s="268">
        <v>0</v>
      </c>
      <c r="BZ616" s="252"/>
      <c r="CA616" s="253"/>
      <c r="CB616" s="267"/>
      <c r="CC616" s="268"/>
      <c r="CD616" s="255">
        <f t="shared" si="100"/>
        <v>37</v>
      </c>
      <c r="CE616" s="256">
        <f t="shared" si="101"/>
        <v>478087</v>
      </c>
      <c r="CF616" s="257">
        <f t="shared" si="102"/>
        <v>40</v>
      </c>
      <c r="CG616" s="261">
        <f t="shared" si="103"/>
        <v>507861</v>
      </c>
    </row>
    <row r="617" spans="1:85" s="263" customFormat="1" ht="12.75" customHeight="1">
      <c r="A617" s="447" t="s">
        <v>346</v>
      </c>
      <c r="B617" s="450" t="s">
        <v>432</v>
      </c>
      <c r="C617" s="450"/>
      <c r="D617" s="448">
        <v>229328</v>
      </c>
      <c r="E617" s="449">
        <v>10</v>
      </c>
      <c r="F617" s="252"/>
      <c r="G617" s="253"/>
      <c r="H617" s="267">
        <v>0</v>
      </c>
      <c r="I617" s="268">
        <v>0</v>
      </c>
      <c r="J617" s="252"/>
      <c r="K617" s="253"/>
      <c r="L617" s="267"/>
      <c r="M617" s="268"/>
      <c r="N617" s="252"/>
      <c r="O617" s="253"/>
      <c r="P617" s="267"/>
      <c r="Q617" s="268"/>
      <c r="R617" s="252"/>
      <c r="S617" s="253"/>
      <c r="T617" s="267"/>
      <c r="U617" s="268"/>
      <c r="V617" s="252"/>
      <c r="W617" s="253"/>
      <c r="X617" s="267"/>
      <c r="Y617" s="268"/>
      <c r="Z617" s="252"/>
      <c r="AA617" s="253"/>
      <c r="AB617" s="267">
        <v>0</v>
      </c>
      <c r="AC617" s="268">
        <v>0</v>
      </c>
      <c r="AD617" s="252"/>
      <c r="AE617" s="253"/>
      <c r="AF617" s="267"/>
      <c r="AG617" s="268"/>
      <c r="AH617" s="252"/>
      <c r="AI617" s="253"/>
      <c r="AJ617" s="267">
        <v>0</v>
      </c>
      <c r="AK617" s="268">
        <v>0</v>
      </c>
      <c r="AL617" s="252"/>
      <c r="AM617" s="253"/>
      <c r="AN617" s="267"/>
      <c r="AO617" s="268"/>
      <c r="AP617" s="255">
        <f t="shared" si="96"/>
        <v>0</v>
      </c>
      <c r="AQ617" s="256">
        <f t="shared" si="97"/>
        <v>0</v>
      </c>
      <c r="AR617" s="257">
        <f t="shared" si="98"/>
        <v>0</v>
      </c>
      <c r="AS617" s="258">
        <f t="shared" si="99"/>
        <v>0</v>
      </c>
      <c r="AT617" s="259">
        <v>89</v>
      </c>
      <c r="AU617" s="253">
        <v>270142</v>
      </c>
      <c r="AV617" s="267">
        <v>88</v>
      </c>
      <c r="AW617" s="268">
        <v>257042</v>
      </c>
      <c r="AX617" s="252">
        <v>89</v>
      </c>
      <c r="AY617" s="253">
        <v>482172</v>
      </c>
      <c r="AZ617" s="267">
        <v>88</v>
      </c>
      <c r="BA617" s="268">
        <v>497389</v>
      </c>
      <c r="BB617" s="252"/>
      <c r="BC617" s="253"/>
      <c r="BD617" s="267"/>
      <c r="BE617" s="268"/>
      <c r="BF617" s="252">
        <v>89</v>
      </c>
      <c r="BG617" s="253">
        <v>249664</v>
      </c>
      <c r="BH617" s="267">
        <v>88</v>
      </c>
      <c r="BI617" s="268">
        <v>237746</v>
      </c>
      <c r="BJ617" s="252">
        <v>89</v>
      </c>
      <c r="BK617" s="253">
        <v>40268</v>
      </c>
      <c r="BL617" s="267">
        <v>88</v>
      </c>
      <c r="BM617" s="268">
        <v>38346</v>
      </c>
      <c r="BN617" s="252">
        <v>0</v>
      </c>
      <c r="BO617" s="253">
        <v>0</v>
      </c>
      <c r="BP617" s="267">
        <v>0</v>
      </c>
      <c r="BQ617" s="268">
        <v>0</v>
      </c>
      <c r="BR617" s="252">
        <v>89</v>
      </c>
      <c r="BS617" s="253">
        <v>12081</v>
      </c>
      <c r="BT617" s="267">
        <v>88</v>
      </c>
      <c r="BU617" s="268">
        <v>11503</v>
      </c>
      <c r="BV617" s="252">
        <v>0</v>
      </c>
      <c r="BW617" s="253">
        <v>0</v>
      </c>
      <c r="BX617" s="267">
        <v>0</v>
      </c>
      <c r="BY617" s="268">
        <v>0</v>
      </c>
      <c r="BZ617" s="252"/>
      <c r="CA617" s="253"/>
      <c r="CB617" s="267"/>
      <c r="CC617" s="268"/>
      <c r="CD617" s="255">
        <f t="shared" si="100"/>
        <v>89</v>
      </c>
      <c r="CE617" s="256">
        <f t="shared" si="101"/>
        <v>1054327</v>
      </c>
      <c r="CF617" s="257">
        <f t="shared" si="102"/>
        <v>88</v>
      </c>
      <c r="CG617" s="261">
        <f t="shared" si="103"/>
        <v>1042026</v>
      </c>
    </row>
    <row r="618" spans="1:85" s="263" customFormat="1" ht="12.75" customHeight="1">
      <c r="A618" s="444" t="s">
        <v>346</v>
      </c>
      <c r="B618" s="411" t="s">
        <v>433</v>
      </c>
      <c r="C618" s="411"/>
      <c r="D618" s="412">
        <v>229832</v>
      </c>
      <c r="E618" s="290">
        <v>10</v>
      </c>
      <c r="F618" s="252">
        <v>33</v>
      </c>
      <c r="G618" s="253">
        <v>115900</v>
      </c>
      <c r="H618" s="267">
        <v>32</v>
      </c>
      <c r="I618" s="268">
        <v>97443</v>
      </c>
      <c r="J618" s="252">
        <v>33</v>
      </c>
      <c r="K618" s="253">
        <v>230265</v>
      </c>
      <c r="L618" s="267">
        <v>32</v>
      </c>
      <c r="M618" s="268">
        <v>310218</v>
      </c>
      <c r="N618" s="252"/>
      <c r="O618" s="253"/>
      <c r="P618" s="267"/>
      <c r="Q618" s="268"/>
      <c r="R618" s="252"/>
      <c r="S618" s="253"/>
      <c r="T618" s="267"/>
      <c r="U618" s="268"/>
      <c r="V618" s="252">
        <v>1</v>
      </c>
      <c r="W618" s="253">
        <v>650</v>
      </c>
      <c r="X618" s="267"/>
      <c r="Y618" s="268"/>
      <c r="Z618" s="252">
        <v>0</v>
      </c>
      <c r="AA618" s="253">
        <v>0</v>
      </c>
      <c r="AB618" s="267">
        <v>0</v>
      </c>
      <c r="AC618" s="268">
        <v>0</v>
      </c>
      <c r="AD618" s="252"/>
      <c r="AE618" s="253"/>
      <c r="AF618" s="267"/>
      <c r="AG618" s="268"/>
      <c r="AH618" s="252">
        <v>0</v>
      </c>
      <c r="AI618" s="253">
        <v>0</v>
      </c>
      <c r="AJ618" s="267">
        <v>0</v>
      </c>
      <c r="AK618" s="268">
        <v>0</v>
      </c>
      <c r="AL618" s="252"/>
      <c r="AM618" s="253"/>
      <c r="AN618" s="267"/>
      <c r="AO618" s="268"/>
      <c r="AP618" s="255">
        <f t="shared" si="96"/>
        <v>33</v>
      </c>
      <c r="AQ618" s="256">
        <f t="shared" si="97"/>
        <v>346815</v>
      </c>
      <c r="AR618" s="257">
        <f t="shared" si="98"/>
        <v>32</v>
      </c>
      <c r="AS618" s="258">
        <f t="shared" si="99"/>
        <v>407661</v>
      </c>
      <c r="AT618" s="259">
        <v>12</v>
      </c>
      <c r="AU618" s="253">
        <v>63901</v>
      </c>
      <c r="AV618" s="267">
        <v>14</v>
      </c>
      <c r="AW618" s="268">
        <v>49501</v>
      </c>
      <c r="AX618" s="252">
        <v>12</v>
      </c>
      <c r="AY618" s="253">
        <v>85922</v>
      </c>
      <c r="AZ618" s="267">
        <v>14</v>
      </c>
      <c r="BA618" s="268">
        <v>135720</v>
      </c>
      <c r="BB618" s="252"/>
      <c r="BC618" s="253"/>
      <c r="BD618" s="267"/>
      <c r="BE618" s="268"/>
      <c r="BF618" s="252"/>
      <c r="BG618" s="253"/>
      <c r="BH618" s="267"/>
      <c r="BI618" s="268"/>
      <c r="BJ618" s="252"/>
      <c r="BK618" s="253"/>
      <c r="BL618" s="267"/>
      <c r="BM618" s="268"/>
      <c r="BN618" s="252">
        <v>0</v>
      </c>
      <c r="BO618" s="253">
        <v>0</v>
      </c>
      <c r="BP618" s="267">
        <v>0</v>
      </c>
      <c r="BQ618" s="268">
        <v>0</v>
      </c>
      <c r="BR618" s="252"/>
      <c r="BS618" s="253"/>
      <c r="BT618" s="267"/>
      <c r="BU618" s="268"/>
      <c r="BV618" s="252">
        <v>0</v>
      </c>
      <c r="BW618" s="253">
        <v>0</v>
      </c>
      <c r="BX618" s="267">
        <v>0</v>
      </c>
      <c r="BY618" s="268">
        <v>0</v>
      </c>
      <c r="BZ618" s="252"/>
      <c r="CA618" s="253"/>
      <c r="CB618" s="267"/>
      <c r="CC618" s="268"/>
      <c r="CD618" s="255">
        <f t="shared" si="100"/>
        <v>12</v>
      </c>
      <c r="CE618" s="256">
        <f t="shared" si="101"/>
        <v>149823</v>
      </c>
      <c r="CF618" s="257">
        <f t="shared" si="102"/>
        <v>14</v>
      </c>
      <c r="CG618" s="261">
        <f t="shared" si="103"/>
        <v>185221</v>
      </c>
    </row>
    <row r="619" spans="1:85" s="263" customFormat="1" ht="12.75" customHeight="1">
      <c r="A619" s="444" t="s">
        <v>346</v>
      </c>
      <c r="B619" s="411" t="s">
        <v>1176</v>
      </c>
      <c r="C619" s="530" t="s">
        <v>1271</v>
      </c>
      <c r="D619" s="451"/>
      <c r="E619" s="290">
        <v>99</v>
      </c>
      <c r="F619" s="252"/>
      <c r="G619" s="253"/>
      <c r="H619" s="267">
        <v>0</v>
      </c>
      <c r="I619" s="268">
        <v>0</v>
      </c>
      <c r="J619" s="252"/>
      <c r="K619" s="253"/>
      <c r="L619" s="267"/>
      <c r="M619" s="268"/>
      <c r="N619" s="252"/>
      <c r="O619" s="253"/>
      <c r="P619" s="267"/>
      <c r="Q619" s="268"/>
      <c r="R619" s="252"/>
      <c r="S619" s="253"/>
      <c r="T619" s="267"/>
      <c r="U619" s="268"/>
      <c r="V619" s="252"/>
      <c r="W619" s="253"/>
      <c r="X619" s="267"/>
      <c r="Y619" s="268"/>
      <c r="Z619" s="252"/>
      <c r="AA619" s="253"/>
      <c r="AB619" s="267">
        <v>0</v>
      </c>
      <c r="AC619" s="268">
        <v>0</v>
      </c>
      <c r="AD619" s="252"/>
      <c r="AE619" s="253"/>
      <c r="AF619" s="267"/>
      <c r="AG619" s="268"/>
      <c r="AH619" s="252"/>
      <c r="AI619" s="253"/>
      <c r="AJ619" s="267">
        <v>0</v>
      </c>
      <c r="AK619" s="268">
        <v>0</v>
      </c>
      <c r="AL619" s="252"/>
      <c r="AM619" s="253"/>
      <c r="AN619" s="267"/>
      <c r="AO619" s="268"/>
      <c r="AP619" s="255">
        <f t="shared" si="96"/>
        <v>0</v>
      </c>
      <c r="AQ619" s="256">
        <f t="shared" si="97"/>
        <v>0</v>
      </c>
      <c r="AR619" s="257">
        <f t="shared" si="98"/>
        <v>0</v>
      </c>
      <c r="AS619" s="258">
        <f t="shared" si="99"/>
        <v>0</v>
      </c>
      <c r="AT619" s="259"/>
      <c r="AU619" s="253"/>
      <c r="AV619" s="267">
        <v>0</v>
      </c>
      <c r="AW619" s="268">
        <v>0</v>
      </c>
      <c r="AX619" s="252"/>
      <c r="AY619" s="253"/>
      <c r="AZ619" s="267"/>
      <c r="BA619" s="268"/>
      <c r="BB619" s="252"/>
      <c r="BC619" s="253"/>
      <c r="BD619" s="267"/>
      <c r="BE619" s="268"/>
      <c r="BF619" s="252"/>
      <c r="BG619" s="253"/>
      <c r="BH619" s="267"/>
      <c r="BI619" s="268"/>
      <c r="BJ619" s="252"/>
      <c r="BK619" s="253"/>
      <c r="BL619" s="267"/>
      <c r="BM619" s="268"/>
      <c r="BN619" s="252"/>
      <c r="BO619" s="253"/>
      <c r="BP619" s="267">
        <v>0</v>
      </c>
      <c r="BQ619" s="268">
        <v>0</v>
      </c>
      <c r="BR619" s="252"/>
      <c r="BS619" s="253"/>
      <c r="BT619" s="267"/>
      <c r="BU619" s="268"/>
      <c r="BV619" s="252"/>
      <c r="BW619" s="253"/>
      <c r="BX619" s="267">
        <v>0</v>
      </c>
      <c r="BY619" s="268">
        <v>0</v>
      </c>
      <c r="BZ619" s="252"/>
      <c r="CA619" s="253"/>
      <c r="CB619" s="267"/>
      <c r="CC619" s="268"/>
      <c r="CD619" s="255">
        <f t="shared" si="100"/>
        <v>0</v>
      </c>
      <c r="CE619" s="256">
        <f t="shared" si="101"/>
        <v>0</v>
      </c>
      <c r="CF619" s="257">
        <f t="shared" si="102"/>
        <v>0</v>
      </c>
      <c r="CG619" s="261">
        <f t="shared" si="103"/>
        <v>0</v>
      </c>
    </row>
    <row r="620" spans="1:85" s="263" customFormat="1" ht="12.75" customHeight="1">
      <c r="A620" s="444" t="s">
        <v>346</v>
      </c>
      <c r="B620" s="411" t="s">
        <v>1177</v>
      </c>
      <c r="C620" s="530" t="s">
        <v>1272</v>
      </c>
      <c r="D620" s="412" t="s">
        <v>1178</v>
      </c>
      <c r="E620" s="290">
        <v>99</v>
      </c>
      <c r="F620" s="252"/>
      <c r="G620" s="253"/>
      <c r="H620" s="267">
        <v>0</v>
      </c>
      <c r="I620" s="268">
        <v>0</v>
      </c>
      <c r="J620" s="252"/>
      <c r="K620" s="253"/>
      <c r="L620" s="267"/>
      <c r="M620" s="268"/>
      <c r="N620" s="252"/>
      <c r="O620" s="253"/>
      <c r="P620" s="267"/>
      <c r="Q620" s="268"/>
      <c r="R620" s="252"/>
      <c r="S620" s="253"/>
      <c r="T620" s="267"/>
      <c r="U620" s="268"/>
      <c r="V620" s="252"/>
      <c r="W620" s="253"/>
      <c r="X620" s="267"/>
      <c r="Y620" s="268"/>
      <c r="Z620" s="252"/>
      <c r="AA620" s="253"/>
      <c r="AB620" s="267">
        <v>0</v>
      </c>
      <c r="AC620" s="268">
        <v>0</v>
      </c>
      <c r="AD620" s="252"/>
      <c r="AE620" s="253"/>
      <c r="AF620" s="267"/>
      <c r="AG620" s="268"/>
      <c r="AH620" s="252"/>
      <c r="AI620" s="253"/>
      <c r="AJ620" s="267">
        <v>0</v>
      </c>
      <c r="AK620" s="268">
        <v>0</v>
      </c>
      <c r="AL620" s="252"/>
      <c r="AM620" s="253"/>
      <c r="AN620" s="267"/>
      <c r="AO620" s="268"/>
      <c r="AP620" s="255">
        <f t="shared" si="96"/>
        <v>0</v>
      </c>
      <c r="AQ620" s="256">
        <f t="shared" si="97"/>
        <v>0</v>
      </c>
      <c r="AR620" s="257">
        <f t="shared" si="98"/>
        <v>0</v>
      </c>
      <c r="AS620" s="258">
        <f t="shared" si="99"/>
        <v>0</v>
      </c>
      <c r="AT620" s="259"/>
      <c r="AU620" s="253"/>
      <c r="AV620" s="267">
        <v>0</v>
      </c>
      <c r="AW620" s="268">
        <v>0</v>
      </c>
      <c r="AX620" s="252"/>
      <c r="AY620" s="253"/>
      <c r="AZ620" s="267"/>
      <c r="BA620" s="268"/>
      <c r="BB620" s="252"/>
      <c r="BC620" s="253"/>
      <c r="BD620" s="267"/>
      <c r="BE620" s="268"/>
      <c r="BF620" s="252"/>
      <c r="BG620" s="253"/>
      <c r="BH620" s="267"/>
      <c r="BI620" s="268"/>
      <c r="BJ620" s="252"/>
      <c r="BK620" s="253"/>
      <c r="BL620" s="267"/>
      <c r="BM620" s="268"/>
      <c r="BN620" s="252"/>
      <c r="BO620" s="253"/>
      <c r="BP620" s="267">
        <v>0</v>
      </c>
      <c r="BQ620" s="268">
        <v>0</v>
      </c>
      <c r="BR620" s="252"/>
      <c r="BS620" s="253"/>
      <c r="BT620" s="267"/>
      <c r="BU620" s="268"/>
      <c r="BV620" s="252"/>
      <c r="BW620" s="253"/>
      <c r="BX620" s="267">
        <v>0</v>
      </c>
      <c r="BY620" s="268">
        <v>0</v>
      </c>
      <c r="BZ620" s="252"/>
      <c r="CA620" s="253"/>
      <c r="CB620" s="306"/>
      <c r="CC620" s="306"/>
      <c r="CD620" s="255">
        <f t="shared" si="100"/>
        <v>0</v>
      </c>
      <c r="CE620" s="256">
        <f t="shared" si="101"/>
        <v>0</v>
      </c>
      <c r="CF620" s="257">
        <f t="shared" si="102"/>
        <v>0</v>
      </c>
      <c r="CG620" s="261">
        <f t="shared" si="103"/>
        <v>0</v>
      </c>
    </row>
    <row r="621" spans="1:85" s="263" customFormat="1" ht="12.75" customHeight="1">
      <c r="A621" s="444" t="s">
        <v>346</v>
      </c>
      <c r="B621" s="411" t="s">
        <v>1179</v>
      </c>
      <c r="C621" s="530" t="s">
        <v>1273</v>
      </c>
      <c r="D621" s="451"/>
      <c r="E621" s="290">
        <v>99</v>
      </c>
      <c r="F621" s="252"/>
      <c r="G621" s="253"/>
      <c r="H621" s="267">
        <v>0</v>
      </c>
      <c r="I621" s="268">
        <v>0</v>
      </c>
      <c r="J621" s="252"/>
      <c r="K621" s="253"/>
      <c r="L621" s="267"/>
      <c r="M621" s="268"/>
      <c r="N621" s="252"/>
      <c r="O621" s="253"/>
      <c r="P621" s="267"/>
      <c r="Q621" s="268"/>
      <c r="R621" s="252"/>
      <c r="S621" s="253"/>
      <c r="T621" s="267"/>
      <c r="U621" s="268"/>
      <c r="V621" s="252"/>
      <c r="W621" s="253"/>
      <c r="X621" s="267"/>
      <c r="Y621" s="268"/>
      <c r="Z621" s="252"/>
      <c r="AA621" s="253"/>
      <c r="AB621" s="267">
        <v>0</v>
      </c>
      <c r="AC621" s="268">
        <v>0</v>
      </c>
      <c r="AD621" s="252"/>
      <c r="AE621" s="253"/>
      <c r="AF621" s="267"/>
      <c r="AG621" s="268"/>
      <c r="AH621" s="252"/>
      <c r="AI621" s="253"/>
      <c r="AJ621" s="267">
        <v>0</v>
      </c>
      <c r="AK621" s="268">
        <v>0</v>
      </c>
      <c r="AL621" s="252"/>
      <c r="AM621" s="253"/>
      <c r="AN621" s="267"/>
      <c r="AO621" s="268"/>
      <c r="AP621" s="255">
        <f t="shared" si="96"/>
        <v>0</v>
      </c>
      <c r="AQ621" s="256">
        <f t="shared" si="97"/>
        <v>0</v>
      </c>
      <c r="AR621" s="257">
        <f t="shared" si="98"/>
        <v>0</v>
      </c>
      <c r="AS621" s="258">
        <f t="shared" si="99"/>
        <v>0</v>
      </c>
      <c r="AT621" s="259"/>
      <c r="AU621" s="253"/>
      <c r="AV621" s="267">
        <v>0</v>
      </c>
      <c r="AW621" s="268">
        <v>0</v>
      </c>
      <c r="AX621" s="252"/>
      <c r="AY621" s="253"/>
      <c r="AZ621" s="267"/>
      <c r="BA621" s="268"/>
      <c r="BB621" s="252"/>
      <c r="BC621" s="253"/>
      <c r="BD621" s="267"/>
      <c r="BE621" s="268"/>
      <c r="BF621" s="252"/>
      <c r="BG621" s="253"/>
      <c r="BH621" s="267"/>
      <c r="BI621" s="268"/>
      <c r="BJ621" s="252"/>
      <c r="BK621" s="253"/>
      <c r="BL621" s="267"/>
      <c r="BM621" s="268"/>
      <c r="BN621" s="252"/>
      <c r="BO621" s="253"/>
      <c r="BP621" s="267">
        <v>0</v>
      </c>
      <c r="BQ621" s="268">
        <v>0</v>
      </c>
      <c r="BR621" s="252"/>
      <c r="BS621" s="253"/>
      <c r="BT621" s="267"/>
      <c r="BU621" s="268"/>
      <c r="BV621" s="252"/>
      <c r="BW621" s="253"/>
      <c r="BX621" s="267">
        <v>0</v>
      </c>
      <c r="BY621" s="268">
        <v>0</v>
      </c>
      <c r="BZ621" s="252"/>
      <c r="CA621" s="253"/>
      <c r="CB621" s="306"/>
      <c r="CC621" s="306"/>
      <c r="CD621" s="255">
        <f t="shared" si="100"/>
        <v>0</v>
      </c>
      <c r="CE621" s="256">
        <f t="shared" si="101"/>
        <v>0</v>
      </c>
      <c r="CF621" s="257">
        <f t="shared" si="102"/>
        <v>0</v>
      </c>
      <c r="CG621" s="261">
        <f t="shared" si="103"/>
        <v>0</v>
      </c>
    </row>
    <row r="622" spans="1:85" s="263" customFormat="1" ht="12.75" customHeight="1">
      <c r="A622" s="299" t="s">
        <v>77</v>
      </c>
      <c r="B622" s="452" t="s">
        <v>81</v>
      </c>
      <c r="C622" s="452"/>
      <c r="D622" s="413">
        <v>232186</v>
      </c>
      <c r="E622" s="453">
        <v>1</v>
      </c>
      <c r="F622" s="252">
        <v>1066</v>
      </c>
      <c r="G622" s="253">
        <v>10196915</v>
      </c>
      <c r="H622" s="267">
        <v>1076</v>
      </c>
      <c r="I622" s="268">
        <v>9926302</v>
      </c>
      <c r="J622" s="252">
        <v>1067</v>
      </c>
      <c r="K622" s="253">
        <v>7921629</v>
      </c>
      <c r="L622" s="267">
        <v>1073</v>
      </c>
      <c r="M622" s="268">
        <v>7957147</v>
      </c>
      <c r="N622" s="252">
        <v>151</v>
      </c>
      <c r="O622" s="253">
        <v>173383</v>
      </c>
      <c r="P622" s="267">
        <v>160</v>
      </c>
      <c r="Q622" s="268">
        <v>80043</v>
      </c>
      <c r="R622" s="252">
        <v>1068</v>
      </c>
      <c r="S622" s="253">
        <v>7017915</v>
      </c>
      <c r="T622" s="267">
        <v>1076</v>
      </c>
      <c r="U622" s="268">
        <v>7150164</v>
      </c>
      <c r="V622" s="252"/>
      <c r="W622" s="253"/>
      <c r="X622" s="267"/>
      <c r="Y622" s="268"/>
      <c r="Z622" s="252">
        <v>1067</v>
      </c>
      <c r="AA622" s="253">
        <v>737509</v>
      </c>
      <c r="AB622" s="267">
        <v>1076</v>
      </c>
      <c r="AC622" s="268">
        <v>654424</v>
      </c>
      <c r="AD622" s="252"/>
      <c r="AE622" s="253"/>
      <c r="AF622" s="267"/>
      <c r="AG622" s="268"/>
      <c r="AH622" s="252"/>
      <c r="AI622" s="253"/>
      <c r="AJ622" s="267"/>
      <c r="AK622" s="268"/>
      <c r="AL622" s="252"/>
      <c r="AM622" s="253"/>
      <c r="AN622" s="267"/>
      <c r="AO622" s="268"/>
      <c r="AP622" s="255">
        <f t="shared" si="96"/>
        <v>1068</v>
      </c>
      <c r="AQ622" s="256">
        <f t="shared" si="97"/>
        <v>26047351</v>
      </c>
      <c r="AR622" s="257">
        <f t="shared" si="98"/>
        <v>1076</v>
      </c>
      <c r="AS622" s="258">
        <f t="shared" si="99"/>
        <v>25768080</v>
      </c>
      <c r="AT622" s="259">
        <v>69</v>
      </c>
      <c r="AU622" s="253">
        <v>860031</v>
      </c>
      <c r="AV622" s="267">
        <v>68</v>
      </c>
      <c r="AW622" s="268">
        <v>887255</v>
      </c>
      <c r="AX622" s="252">
        <v>69</v>
      </c>
      <c r="AY622" s="253">
        <v>545052</v>
      </c>
      <c r="AZ622" s="267">
        <v>68</v>
      </c>
      <c r="BA622" s="268">
        <v>537135</v>
      </c>
      <c r="BB622" s="252">
        <v>16</v>
      </c>
      <c r="BC622" s="253">
        <v>22706</v>
      </c>
      <c r="BD622" s="267">
        <v>16</v>
      </c>
      <c r="BE622" s="268">
        <v>12537</v>
      </c>
      <c r="BF622" s="252">
        <v>69</v>
      </c>
      <c r="BG622" s="253">
        <v>481849</v>
      </c>
      <c r="BH622" s="267">
        <v>68</v>
      </c>
      <c r="BI622" s="268">
        <v>507153</v>
      </c>
      <c r="BJ622" s="252"/>
      <c r="BK622" s="253"/>
      <c r="BL622" s="267"/>
      <c r="BM622" s="268"/>
      <c r="BN622" s="252">
        <v>69</v>
      </c>
      <c r="BO622" s="253">
        <v>63161</v>
      </c>
      <c r="BP622" s="267">
        <v>68</v>
      </c>
      <c r="BQ622" s="268">
        <v>59401</v>
      </c>
      <c r="BR622" s="252"/>
      <c r="BS622" s="253"/>
      <c r="BT622" s="267"/>
      <c r="BU622" s="268"/>
      <c r="BV622" s="252"/>
      <c r="BW622" s="253"/>
      <c r="BX622" s="267"/>
      <c r="BY622" s="268"/>
      <c r="BZ622" s="252"/>
      <c r="CA622" s="253"/>
      <c r="CB622" s="267"/>
      <c r="CC622" s="268"/>
      <c r="CD622" s="255">
        <f t="shared" si="100"/>
        <v>69</v>
      </c>
      <c r="CE622" s="256">
        <f t="shared" si="101"/>
        <v>1972799</v>
      </c>
      <c r="CF622" s="257">
        <f t="shared" si="102"/>
        <v>68</v>
      </c>
      <c r="CG622" s="261">
        <f t="shared" si="103"/>
        <v>2003481</v>
      </c>
    </row>
    <row r="623" spans="1:85" s="263" customFormat="1" ht="12.75" customHeight="1">
      <c r="A623" s="299" t="s">
        <v>77</v>
      </c>
      <c r="B623" s="414" t="s">
        <v>82</v>
      </c>
      <c r="C623" s="414"/>
      <c r="D623" s="454">
        <v>232982</v>
      </c>
      <c r="E623" s="305">
        <v>1</v>
      </c>
      <c r="F623" s="252">
        <v>591</v>
      </c>
      <c r="G623" s="253">
        <v>4508715</v>
      </c>
      <c r="H623" s="267">
        <v>588</v>
      </c>
      <c r="I623" s="268">
        <v>4568480</v>
      </c>
      <c r="J623" s="252">
        <v>519</v>
      </c>
      <c r="K623" s="253">
        <v>4253928</v>
      </c>
      <c r="L623" s="267">
        <v>502</v>
      </c>
      <c r="M623" s="268">
        <v>4392060</v>
      </c>
      <c r="N623" s="252"/>
      <c r="O623" s="253"/>
      <c r="P623" s="267"/>
      <c r="Q623" s="268"/>
      <c r="R623" s="252">
        <v>591</v>
      </c>
      <c r="S623" s="253">
        <v>3166983</v>
      </c>
      <c r="T623" s="267">
        <v>620</v>
      </c>
      <c r="U623" s="268">
        <v>3334848</v>
      </c>
      <c r="V623" s="252"/>
      <c r="W623" s="253"/>
      <c r="X623" s="267"/>
      <c r="Y623" s="268"/>
      <c r="Z623" s="252">
        <v>591</v>
      </c>
      <c r="AA623" s="253">
        <v>334706</v>
      </c>
      <c r="AB623" s="267">
        <v>620</v>
      </c>
      <c r="AC623" s="268">
        <v>352363</v>
      </c>
      <c r="AD623" s="252"/>
      <c r="AE623" s="253"/>
      <c r="AF623" s="267"/>
      <c r="AG623" s="268"/>
      <c r="AH623" s="252">
        <v>27</v>
      </c>
      <c r="AI623" s="253">
        <v>52212</v>
      </c>
      <c r="AJ623" s="267">
        <v>27</v>
      </c>
      <c r="AK623" s="268">
        <v>52212</v>
      </c>
      <c r="AL623" s="252"/>
      <c r="AM623" s="253"/>
      <c r="AN623" s="267"/>
      <c r="AO623" s="268"/>
      <c r="AP623" s="255">
        <f t="shared" si="96"/>
        <v>591</v>
      </c>
      <c r="AQ623" s="256">
        <f t="shared" si="97"/>
        <v>12316544</v>
      </c>
      <c r="AR623" s="257">
        <f t="shared" si="98"/>
        <v>620</v>
      </c>
      <c r="AS623" s="258">
        <f t="shared" si="99"/>
        <v>12699963</v>
      </c>
      <c r="AT623" s="259">
        <v>104</v>
      </c>
      <c r="AU623" s="253">
        <v>1136370</v>
      </c>
      <c r="AV623" s="267">
        <v>103</v>
      </c>
      <c r="AW623" s="268">
        <v>1213714</v>
      </c>
      <c r="AX623" s="252">
        <v>99</v>
      </c>
      <c r="AY623" s="253">
        <v>821472</v>
      </c>
      <c r="AZ623" s="267">
        <v>95</v>
      </c>
      <c r="BA623" s="268">
        <v>818844</v>
      </c>
      <c r="BB623" s="252"/>
      <c r="BC623" s="253"/>
      <c r="BD623" s="267"/>
      <c r="BE623" s="268"/>
      <c r="BF623" s="252">
        <v>104</v>
      </c>
      <c r="BG623" s="253">
        <v>735038</v>
      </c>
      <c r="BH623" s="267">
        <v>103</v>
      </c>
      <c r="BI623" s="268">
        <v>753619</v>
      </c>
      <c r="BJ623" s="252"/>
      <c r="BK623" s="253"/>
      <c r="BL623" s="267"/>
      <c r="BM623" s="268"/>
      <c r="BN623" s="252">
        <v>104</v>
      </c>
      <c r="BO623" s="253">
        <v>84107</v>
      </c>
      <c r="BP623" s="267">
        <v>103</v>
      </c>
      <c r="BQ623" s="268">
        <v>89350</v>
      </c>
      <c r="BR623" s="252"/>
      <c r="BS623" s="253"/>
      <c r="BT623" s="267"/>
      <c r="BU623" s="268"/>
      <c r="BV623" s="252">
        <v>2</v>
      </c>
      <c r="BW623" s="253">
        <v>2598</v>
      </c>
      <c r="BX623" s="267">
        <v>2</v>
      </c>
      <c r="BY623" s="268">
        <v>2598</v>
      </c>
      <c r="BZ623" s="252"/>
      <c r="CA623" s="253"/>
      <c r="CB623" s="267"/>
      <c r="CC623" s="268"/>
      <c r="CD623" s="255">
        <f t="shared" si="100"/>
        <v>104</v>
      </c>
      <c r="CE623" s="256">
        <f t="shared" si="101"/>
        <v>2779585</v>
      </c>
      <c r="CF623" s="257">
        <f t="shared" si="102"/>
        <v>103</v>
      </c>
      <c r="CG623" s="261">
        <f t="shared" si="103"/>
        <v>2878125</v>
      </c>
    </row>
    <row r="624" spans="1:85" s="263" customFormat="1" ht="12.75" customHeight="1">
      <c r="A624" s="299" t="s">
        <v>77</v>
      </c>
      <c r="B624" s="417" t="s">
        <v>78</v>
      </c>
      <c r="C624" s="417"/>
      <c r="D624" s="301">
        <v>234076</v>
      </c>
      <c r="E624" s="302">
        <v>1</v>
      </c>
      <c r="F624" s="252">
        <v>918</v>
      </c>
      <c r="G624" s="253">
        <v>10393853</v>
      </c>
      <c r="H624" s="267">
        <v>906</v>
      </c>
      <c r="I624" s="268">
        <v>10147601</v>
      </c>
      <c r="J624" s="252">
        <v>918</v>
      </c>
      <c r="K624" s="253">
        <v>7578434</v>
      </c>
      <c r="L624" s="267">
        <v>905</v>
      </c>
      <c r="M624" s="268">
        <v>7566637</v>
      </c>
      <c r="N624" s="252">
        <v>918</v>
      </c>
      <c r="O624" s="253">
        <v>347396</v>
      </c>
      <c r="P624" s="267">
        <v>865</v>
      </c>
      <c r="Q624" s="268">
        <v>300291</v>
      </c>
      <c r="R624" s="252">
        <v>919</v>
      </c>
      <c r="S624" s="253">
        <v>6323369</v>
      </c>
      <c r="T624" s="267">
        <v>906</v>
      </c>
      <c r="U624" s="268">
        <v>6316301</v>
      </c>
      <c r="V624" s="252"/>
      <c r="W624" s="253"/>
      <c r="X624" s="267"/>
      <c r="Y624" s="268"/>
      <c r="Z624" s="252">
        <v>918</v>
      </c>
      <c r="AA624" s="253">
        <v>137088</v>
      </c>
      <c r="AB624" s="267">
        <v>906</v>
      </c>
      <c r="AC624" s="268">
        <v>119104</v>
      </c>
      <c r="AD624" s="252"/>
      <c r="AE624" s="253"/>
      <c r="AF624" s="267"/>
      <c r="AG624" s="268"/>
      <c r="AH624" s="252"/>
      <c r="AI624" s="253"/>
      <c r="AJ624" s="267"/>
      <c r="AK624" s="268"/>
      <c r="AL624" s="252"/>
      <c r="AM624" s="253"/>
      <c r="AN624" s="267"/>
      <c r="AO624" s="268"/>
      <c r="AP624" s="255">
        <f t="shared" si="96"/>
        <v>919</v>
      </c>
      <c r="AQ624" s="256">
        <f t="shared" si="97"/>
        <v>24780140</v>
      </c>
      <c r="AR624" s="257">
        <f t="shared" si="98"/>
        <v>906</v>
      </c>
      <c r="AS624" s="258">
        <f t="shared" si="99"/>
        <v>24449934</v>
      </c>
      <c r="AT624" s="259">
        <v>261</v>
      </c>
      <c r="AU624" s="253">
        <v>3606341</v>
      </c>
      <c r="AV624" s="267">
        <v>245</v>
      </c>
      <c r="AW624" s="268">
        <v>3151419</v>
      </c>
      <c r="AX624" s="252">
        <v>261</v>
      </c>
      <c r="AY624" s="253">
        <v>2347174</v>
      </c>
      <c r="AZ624" s="267">
        <v>246</v>
      </c>
      <c r="BA624" s="268">
        <v>2219961</v>
      </c>
      <c r="BB624" s="252">
        <v>261</v>
      </c>
      <c r="BC624" s="253">
        <v>120626</v>
      </c>
      <c r="BD624" s="267">
        <v>229</v>
      </c>
      <c r="BE624" s="268">
        <v>92864</v>
      </c>
      <c r="BF624" s="252">
        <v>264</v>
      </c>
      <c r="BG624" s="253">
        <v>2053784</v>
      </c>
      <c r="BH624" s="267">
        <v>246</v>
      </c>
      <c r="BI624" s="268">
        <v>1905455</v>
      </c>
      <c r="BJ624" s="252"/>
      <c r="BK624" s="253"/>
      <c r="BL624" s="267"/>
      <c r="BM624" s="268"/>
      <c r="BN624" s="252">
        <v>261</v>
      </c>
      <c r="BO624" s="253">
        <v>43923</v>
      </c>
      <c r="BP624" s="267">
        <v>246</v>
      </c>
      <c r="BQ624" s="268">
        <v>32751</v>
      </c>
      <c r="BR624" s="252"/>
      <c r="BS624" s="253"/>
      <c r="BT624" s="267"/>
      <c r="BU624" s="268"/>
      <c r="BV624" s="252"/>
      <c r="BW624" s="253"/>
      <c r="BX624" s="267"/>
      <c r="BY624" s="268"/>
      <c r="BZ624" s="252"/>
      <c r="CA624" s="253"/>
      <c r="CB624" s="267"/>
      <c r="CC624" s="268"/>
      <c r="CD624" s="255">
        <f t="shared" si="100"/>
        <v>264</v>
      </c>
      <c r="CE624" s="256">
        <f t="shared" si="101"/>
        <v>8171848</v>
      </c>
      <c r="CF624" s="257">
        <f t="shared" si="102"/>
        <v>246</v>
      </c>
      <c r="CG624" s="261">
        <f t="shared" si="103"/>
        <v>7402450</v>
      </c>
    </row>
    <row r="625" spans="1:85" s="263" customFormat="1" ht="12.75" customHeight="1">
      <c r="A625" s="299" t="s">
        <v>77</v>
      </c>
      <c r="B625" s="417" t="s">
        <v>79</v>
      </c>
      <c r="C625" s="417"/>
      <c r="D625" s="301">
        <v>233921</v>
      </c>
      <c r="E625" s="302">
        <v>1</v>
      </c>
      <c r="F625" s="252">
        <v>1080</v>
      </c>
      <c r="G625" s="253">
        <v>9810101</v>
      </c>
      <c r="H625" s="267">
        <v>1059</v>
      </c>
      <c r="I625" s="268">
        <v>7778569</v>
      </c>
      <c r="J625" s="252">
        <v>1080</v>
      </c>
      <c r="K625" s="253">
        <v>10123920</v>
      </c>
      <c r="L625" s="267">
        <v>1059</v>
      </c>
      <c r="M625" s="268">
        <v>10270182</v>
      </c>
      <c r="N625" s="252"/>
      <c r="O625" s="253"/>
      <c r="P625" s="267"/>
      <c r="Q625" s="268"/>
      <c r="R625" s="252">
        <v>1080</v>
      </c>
      <c r="S625" s="253">
        <v>5329135</v>
      </c>
      <c r="T625" s="267">
        <v>1059</v>
      </c>
      <c r="U625" s="268">
        <v>5150224</v>
      </c>
      <c r="V625" s="252">
        <v>1080</v>
      </c>
      <c r="W625" s="253">
        <v>45067</v>
      </c>
      <c r="X625" s="267">
        <v>1059</v>
      </c>
      <c r="Y625" s="268">
        <v>234699</v>
      </c>
      <c r="Z625" s="252">
        <v>1080</v>
      </c>
      <c r="AA625" s="253">
        <v>768677</v>
      </c>
      <c r="AB625" s="267">
        <v>1059</v>
      </c>
      <c r="AC625" s="268">
        <v>742293</v>
      </c>
      <c r="AD625" s="252">
        <v>1080</v>
      </c>
      <c r="AE625" s="253">
        <v>488175</v>
      </c>
      <c r="AF625" s="267">
        <v>1059</v>
      </c>
      <c r="AG625" s="268">
        <v>654995</v>
      </c>
      <c r="AH625" s="252"/>
      <c r="AI625" s="253"/>
      <c r="AJ625" s="267"/>
      <c r="AK625" s="268"/>
      <c r="AL625" s="252"/>
      <c r="AM625" s="253"/>
      <c r="AN625" s="267"/>
      <c r="AO625" s="268"/>
      <c r="AP625" s="255">
        <f t="shared" si="96"/>
        <v>1080</v>
      </c>
      <c r="AQ625" s="256">
        <f t="shared" si="97"/>
        <v>26565075</v>
      </c>
      <c r="AR625" s="257">
        <f t="shared" si="98"/>
        <v>1059</v>
      </c>
      <c r="AS625" s="258">
        <f t="shared" si="99"/>
        <v>24830962</v>
      </c>
      <c r="AT625" s="259">
        <v>284</v>
      </c>
      <c r="AU625" s="253">
        <v>3885769</v>
      </c>
      <c r="AV625" s="267">
        <v>247</v>
      </c>
      <c r="AW625" s="268">
        <v>2810436</v>
      </c>
      <c r="AX625" s="252">
        <v>284</v>
      </c>
      <c r="AY625" s="253">
        <v>2662216</v>
      </c>
      <c r="AZ625" s="267">
        <v>247</v>
      </c>
      <c r="BA625" s="268">
        <v>2395406</v>
      </c>
      <c r="BB625" s="252"/>
      <c r="BC625" s="253"/>
      <c r="BD625" s="267"/>
      <c r="BE625" s="268"/>
      <c r="BF625" s="252">
        <v>284</v>
      </c>
      <c r="BG625" s="253">
        <v>1839581</v>
      </c>
      <c r="BH625" s="267">
        <v>247</v>
      </c>
      <c r="BI625" s="268">
        <v>1608505</v>
      </c>
      <c r="BJ625" s="252">
        <v>284</v>
      </c>
      <c r="BK625" s="253">
        <v>17837</v>
      </c>
      <c r="BL625" s="267">
        <v>247</v>
      </c>
      <c r="BM625" s="268">
        <v>84781</v>
      </c>
      <c r="BN625" s="252">
        <v>284</v>
      </c>
      <c r="BO625" s="253">
        <v>304161</v>
      </c>
      <c r="BP625" s="267">
        <v>247</v>
      </c>
      <c r="BQ625" s="268">
        <v>267852</v>
      </c>
      <c r="BR625" s="252">
        <v>284</v>
      </c>
      <c r="BS625" s="253">
        <v>193186</v>
      </c>
      <c r="BT625" s="267">
        <v>247</v>
      </c>
      <c r="BU625" s="268">
        <v>236347</v>
      </c>
      <c r="BV625" s="252"/>
      <c r="BW625" s="253"/>
      <c r="BX625" s="267"/>
      <c r="BY625" s="268"/>
      <c r="BZ625" s="252"/>
      <c r="CA625" s="253"/>
      <c r="CB625" s="267"/>
      <c r="CC625" s="268"/>
      <c r="CD625" s="255">
        <f t="shared" si="100"/>
        <v>284</v>
      </c>
      <c r="CE625" s="256">
        <f t="shared" si="101"/>
        <v>8902750</v>
      </c>
      <c r="CF625" s="257">
        <f t="shared" si="102"/>
        <v>247</v>
      </c>
      <c r="CG625" s="261">
        <f t="shared" si="103"/>
        <v>7403327</v>
      </c>
    </row>
    <row r="626" spans="1:85" s="263" customFormat="1" ht="12.75" customHeight="1">
      <c r="A626" s="299" t="s">
        <v>77</v>
      </c>
      <c r="B626" s="417" t="s">
        <v>80</v>
      </c>
      <c r="C626" s="417"/>
      <c r="D626" s="301">
        <v>231624</v>
      </c>
      <c r="E626" s="302">
        <v>2</v>
      </c>
      <c r="F626" s="252">
        <v>564</v>
      </c>
      <c r="G626" s="253">
        <v>5124649</v>
      </c>
      <c r="H626" s="267">
        <v>565</v>
      </c>
      <c r="I626" s="268">
        <v>5127622</v>
      </c>
      <c r="J626" s="252">
        <v>509</v>
      </c>
      <c r="K626" s="253">
        <v>4208556</v>
      </c>
      <c r="L626" s="267">
        <v>507</v>
      </c>
      <c r="M626" s="268">
        <v>4323108</v>
      </c>
      <c r="N626" s="252">
        <v>458</v>
      </c>
      <c r="O626" s="253">
        <v>151921</v>
      </c>
      <c r="P626" s="267">
        <v>462</v>
      </c>
      <c r="Q626" s="268">
        <v>48263</v>
      </c>
      <c r="R626" s="252">
        <v>563</v>
      </c>
      <c r="S626" s="253">
        <v>3409647</v>
      </c>
      <c r="T626" s="267">
        <v>564</v>
      </c>
      <c r="U626" s="268">
        <v>3409219</v>
      </c>
      <c r="V626" s="252"/>
      <c r="W626" s="253"/>
      <c r="X626" s="267"/>
      <c r="Y626" s="268"/>
      <c r="Z626" s="252">
        <v>562</v>
      </c>
      <c r="AA626" s="253">
        <v>382285</v>
      </c>
      <c r="AB626" s="267">
        <v>565</v>
      </c>
      <c r="AC626" s="268">
        <v>494545</v>
      </c>
      <c r="AD626" s="252"/>
      <c r="AE626" s="253"/>
      <c r="AF626" s="267"/>
      <c r="AG626" s="268"/>
      <c r="AH626" s="252"/>
      <c r="AI626" s="253"/>
      <c r="AJ626" s="267"/>
      <c r="AK626" s="268"/>
      <c r="AL626" s="252">
        <v>361</v>
      </c>
      <c r="AM626" s="253">
        <v>173280</v>
      </c>
      <c r="AN626" s="267">
        <v>431</v>
      </c>
      <c r="AO626" s="268">
        <v>103440</v>
      </c>
      <c r="AP626" s="255">
        <f t="shared" si="96"/>
        <v>564</v>
      </c>
      <c r="AQ626" s="256">
        <f t="shared" si="97"/>
        <v>13450338</v>
      </c>
      <c r="AR626" s="257">
        <f t="shared" si="98"/>
        <v>565</v>
      </c>
      <c r="AS626" s="258">
        <f t="shared" si="99"/>
        <v>13506197</v>
      </c>
      <c r="AT626" s="259">
        <v>48</v>
      </c>
      <c r="AU626" s="253">
        <v>563543</v>
      </c>
      <c r="AV626" s="267">
        <v>49</v>
      </c>
      <c r="AW626" s="268">
        <v>532494</v>
      </c>
      <c r="AX626" s="252">
        <v>45</v>
      </c>
      <c r="AY626" s="253">
        <v>390888</v>
      </c>
      <c r="AZ626" s="267">
        <v>45</v>
      </c>
      <c r="BA626" s="268">
        <v>394908</v>
      </c>
      <c r="BB626" s="252">
        <v>43</v>
      </c>
      <c r="BC626" s="253">
        <v>24313</v>
      </c>
      <c r="BD626" s="267">
        <v>41</v>
      </c>
      <c r="BE626" s="268">
        <v>5340</v>
      </c>
      <c r="BF626" s="252">
        <v>50</v>
      </c>
      <c r="BG626" s="253">
        <v>374228</v>
      </c>
      <c r="BH626" s="267">
        <v>49</v>
      </c>
      <c r="BI626" s="268">
        <v>362695</v>
      </c>
      <c r="BJ626" s="252"/>
      <c r="BK626" s="253"/>
      <c r="BL626" s="267"/>
      <c r="BM626" s="268"/>
      <c r="BN626" s="252">
        <v>50</v>
      </c>
      <c r="BO626" s="253">
        <v>41996</v>
      </c>
      <c r="BP626" s="267">
        <v>49</v>
      </c>
      <c r="BQ626" s="268">
        <v>51421</v>
      </c>
      <c r="BR626" s="252"/>
      <c r="BS626" s="253"/>
      <c r="BT626" s="267"/>
      <c r="BU626" s="268"/>
      <c r="BV626" s="252"/>
      <c r="BW626" s="253"/>
      <c r="BX626" s="267"/>
      <c r="BY626" s="268"/>
      <c r="BZ626" s="252">
        <v>41</v>
      </c>
      <c r="CA626" s="253">
        <v>19680</v>
      </c>
      <c r="CB626" s="267">
        <v>41</v>
      </c>
      <c r="CC626" s="268">
        <v>9840</v>
      </c>
      <c r="CD626" s="255">
        <f t="shared" si="100"/>
        <v>50</v>
      </c>
      <c r="CE626" s="256">
        <f t="shared" si="101"/>
        <v>1414648</v>
      </c>
      <c r="CF626" s="257">
        <f t="shared" si="102"/>
        <v>49</v>
      </c>
      <c r="CG626" s="261">
        <f t="shared" si="103"/>
        <v>1356698</v>
      </c>
    </row>
    <row r="627" spans="1:85" s="263" customFormat="1" ht="12.75" customHeight="1">
      <c r="A627" s="299" t="s">
        <v>77</v>
      </c>
      <c r="B627" s="414" t="s">
        <v>1081</v>
      </c>
      <c r="C627" s="414"/>
      <c r="D627" s="454">
        <v>234030</v>
      </c>
      <c r="E627" s="305">
        <v>2</v>
      </c>
      <c r="F627" s="252">
        <v>653</v>
      </c>
      <c r="G627" s="253">
        <v>5242859</v>
      </c>
      <c r="H627" s="267">
        <v>705</v>
      </c>
      <c r="I627" s="268">
        <v>4219840</v>
      </c>
      <c r="J627" s="252">
        <v>653</v>
      </c>
      <c r="K627" s="253">
        <v>5161759</v>
      </c>
      <c r="L627" s="267">
        <v>705</v>
      </c>
      <c r="M627" s="268">
        <v>5896697</v>
      </c>
      <c r="N627" s="252">
        <v>653</v>
      </c>
      <c r="O627" s="253">
        <v>372105</v>
      </c>
      <c r="P627" s="267">
        <v>705</v>
      </c>
      <c r="Q627" s="268">
        <v>110783</v>
      </c>
      <c r="R627" s="252">
        <v>653</v>
      </c>
      <c r="S627" s="253">
        <v>3372794</v>
      </c>
      <c r="T627" s="267">
        <v>705</v>
      </c>
      <c r="U627" s="268">
        <v>3681029</v>
      </c>
      <c r="V627" s="252">
        <v>653</v>
      </c>
      <c r="W627" s="253">
        <v>38165</v>
      </c>
      <c r="X627" s="267">
        <v>705</v>
      </c>
      <c r="Y627" s="268">
        <v>21008</v>
      </c>
      <c r="Z627" s="252">
        <v>653</v>
      </c>
      <c r="AA627" s="253">
        <v>376875</v>
      </c>
      <c r="AB627" s="267">
        <v>705</v>
      </c>
      <c r="AC627" s="268">
        <v>166175</v>
      </c>
      <c r="AD627" s="252">
        <v>653</v>
      </c>
      <c r="AE627" s="253">
        <v>190823</v>
      </c>
      <c r="AF627" s="267">
        <v>705</v>
      </c>
      <c r="AG627" s="268">
        <v>196389</v>
      </c>
      <c r="AH627" s="252"/>
      <c r="AI627" s="253"/>
      <c r="AJ627" s="267"/>
      <c r="AK627" s="268"/>
      <c r="AL627" s="252"/>
      <c r="AM627" s="253"/>
      <c r="AN627" s="267"/>
      <c r="AO627" s="268"/>
      <c r="AP627" s="255">
        <f t="shared" si="96"/>
        <v>653</v>
      </c>
      <c r="AQ627" s="256">
        <f t="shared" si="97"/>
        <v>14755380</v>
      </c>
      <c r="AR627" s="257">
        <f t="shared" si="98"/>
        <v>705</v>
      </c>
      <c r="AS627" s="258">
        <f t="shared" si="99"/>
        <v>14291921</v>
      </c>
      <c r="AT627" s="259">
        <v>443</v>
      </c>
      <c r="AU627" s="253">
        <v>4604110</v>
      </c>
      <c r="AV627" s="267">
        <v>401</v>
      </c>
      <c r="AW627" s="268">
        <v>3090792</v>
      </c>
      <c r="AX627" s="252">
        <v>443</v>
      </c>
      <c r="AY627" s="253">
        <v>4532891</v>
      </c>
      <c r="AZ627" s="267">
        <v>401</v>
      </c>
      <c r="BA627" s="268">
        <v>4318995</v>
      </c>
      <c r="BB627" s="252">
        <v>443</v>
      </c>
      <c r="BC627" s="253">
        <v>326770</v>
      </c>
      <c r="BD627" s="267">
        <v>401</v>
      </c>
      <c r="BE627" s="268">
        <v>8143</v>
      </c>
      <c r="BF627" s="252">
        <v>443</v>
      </c>
      <c r="BG627" s="253">
        <v>2961880</v>
      </c>
      <c r="BH627" s="267">
        <v>401</v>
      </c>
      <c r="BI627" s="268">
        <v>2696145</v>
      </c>
      <c r="BJ627" s="252">
        <v>443</v>
      </c>
      <c r="BK627" s="253">
        <v>33515</v>
      </c>
      <c r="BL627" s="267">
        <v>401</v>
      </c>
      <c r="BM627" s="268">
        <v>40571</v>
      </c>
      <c r="BN627" s="252">
        <v>443</v>
      </c>
      <c r="BO627" s="253">
        <v>330960</v>
      </c>
      <c r="BP627" s="267">
        <v>401</v>
      </c>
      <c r="BQ627" s="268">
        <v>121714</v>
      </c>
      <c r="BR627" s="252">
        <v>443</v>
      </c>
      <c r="BS627" s="253">
        <v>167575</v>
      </c>
      <c r="BT627" s="267">
        <v>401</v>
      </c>
      <c r="BU627" s="268">
        <v>143844</v>
      </c>
      <c r="BV627" s="252"/>
      <c r="BW627" s="253"/>
      <c r="BX627" s="267"/>
      <c r="BY627" s="268"/>
      <c r="BZ627" s="252"/>
      <c r="CA627" s="253"/>
      <c r="CB627" s="267"/>
      <c r="CC627" s="268"/>
      <c r="CD627" s="255">
        <f t="shared" si="100"/>
        <v>443</v>
      </c>
      <c r="CE627" s="256">
        <f t="shared" si="101"/>
        <v>12957701</v>
      </c>
      <c r="CF627" s="257">
        <f t="shared" si="102"/>
        <v>401</v>
      </c>
      <c r="CG627" s="261">
        <f t="shared" si="103"/>
        <v>10420204</v>
      </c>
    </row>
    <row r="628" spans="1:85" s="263" customFormat="1" ht="12.75" customHeight="1">
      <c r="A628" s="299" t="s">
        <v>77</v>
      </c>
      <c r="B628" s="417" t="s">
        <v>83</v>
      </c>
      <c r="C628" s="417"/>
      <c r="D628" s="301">
        <v>232423</v>
      </c>
      <c r="E628" s="302">
        <v>3</v>
      </c>
      <c r="F628" s="252">
        <v>803</v>
      </c>
      <c r="G628" s="253">
        <v>6560032</v>
      </c>
      <c r="H628" s="267">
        <v>808</v>
      </c>
      <c r="I628" s="268">
        <v>6476899</v>
      </c>
      <c r="J628" s="252">
        <v>803</v>
      </c>
      <c r="K628" s="253">
        <v>6306762</v>
      </c>
      <c r="L628" s="267">
        <v>808</v>
      </c>
      <c r="M628" s="268">
        <v>6564192</v>
      </c>
      <c r="N628" s="252">
        <v>803</v>
      </c>
      <c r="O628" s="253">
        <v>536129</v>
      </c>
      <c r="P628" s="267">
        <v>808</v>
      </c>
      <c r="Q628" s="268">
        <v>352973</v>
      </c>
      <c r="R628" s="252">
        <v>803</v>
      </c>
      <c r="S628" s="253">
        <v>4082637</v>
      </c>
      <c r="T628" s="267">
        <v>808</v>
      </c>
      <c r="U628" s="268">
        <v>4072359</v>
      </c>
      <c r="V628" s="252">
        <v>803</v>
      </c>
      <c r="W628" s="253">
        <v>13651</v>
      </c>
      <c r="X628" s="267">
        <v>808</v>
      </c>
      <c r="Y628" s="268">
        <v>55392</v>
      </c>
      <c r="Z628" s="252">
        <v>803</v>
      </c>
      <c r="AA628" s="253">
        <v>423542</v>
      </c>
      <c r="AB628" s="267">
        <v>808</v>
      </c>
      <c r="AC628" s="268">
        <v>545503</v>
      </c>
      <c r="AD628" s="252">
        <v>803</v>
      </c>
      <c r="AE628" s="253">
        <v>277838</v>
      </c>
      <c r="AF628" s="267">
        <v>808</v>
      </c>
      <c r="AG628" s="268">
        <v>274720</v>
      </c>
      <c r="AH628" s="252"/>
      <c r="AI628" s="253"/>
      <c r="AJ628" s="267"/>
      <c r="AK628" s="268"/>
      <c r="AL628" s="252"/>
      <c r="AM628" s="253"/>
      <c r="AN628" s="267"/>
      <c r="AO628" s="268"/>
      <c r="AP628" s="255">
        <f t="shared" si="96"/>
        <v>803</v>
      </c>
      <c r="AQ628" s="256">
        <f t="shared" si="97"/>
        <v>18200591</v>
      </c>
      <c r="AR628" s="257">
        <f t="shared" si="98"/>
        <v>808</v>
      </c>
      <c r="AS628" s="258">
        <f t="shared" si="99"/>
        <v>18342038</v>
      </c>
      <c r="AT628" s="259">
        <v>103</v>
      </c>
      <c r="AU628" s="253">
        <v>1189538</v>
      </c>
      <c r="AV628" s="267">
        <v>98</v>
      </c>
      <c r="AW628" s="268">
        <v>1172357</v>
      </c>
      <c r="AX628" s="252">
        <v>103</v>
      </c>
      <c r="AY628" s="253">
        <v>808962</v>
      </c>
      <c r="AZ628" s="267">
        <v>98</v>
      </c>
      <c r="BA628" s="268">
        <v>796152</v>
      </c>
      <c r="BB628" s="252">
        <v>103</v>
      </c>
      <c r="BC628" s="253">
        <v>98527</v>
      </c>
      <c r="BD628" s="267">
        <v>98</v>
      </c>
      <c r="BE628" s="268">
        <v>64006</v>
      </c>
      <c r="BF628" s="252">
        <v>103</v>
      </c>
      <c r="BG628" s="253">
        <v>715195</v>
      </c>
      <c r="BH628" s="267">
        <v>98</v>
      </c>
      <c r="BI628" s="268">
        <v>699588</v>
      </c>
      <c r="BJ628" s="252">
        <v>103</v>
      </c>
      <c r="BK628" s="253">
        <v>1751</v>
      </c>
      <c r="BL628" s="267">
        <v>98</v>
      </c>
      <c r="BM628" s="268">
        <v>2548</v>
      </c>
      <c r="BN628" s="252">
        <v>103</v>
      </c>
      <c r="BO628" s="253">
        <v>77836</v>
      </c>
      <c r="BP628" s="267">
        <v>98</v>
      </c>
      <c r="BQ628" s="268">
        <v>98919</v>
      </c>
      <c r="BR628" s="252">
        <v>103</v>
      </c>
      <c r="BS628" s="253">
        <v>35638</v>
      </c>
      <c r="BT628" s="267">
        <v>98</v>
      </c>
      <c r="BU628" s="268">
        <v>33320</v>
      </c>
      <c r="BV628" s="252"/>
      <c r="BW628" s="253"/>
      <c r="BX628" s="267"/>
      <c r="BY628" s="268"/>
      <c r="BZ628" s="252"/>
      <c r="CA628" s="253"/>
      <c r="CB628" s="267"/>
      <c r="CC628" s="268"/>
      <c r="CD628" s="255">
        <f t="shared" si="100"/>
        <v>103</v>
      </c>
      <c r="CE628" s="256">
        <f t="shared" si="101"/>
        <v>2927447</v>
      </c>
      <c r="CF628" s="257">
        <f t="shared" si="102"/>
        <v>98</v>
      </c>
      <c r="CG628" s="261">
        <f t="shared" si="103"/>
        <v>2866890</v>
      </c>
    </row>
    <row r="629" spans="1:85" s="263" customFormat="1" ht="12.75" customHeight="1">
      <c r="A629" s="299" t="s">
        <v>77</v>
      </c>
      <c r="B629" s="414" t="s">
        <v>86</v>
      </c>
      <c r="C629" s="414"/>
      <c r="D629" s="454">
        <v>232937</v>
      </c>
      <c r="E629" s="305">
        <v>3</v>
      </c>
      <c r="F629" s="252">
        <v>234</v>
      </c>
      <c r="G629" s="253">
        <v>1651508</v>
      </c>
      <c r="H629" s="267">
        <v>232</v>
      </c>
      <c r="I629" s="268">
        <v>1524249</v>
      </c>
      <c r="J629" s="252">
        <v>234</v>
      </c>
      <c r="K629" s="253">
        <v>1629420</v>
      </c>
      <c r="L629" s="267">
        <v>232</v>
      </c>
      <c r="M629" s="268">
        <v>1677360</v>
      </c>
      <c r="N629" s="252">
        <v>234</v>
      </c>
      <c r="O629" s="253">
        <v>151293</v>
      </c>
      <c r="P629" s="267">
        <v>232</v>
      </c>
      <c r="Q629" s="268">
        <v>99673</v>
      </c>
      <c r="R629" s="252">
        <v>234</v>
      </c>
      <c r="S629" s="253">
        <v>933520</v>
      </c>
      <c r="T629" s="267">
        <v>232</v>
      </c>
      <c r="U629" s="268">
        <v>931827</v>
      </c>
      <c r="V629" s="252"/>
      <c r="W629" s="253"/>
      <c r="X629" s="267"/>
      <c r="Y629" s="268"/>
      <c r="Z629" s="252"/>
      <c r="AA629" s="253"/>
      <c r="AB629" s="267"/>
      <c r="AC629" s="268"/>
      <c r="AD629" s="252"/>
      <c r="AE629" s="253"/>
      <c r="AF629" s="267"/>
      <c r="AG629" s="268"/>
      <c r="AH629" s="252"/>
      <c r="AI629" s="253"/>
      <c r="AJ629" s="267"/>
      <c r="AK629" s="268"/>
      <c r="AL629" s="252"/>
      <c r="AM629" s="253"/>
      <c r="AN629" s="267"/>
      <c r="AO629" s="268"/>
      <c r="AP629" s="255">
        <f t="shared" si="96"/>
        <v>234</v>
      </c>
      <c r="AQ629" s="256">
        <f t="shared" si="97"/>
        <v>4365741</v>
      </c>
      <c r="AR629" s="257">
        <f t="shared" si="98"/>
        <v>232</v>
      </c>
      <c r="AS629" s="258">
        <f t="shared" si="99"/>
        <v>4233109</v>
      </c>
      <c r="AT629" s="259">
        <v>36</v>
      </c>
      <c r="AU629" s="253">
        <v>330147</v>
      </c>
      <c r="AV629" s="267">
        <v>37</v>
      </c>
      <c r="AW629" s="268">
        <v>313115</v>
      </c>
      <c r="AX629" s="252">
        <v>36</v>
      </c>
      <c r="AY629" s="253">
        <v>282828</v>
      </c>
      <c r="AZ629" s="267">
        <v>37</v>
      </c>
      <c r="BA629" s="268">
        <v>293940</v>
      </c>
      <c r="BB629" s="252">
        <v>36</v>
      </c>
      <c r="BC629" s="253">
        <v>30232</v>
      </c>
      <c r="BD629" s="267">
        <v>37</v>
      </c>
      <c r="BE629" s="268">
        <v>20089</v>
      </c>
      <c r="BF629" s="252">
        <v>36</v>
      </c>
      <c r="BG629" s="253">
        <v>184952</v>
      </c>
      <c r="BH629" s="267">
        <v>37</v>
      </c>
      <c r="BI629" s="268">
        <v>185430</v>
      </c>
      <c r="BJ629" s="252"/>
      <c r="BK629" s="253"/>
      <c r="BL629" s="267"/>
      <c r="BM629" s="268"/>
      <c r="BN629" s="252"/>
      <c r="BO629" s="253"/>
      <c r="BP629" s="267"/>
      <c r="BQ629" s="268"/>
      <c r="BR629" s="252"/>
      <c r="BS629" s="253"/>
      <c r="BT629" s="267"/>
      <c r="BU629" s="268"/>
      <c r="BV629" s="252"/>
      <c r="BW629" s="253"/>
      <c r="BX629" s="267"/>
      <c r="BY629" s="268"/>
      <c r="BZ629" s="252"/>
      <c r="CA629" s="253"/>
      <c r="CB629" s="267"/>
      <c r="CC629" s="268"/>
      <c r="CD629" s="255">
        <f t="shared" si="100"/>
        <v>36</v>
      </c>
      <c r="CE629" s="256">
        <f t="shared" si="101"/>
        <v>828159</v>
      </c>
      <c r="CF629" s="257">
        <f t="shared" si="102"/>
        <v>37</v>
      </c>
      <c r="CG629" s="261">
        <f t="shared" si="103"/>
        <v>812574</v>
      </c>
    </row>
    <row r="630" spans="1:85" s="263" customFormat="1" ht="12.75" customHeight="1">
      <c r="A630" s="299" t="s">
        <v>77</v>
      </c>
      <c r="B630" s="414" t="s">
        <v>84</v>
      </c>
      <c r="C630" s="414"/>
      <c r="D630" s="454">
        <v>233277</v>
      </c>
      <c r="E630" s="305">
        <v>4</v>
      </c>
      <c r="F630" s="252">
        <v>382</v>
      </c>
      <c r="G630" s="253">
        <v>2638460</v>
      </c>
      <c r="H630" s="267">
        <v>386</v>
      </c>
      <c r="I630" s="268">
        <v>2654508</v>
      </c>
      <c r="J630" s="252">
        <v>353</v>
      </c>
      <c r="K630" s="253">
        <v>2897771</v>
      </c>
      <c r="L630" s="267">
        <v>357</v>
      </c>
      <c r="M630" s="268">
        <v>2991566</v>
      </c>
      <c r="N630" s="252"/>
      <c r="O630" s="253"/>
      <c r="P630" s="267"/>
      <c r="Q630" s="268"/>
      <c r="R630" s="252">
        <v>382</v>
      </c>
      <c r="S630" s="253">
        <v>1881302</v>
      </c>
      <c r="T630" s="267">
        <v>386</v>
      </c>
      <c r="U630" s="268">
        <v>1889958</v>
      </c>
      <c r="V630" s="252"/>
      <c r="W630" s="253"/>
      <c r="X630" s="267"/>
      <c r="Y630" s="268"/>
      <c r="Z630" s="252">
        <v>382</v>
      </c>
      <c r="AA630" s="253">
        <v>194310</v>
      </c>
      <c r="AB630" s="267">
        <v>386</v>
      </c>
      <c r="AC630" s="268">
        <v>251994</v>
      </c>
      <c r="AD630" s="252"/>
      <c r="AE630" s="253"/>
      <c r="AF630" s="267"/>
      <c r="AG630" s="268"/>
      <c r="AH630" s="252"/>
      <c r="AI630" s="253"/>
      <c r="AJ630" s="267"/>
      <c r="AK630" s="268"/>
      <c r="AL630" s="252"/>
      <c r="AM630" s="253"/>
      <c r="AN630" s="267"/>
      <c r="AO630" s="268"/>
      <c r="AP630" s="255">
        <f t="shared" si="96"/>
        <v>382</v>
      </c>
      <c r="AQ630" s="256">
        <f t="shared" si="97"/>
        <v>7611843</v>
      </c>
      <c r="AR630" s="257">
        <f t="shared" si="98"/>
        <v>386</v>
      </c>
      <c r="AS630" s="258">
        <f t="shared" si="99"/>
        <v>7788026</v>
      </c>
      <c r="AT630" s="259">
        <v>5</v>
      </c>
      <c r="AU630" s="253">
        <v>46682</v>
      </c>
      <c r="AV630" s="267">
        <v>7</v>
      </c>
      <c r="AW630" s="268">
        <v>67147</v>
      </c>
      <c r="AX630" s="252">
        <v>5</v>
      </c>
      <c r="AY630" s="253">
        <v>40068</v>
      </c>
      <c r="AZ630" s="267">
        <v>6</v>
      </c>
      <c r="BA630" s="268">
        <v>45912</v>
      </c>
      <c r="BB630" s="252"/>
      <c r="BC630" s="253"/>
      <c r="BD630" s="267"/>
      <c r="BE630" s="268"/>
      <c r="BF630" s="252">
        <v>5</v>
      </c>
      <c r="BG630" s="253">
        <v>32052</v>
      </c>
      <c r="BH630" s="267">
        <v>7</v>
      </c>
      <c r="BI630" s="268">
        <v>46745</v>
      </c>
      <c r="BJ630" s="252"/>
      <c r="BK630" s="253"/>
      <c r="BL630" s="267"/>
      <c r="BM630" s="268"/>
      <c r="BN630" s="252">
        <v>5</v>
      </c>
      <c r="BO630" s="253">
        <v>3310</v>
      </c>
      <c r="BP630" s="267">
        <v>7</v>
      </c>
      <c r="BQ630" s="268">
        <v>6233</v>
      </c>
      <c r="BR630" s="252"/>
      <c r="BS630" s="253"/>
      <c r="BT630" s="267"/>
      <c r="BU630" s="268"/>
      <c r="BV630" s="252"/>
      <c r="BW630" s="253"/>
      <c r="BX630" s="267"/>
      <c r="BY630" s="268"/>
      <c r="BZ630" s="252"/>
      <c r="CA630" s="253"/>
      <c r="CB630" s="267"/>
      <c r="CC630" s="268"/>
      <c r="CD630" s="255">
        <f t="shared" si="100"/>
        <v>5</v>
      </c>
      <c r="CE630" s="256">
        <f t="shared" si="101"/>
        <v>122112</v>
      </c>
      <c r="CF630" s="257">
        <f t="shared" si="102"/>
        <v>7</v>
      </c>
      <c r="CG630" s="261">
        <f t="shared" si="103"/>
        <v>166037</v>
      </c>
    </row>
    <row r="631" spans="1:85" s="263" customFormat="1" ht="12.75" customHeight="1">
      <c r="A631" s="299" t="s">
        <v>77</v>
      </c>
      <c r="B631" s="452" t="s">
        <v>87</v>
      </c>
      <c r="C631" s="452"/>
      <c r="D631" s="301">
        <v>234155</v>
      </c>
      <c r="E631" s="302">
        <v>4</v>
      </c>
      <c r="F631" s="252">
        <v>210</v>
      </c>
      <c r="G631" s="253">
        <v>1465366</v>
      </c>
      <c r="H631" s="267">
        <v>188</v>
      </c>
      <c r="I631" s="268">
        <v>1319492</v>
      </c>
      <c r="J631" s="252">
        <v>193</v>
      </c>
      <c r="K631" s="253">
        <v>1561608</v>
      </c>
      <c r="L631" s="267">
        <v>173</v>
      </c>
      <c r="M631" s="268">
        <v>1414102</v>
      </c>
      <c r="N631" s="252"/>
      <c r="O631" s="253"/>
      <c r="P631" s="267"/>
      <c r="Q631" s="268"/>
      <c r="R631" s="252">
        <v>210</v>
      </c>
      <c r="S631" s="253">
        <v>1039056</v>
      </c>
      <c r="T631" s="267">
        <v>188</v>
      </c>
      <c r="U631" s="268">
        <v>901836</v>
      </c>
      <c r="V631" s="252"/>
      <c r="W631" s="253"/>
      <c r="X631" s="267"/>
      <c r="Y631" s="268"/>
      <c r="Z631" s="252">
        <v>210</v>
      </c>
      <c r="AA631" s="253">
        <v>107301</v>
      </c>
      <c r="AB631" s="267">
        <v>188</v>
      </c>
      <c r="AC631" s="268">
        <v>109792</v>
      </c>
      <c r="AD631" s="252"/>
      <c r="AE631" s="253"/>
      <c r="AF631" s="267"/>
      <c r="AG631" s="268"/>
      <c r="AH631" s="252"/>
      <c r="AI631" s="253"/>
      <c r="AJ631" s="267"/>
      <c r="AK631" s="268"/>
      <c r="AL631" s="252"/>
      <c r="AM631" s="253"/>
      <c r="AN631" s="267"/>
      <c r="AO631" s="268"/>
      <c r="AP631" s="255">
        <f t="shared" si="96"/>
        <v>210</v>
      </c>
      <c r="AQ631" s="256">
        <f t="shared" si="97"/>
        <v>4173331</v>
      </c>
      <c r="AR631" s="257">
        <f t="shared" si="98"/>
        <v>188</v>
      </c>
      <c r="AS631" s="258">
        <f t="shared" si="99"/>
        <v>3745222</v>
      </c>
      <c r="AT631" s="259">
        <v>37</v>
      </c>
      <c r="AU631" s="253">
        <v>359024</v>
      </c>
      <c r="AV631" s="267">
        <v>59</v>
      </c>
      <c r="AW631" s="268">
        <v>414621</v>
      </c>
      <c r="AX631" s="252">
        <v>35</v>
      </c>
      <c r="AY631" s="253">
        <v>264156</v>
      </c>
      <c r="AZ631" s="267">
        <v>55</v>
      </c>
      <c r="BA631" s="268">
        <v>449570</v>
      </c>
      <c r="BB631" s="252"/>
      <c r="BC631" s="253"/>
      <c r="BD631" s="267"/>
      <c r="BE631" s="268"/>
      <c r="BF631" s="252">
        <v>37</v>
      </c>
      <c r="BG631" s="253">
        <v>243919</v>
      </c>
      <c r="BH631" s="267">
        <v>59</v>
      </c>
      <c r="BI631" s="268">
        <v>283023</v>
      </c>
      <c r="BJ631" s="252"/>
      <c r="BK631" s="253"/>
      <c r="BL631" s="267"/>
      <c r="BM631" s="268"/>
      <c r="BN631" s="252">
        <v>37</v>
      </c>
      <c r="BO631" s="253">
        <v>25189</v>
      </c>
      <c r="BP631" s="267">
        <v>59</v>
      </c>
      <c r="BQ631" s="268">
        <v>34456</v>
      </c>
      <c r="BR631" s="252"/>
      <c r="BS631" s="253"/>
      <c r="BT631" s="267"/>
      <c r="BU631" s="268"/>
      <c r="BV631" s="252"/>
      <c r="BW631" s="253"/>
      <c r="BX631" s="267"/>
      <c r="BY631" s="268"/>
      <c r="BZ631" s="252"/>
      <c r="CA631" s="253"/>
      <c r="CB631" s="267"/>
      <c r="CC631" s="268"/>
      <c r="CD631" s="255">
        <f t="shared" si="100"/>
        <v>37</v>
      </c>
      <c r="CE631" s="256">
        <f t="shared" si="101"/>
        <v>892288</v>
      </c>
      <c r="CF631" s="257">
        <f t="shared" si="102"/>
        <v>59</v>
      </c>
      <c r="CG631" s="261">
        <f t="shared" si="103"/>
        <v>1181670</v>
      </c>
    </row>
    <row r="632" spans="1:85" s="263" customFormat="1" ht="12.75" customHeight="1">
      <c r="A632" s="299" t="s">
        <v>77</v>
      </c>
      <c r="B632" s="414" t="s">
        <v>85</v>
      </c>
      <c r="C632" s="414"/>
      <c r="D632" s="454">
        <v>231712</v>
      </c>
      <c r="E632" s="305">
        <v>5</v>
      </c>
      <c r="F632" s="252">
        <v>234</v>
      </c>
      <c r="G632" s="253">
        <v>1706812</v>
      </c>
      <c r="H632" s="267">
        <v>243</v>
      </c>
      <c r="I632" s="268">
        <v>1747066</v>
      </c>
      <c r="J632" s="252">
        <v>216</v>
      </c>
      <c r="K632" s="253">
        <v>1825620</v>
      </c>
      <c r="L632" s="267">
        <v>223</v>
      </c>
      <c r="M632" s="268">
        <v>1908012</v>
      </c>
      <c r="N632" s="252">
        <v>78</v>
      </c>
      <c r="O632" s="253">
        <v>53597</v>
      </c>
      <c r="P632" s="267">
        <v>148</v>
      </c>
      <c r="Q632" s="268">
        <v>382634</v>
      </c>
      <c r="R632" s="252">
        <v>234</v>
      </c>
      <c r="S632" s="253">
        <v>1221587</v>
      </c>
      <c r="T632" s="267">
        <v>243</v>
      </c>
      <c r="U632" s="268">
        <v>1242832</v>
      </c>
      <c r="V632" s="252"/>
      <c r="W632" s="253"/>
      <c r="X632" s="267"/>
      <c r="Y632" s="268"/>
      <c r="Z632" s="252">
        <v>234</v>
      </c>
      <c r="AA632" s="253">
        <v>126151</v>
      </c>
      <c r="AB632" s="267">
        <v>243</v>
      </c>
      <c r="AC632" s="268">
        <v>165711</v>
      </c>
      <c r="AD632" s="252"/>
      <c r="AE632" s="253"/>
      <c r="AF632" s="267"/>
      <c r="AG632" s="268"/>
      <c r="AH632" s="252"/>
      <c r="AI632" s="253"/>
      <c r="AJ632" s="267"/>
      <c r="AK632" s="268"/>
      <c r="AL632" s="252"/>
      <c r="AM632" s="253"/>
      <c r="AN632" s="267"/>
      <c r="AO632" s="268"/>
      <c r="AP632" s="255">
        <f t="shared" si="96"/>
        <v>234</v>
      </c>
      <c r="AQ632" s="256">
        <f t="shared" si="97"/>
        <v>4933767</v>
      </c>
      <c r="AR632" s="257">
        <f t="shared" si="98"/>
        <v>243</v>
      </c>
      <c r="AS632" s="258">
        <f t="shared" si="99"/>
        <v>5446255</v>
      </c>
      <c r="AT632" s="259"/>
      <c r="AU632" s="253"/>
      <c r="AV632" s="267"/>
      <c r="AW632" s="268"/>
      <c r="AX632" s="252"/>
      <c r="AY632" s="253"/>
      <c r="AZ632" s="267"/>
      <c r="BA632" s="268"/>
      <c r="BB632" s="252"/>
      <c r="BC632" s="253"/>
      <c r="BD632" s="267"/>
      <c r="BE632" s="268"/>
      <c r="BF632" s="252"/>
      <c r="BG632" s="253"/>
      <c r="BH632" s="267"/>
      <c r="BI632" s="268"/>
      <c r="BJ632" s="252"/>
      <c r="BK632" s="253"/>
      <c r="BL632" s="267"/>
      <c r="BM632" s="268"/>
      <c r="BN632" s="252"/>
      <c r="BO632" s="253"/>
      <c r="BP632" s="267"/>
      <c r="BQ632" s="268"/>
      <c r="BR632" s="252"/>
      <c r="BS632" s="253"/>
      <c r="BT632" s="267"/>
      <c r="BU632" s="268"/>
      <c r="BV632" s="252"/>
      <c r="BW632" s="253"/>
      <c r="BX632" s="267"/>
      <c r="BY632" s="268"/>
      <c r="BZ632" s="252"/>
      <c r="CA632" s="253"/>
      <c r="CB632" s="267"/>
      <c r="CC632" s="268"/>
      <c r="CD632" s="255">
        <f t="shared" si="100"/>
        <v>0</v>
      </c>
      <c r="CE632" s="256">
        <f t="shared" si="101"/>
        <v>0</v>
      </c>
      <c r="CF632" s="257">
        <f t="shared" si="102"/>
        <v>0</v>
      </c>
      <c r="CG632" s="261">
        <f t="shared" si="103"/>
        <v>0</v>
      </c>
    </row>
    <row r="633" spans="1:85" s="263" customFormat="1" ht="12.75" customHeight="1">
      <c r="A633" s="299" t="s">
        <v>77</v>
      </c>
      <c r="B633" s="511" t="s">
        <v>9</v>
      </c>
      <c r="C633" s="540" t="s">
        <v>1274</v>
      </c>
      <c r="D633" s="301">
        <v>232566</v>
      </c>
      <c r="E633" s="512">
        <v>4</v>
      </c>
      <c r="F633" s="252">
        <v>204</v>
      </c>
      <c r="G633" s="253">
        <v>1309452</v>
      </c>
      <c r="H633" s="267">
        <v>211</v>
      </c>
      <c r="I633" s="268">
        <v>1383143</v>
      </c>
      <c r="J633" s="252">
        <v>193</v>
      </c>
      <c r="K633" s="253">
        <v>1550520</v>
      </c>
      <c r="L633" s="267">
        <v>199</v>
      </c>
      <c r="M633" s="268">
        <v>1623324</v>
      </c>
      <c r="N633" s="252">
        <v>69</v>
      </c>
      <c r="O633" s="253">
        <v>42653</v>
      </c>
      <c r="P633" s="267">
        <v>78</v>
      </c>
      <c r="Q633" s="268">
        <v>30978</v>
      </c>
      <c r="R633" s="252">
        <v>207</v>
      </c>
      <c r="S633" s="253">
        <v>948392</v>
      </c>
      <c r="T633" s="267">
        <v>214</v>
      </c>
      <c r="U633" s="268">
        <v>988842</v>
      </c>
      <c r="V633" s="252"/>
      <c r="W633" s="253"/>
      <c r="X633" s="267"/>
      <c r="Y633" s="268"/>
      <c r="Z633" s="252">
        <v>205</v>
      </c>
      <c r="AA633" s="253">
        <v>96682</v>
      </c>
      <c r="AB633" s="267">
        <v>211</v>
      </c>
      <c r="AC633" s="268">
        <v>130222</v>
      </c>
      <c r="AD633" s="252"/>
      <c r="AE633" s="253"/>
      <c r="AF633" s="267"/>
      <c r="AG633" s="268"/>
      <c r="AH633" s="252"/>
      <c r="AI633" s="253"/>
      <c r="AJ633" s="267"/>
      <c r="AK633" s="268"/>
      <c r="AL633" s="252"/>
      <c r="AM633" s="253"/>
      <c r="AN633" s="267"/>
      <c r="AO633" s="268"/>
      <c r="AP633" s="255">
        <f t="shared" si="96"/>
        <v>207</v>
      </c>
      <c r="AQ633" s="256">
        <f t="shared" si="97"/>
        <v>3947699</v>
      </c>
      <c r="AR633" s="257">
        <f t="shared" si="98"/>
        <v>214</v>
      </c>
      <c r="AS633" s="258">
        <f t="shared" si="99"/>
        <v>4156509</v>
      </c>
      <c r="AT633" s="259"/>
      <c r="AU633" s="253"/>
      <c r="AV633" s="267"/>
      <c r="AW633" s="268"/>
      <c r="AX633" s="252"/>
      <c r="AY633" s="253"/>
      <c r="AZ633" s="267"/>
      <c r="BA633" s="268"/>
      <c r="BB633" s="252"/>
      <c r="BC633" s="253"/>
      <c r="BD633" s="267"/>
      <c r="BE633" s="268"/>
      <c r="BF633" s="252"/>
      <c r="BG633" s="253"/>
      <c r="BH633" s="267"/>
      <c r="BI633" s="268"/>
      <c r="BJ633" s="252"/>
      <c r="BK633" s="253"/>
      <c r="BL633" s="267"/>
      <c r="BM633" s="268"/>
      <c r="BN633" s="252"/>
      <c r="BO633" s="253"/>
      <c r="BP633" s="267"/>
      <c r="BQ633" s="268"/>
      <c r="BR633" s="252"/>
      <c r="BS633" s="253"/>
      <c r="BT633" s="267"/>
      <c r="BU633" s="268"/>
      <c r="BV633" s="252"/>
      <c r="BW633" s="253"/>
      <c r="BX633" s="267"/>
      <c r="BY633" s="268"/>
      <c r="BZ633" s="252"/>
      <c r="CA633" s="253"/>
      <c r="CB633" s="267"/>
      <c r="CC633" s="268"/>
      <c r="CD633" s="255">
        <f t="shared" si="100"/>
        <v>0</v>
      </c>
      <c r="CE633" s="256">
        <f t="shared" si="101"/>
        <v>0</v>
      </c>
      <c r="CF633" s="257">
        <f t="shared" si="102"/>
        <v>0</v>
      </c>
      <c r="CG633" s="261">
        <f t="shared" si="103"/>
        <v>0</v>
      </c>
    </row>
    <row r="634" spans="1:85" s="263" customFormat="1" ht="12.75" customHeight="1">
      <c r="A634" s="299" t="s">
        <v>77</v>
      </c>
      <c r="B634" s="417" t="s">
        <v>88</v>
      </c>
      <c r="C634" s="417"/>
      <c r="D634" s="301">
        <v>232681</v>
      </c>
      <c r="E634" s="302">
        <v>5</v>
      </c>
      <c r="F634" s="252">
        <v>216</v>
      </c>
      <c r="G634" s="253">
        <v>1766692</v>
      </c>
      <c r="H634" s="267">
        <v>216</v>
      </c>
      <c r="I634" s="268">
        <v>1723402</v>
      </c>
      <c r="J634" s="252">
        <v>194</v>
      </c>
      <c r="K634" s="253">
        <v>1540956</v>
      </c>
      <c r="L634" s="267">
        <v>195</v>
      </c>
      <c r="M634" s="268">
        <v>1554192</v>
      </c>
      <c r="N634" s="252">
        <v>185</v>
      </c>
      <c r="O634" s="253">
        <v>30361</v>
      </c>
      <c r="P634" s="267">
        <v>187</v>
      </c>
      <c r="Q634" s="268">
        <v>30852</v>
      </c>
      <c r="R634" s="252">
        <v>216</v>
      </c>
      <c r="S634" s="253">
        <v>1107154</v>
      </c>
      <c r="T634" s="267">
        <v>216</v>
      </c>
      <c r="U634" s="268">
        <v>1099291</v>
      </c>
      <c r="V634" s="252"/>
      <c r="W634" s="253"/>
      <c r="X634" s="267"/>
      <c r="Y634" s="268"/>
      <c r="Z634" s="252">
        <v>216</v>
      </c>
      <c r="AA634" s="253">
        <v>115100</v>
      </c>
      <c r="AB634" s="267">
        <v>216</v>
      </c>
      <c r="AC634" s="268">
        <v>147322</v>
      </c>
      <c r="AD634" s="252"/>
      <c r="AE634" s="253"/>
      <c r="AF634" s="267"/>
      <c r="AG634" s="268"/>
      <c r="AH634" s="252"/>
      <c r="AI634" s="253"/>
      <c r="AJ634" s="267"/>
      <c r="AK634" s="268"/>
      <c r="AL634" s="252"/>
      <c r="AM634" s="253"/>
      <c r="AN634" s="267"/>
      <c r="AO634" s="268"/>
      <c r="AP634" s="255">
        <f t="shared" si="96"/>
        <v>216</v>
      </c>
      <c r="AQ634" s="256">
        <f t="shared" si="97"/>
        <v>4560263</v>
      </c>
      <c r="AR634" s="257">
        <f t="shared" si="98"/>
        <v>216</v>
      </c>
      <c r="AS634" s="258">
        <f t="shared" si="99"/>
        <v>4555059</v>
      </c>
      <c r="AT634" s="259">
        <v>26</v>
      </c>
      <c r="AU634" s="253">
        <v>241715</v>
      </c>
      <c r="AV634" s="267">
        <v>23</v>
      </c>
      <c r="AW634" s="268">
        <v>207002</v>
      </c>
      <c r="AX634" s="252">
        <v>21</v>
      </c>
      <c r="AY634" s="253">
        <v>140304</v>
      </c>
      <c r="AZ634" s="267">
        <v>20</v>
      </c>
      <c r="BA634" s="268">
        <v>143604</v>
      </c>
      <c r="BB634" s="252">
        <v>22</v>
      </c>
      <c r="BC634" s="253">
        <v>3863</v>
      </c>
      <c r="BD634" s="267">
        <v>23</v>
      </c>
      <c r="BE634" s="268">
        <v>3638</v>
      </c>
      <c r="BF634" s="252">
        <v>26</v>
      </c>
      <c r="BG634" s="253">
        <v>148243</v>
      </c>
      <c r="BH634" s="267">
        <v>23</v>
      </c>
      <c r="BI634" s="268">
        <v>128012</v>
      </c>
      <c r="BJ634" s="252"/>
      <c r="BK634" s="253"/>
      <c r="BL634" s="267"/>
      <c r="BM634" s="268"/>
      <c r="BN634" s="252">
        <v>26</v>
      </c>
      <c r="BO634" s="253">
        <v>15731</v>
      </c>
      <c r="BP634" s="267">
        <v>23</v>
      </c>
      <c r="BQ634" s="268">
        <v>17068</v>
      </c>
      <c r="BR634" s="252"/>
      <c r="BS634" s="253"/>
      <c r="BT634" s="267"/>
      <c r="BU634" s="268"/>
      <c r="BV634" s="252"/>
      <c r="BW634" s="253"/>
      <c r="BX634" s="267"/>
      <c r="BY634" s="268"/>
      <c r="BZ634" s="252"/>
      <c r="CA634" s="253"/>
      <c r="CB634" s="267"/>
      <c r="CC634" s="268"/>
      <c r="CD634" s="255">
        <f t="shared" si="100"/>
        <v>26</v>
      </c>
      <c r="CE634" s="256">
        <f t="shared" si="101"/>
        <v>549856</v>
      </c>
      <c r="CF634" s="257">
        <f t="shared" si="102"/>
        <v>23</v>
      </c>
      <c r="CG634" s="261">
        <f t="shared" si="103"/>
        <v>499324</v>
      </c>
    </row>
    <row r="635" spans="1:85" s="263" customFormat="1" ht="12.75" customHeight="1">
      <c r="A635" s="299" t="s">
        <v>77</v>
      </c>
      <c r="B635" s="417" t="s">
        <v>89</v>
      </c>
      <c r="C635" s="417"/>
      <c r="D635" s="301">
        <v>233897</v>
      </c>
      <c r="E635" s="302">
        <v>6</v>
      </c>
      <c r="F635" s="252">
        <v>93</v>
      </c>
      <c r="G635" s="253">
        <v>559239</v>
      </c>
      <c r="H635" s="267">
        <v>89</v>
      </c>
      <c r="I635" s="268">
        <v>536181</v>
      </c>
      <c r="J635" s="252">
        <v>89</v>
      </c>
      <c r="K635" s="253">
        <v>754116</v>
      </c>
      <c r="L635" s="267">
        <v>83</v>
      </c>
      <c r="M635" s="268">
        <v>692328</v>
      </c>
      <c r="N635" s="252"/>
      <c r="O635" s="253"/>
      <c r="P635" s="267"/>
      <c r="Q635" s="268"/>
      <c r="R635" s="252">
        <v>93</v>
      </c>
      <c r="S635" s="253">
        <v>404042</v>
      </c>
      <c r="T635" s="267">
        <v>89</v>
      </c>
      <c r="U635" s="268">
        <v>393095</v>
      </c>
      <c r="V635" s="252"/>
      <c r="W635" s="253"/>
      <c r="X635" s="267"/>
      <c r="Y635" s="268"/>
      <c r="Z635" s="252">
        <v>93</v>
      </c>
      <c r="AA635" s="253">
        <v>52816</v>
      </c>
      <c r="AB635" s="267">
        <v>89</v>
      </c>
      <c r="AC635" s="268">
        <v>51385</v>
      </c>
      <c r="AD635" s="252"/>
      <c r="AE635" s="253"/>
      <c r="AF635" s="267"/>
      <c r="AG635" s="268"/>
      <c r="AH635" s="252"/>
      <c r="AI635" s="253"/>
      <c r="AJ635" s="267"/>
      <c r="AK635" s="268"/>
      <c r="AL635" s="252"/>
      <c r="AM635" s="253"/>
      <c r="AN635" s="267"/>
      <c r="AO635" s="268"/>
      <c r="AP635" s="255">
        <f t="shared" si="96"/>
        <v>93</v>
      </c>
      <c r="AQ635" s="256">
        <f t="shared" si="97"/>
        <v>1770213</v>
      </c>
      <c r="AR635" s="257">
        <f t="shared" si="98"/>
        <v>89</v>
      </c>
      <c r="AS635" s="258">
        <f t="shared" si="99"/>
        <v>1672989</v>
      </c>
      <c r="AT635" s="259"/>
      <c r="AU635" s="253"/>
      <c r="AV635" s="267">
        <v>2</v>
      </c>
      <c r="AW635" s="268">
        <v>17399</v>
      </c>
      <c r="AX635" s="252"/>
      <c r="AY635" s="253"/>
      <c r="AZ635" s="267">
        <v>2</v>
      </c>
      <c r="BA635" s="268">
        <v>23376</v>
      </c>
      <c r="BB635" s="252"/>
      <c r="BC635" s="253"/>
      <c r="BD635" s="267"/>
      <c r="BE635" s="268"/>
      <c r="BF635" s="252"/>
      <c r="BG635" s="253"/>
      <c r="BH635" s="267">
        <v>2</v>
      </c>
      <c r="BI635" s="268">
        <v>12798</v>
      </c>
      <c r="BJ635" s="252"/>
      <c r="BK635" s="253"/>
      <c r="BL635" s="267"/>
      <c r="BM635" s="268"/>
      <c r="BN635" s="252"/>
      <c r="BO635" s="253"/>
      <c r="BP635" s="267">
        <v>2</v>
      </c>
      <c r="BQ635" s="268">
        <v>1673</v>
      </c>
      <c r="BR635" s="252"/>
      <c r="BS635" s="253"/>
      <c r="BT635" s="267"/>
      <c r="BU635" s="268"/>
      <c r="BV635" s="252"/>
      <c r="BW635" s="253"/>
      <c r="BX635" s="267"/>
      <c r="BY635" s="268"/>
      <c r="BZ635" s="252"/>
      <c r="CA635" s="253"/>
      <c r="CB635" s="267"/>
      <c r="CC635" s="268"/>
      <c r="CD635" s="255">
        <f t="shared" si="100"/>
        <v>0</v>
      </c>
      <c r="CE635" s="256">
        <f t="shared" si="101"/>
        <v>0</v>
      </c>
      <c r="CF635" s="257">
        <f t="shared" si="102"/>
        <v>2</v>
      </c>
      <c r="CG635" s="261">
        <f t="shared" si="103"/>
        <v>55246</v>
      </c>
    </row>
    <row r="636" spans="1:85" s="263" customFormat="1" ht="12.75" customHeight="1">
      <c r="A636" s="299" t="s">
        <v>77</v>
      </c>
      <c r="B636" s="417" t="s">
        <v>90</v>
      </c>
      <c r="C636" s="417"/>
      <c r="D636" s="301">
        <v>232414</v>
      </c>
      <c r="E636" s="302">
        <v>8</v>
      </c>
      <c r="F636" s="252"/>
      <c r="G636" s="253"/>
      <c r="H636" s="267"/>
      <c r="I636" s="268"/>
      <c r="J636" s="252"/>
      <c r="K636" s="253"/>
      <c r="L636" s="267"/>
      <c r="M636" s="268"/>
      <c r="N636" s="252"/>
      <c r="O636" s="253"/>
      <c r="P636" s="267"/>
      <c r="Q636" s="268"/>
      <c r="R636" s="252"/>
      <c r="S636" s="253"/>
      <c r="T636" s="267"/>
      <c r="U636" s="268"/>
      <c r="V636" s="252"/>
      <c r="W636" s="253"/>
      <c r="X636" s="267"/>
      <c r="Y636" s="268"/>
      <c r="Z636" s="252"/>
      <c r="AA636" s="253"/>
      <c r="AB636" s="267"/>
      <c r="AC636" s="268"/>
      <c r="AD636" s="252"/>
      <c r="AE636" s="253"/>
      <c r="AF636" s="267"/>
      <c r="AG636" s="268"/>
      <c r="AH636" s="252"/>
      <c r="AI636" s="253"/>
      <c r="AJ636" s="267"/>
      <c r="AK636" s="268"/>
      <c r="AL636" s="252"/>
      <c r="AM636" s="253"/>
      <c r="AN636" s="267"/>
      <c r="AO636" s="268"/>
      <c r="AP636" s="255">
        <f t="shared" si="96"/>
        <v>0</v>
      </c>
      <c r="AQ636" s="256">
        <f t="shared" si="97"/>
        <v>0</v>
      </c>
      <c r="AR636" s="257">
        <f t="shared" si="98"/>
        <v>0</v>
      </c>
      <c r="AS636" s="258">
        <f t="shared" si="99"/>
        <v>0</v>
      </c>
      <c r="AT636" s="259"/>
      <c r="AU636" s="253"/>
      <c r="AV636" s="267"/>
      <c r="AW636" s="268"/>
      <c r="AX636" s="252"/>
      <c r="AY636" s="253"/>
      <c r="AZ636" s="267"/>
      <c r="BA636" s="268"/>
      <c r="BB636" s="252"/>
      <c r="BC636" s="253"/>
      <c r="BD636" s="267"/>
      <c r="BE636" s="268"/>
      <c r="BF636" s="252"/>
      <c r="BG636" s="253"/>
      <c r="BH636" s="267"/>
      <c r="BI636" s="268"/>
      <c r="BJ636" s="252"/>
      <c r="BK636" s="253"/>
      <c r="BL636" s="267"/>
      <c r="BM636" s="268"/>
      <c r="BN636" s="252"/>
      <c r="BO636" s="253"/>
      <c r="BP636" s="267"/>
      <c r="BQ636" s="268"/>
      <c r="BR636" s="252"/>
      <c r="BS636" s="253"/>
      <c r="BT636" s="267"/>
      <c r="BU636" s="268"/>
      <c r="BV636" s="252"/>
      <c r="BW636" s="253"/>
      <c r="BX636" s="267"/>
      <c r="BY636" s="268"/>
      <c r="BZ636" s="252"/>
      <c r="CA636" s="253"/>
      <c r="CB636" s="267"/>
      <c r="CC636" s="268"/>
      <c r="CD636" s="255">
        <f t="shared" si="100"/>
        <v>0</v>
      </c>
      <c r="CE636" s="256">
        <f t="shared" si="101"/>
        <v>0</v>
      </c>
      <c r="CF636" s="257">
        <f t="shared" si="102"/>
        <v>0</v>
      </c>
      <c r="CG636" s="261">
        <f t="shared" si="103"/>
        <v>0</v>
      </c>
    </row>
    <row r="637" spans="1:85" s="263" customFormat="1" ht="12.75" customHeight="1">
      <c r="A637" s="299" t="s">
        <v>77</v>
      </c>
      <c r="B637" s="417" t="s">
        <v>91</v>
      </c>
      <c r="C637" s="417"/>
      <c r="D637" s="301">
        <v>232946</v>
      </c>
      <c r="E637" s="302">
        <v>8</v>
      </c>
      <c r="F637" s="252"/>
      <c r="G637" s="253"/>
      <c r="H637" s="267"/>
      <c r="I637" s="268"/>
      <c r="J637" s="252"/>
      <c r="K637" s="253"/>
      <c r="L637" s="267"/>
      <c r="M637" s="268"/>
      <c r="N637" s="252"/>
      <c r="O637" s="253"/>
      <c r="P637" s="267"/>
      <c r="Q637" s="268"/>
      <c r="R637" s="252"/>
      <c r="S637" s="253"/>
      <c r="T637" s="267"/>
      <c r="U637" s="268"/>
      <c r="V637" s="252"/>
      <c r="W637" s="253"/>
      <c r="X637" s="267"/>
      <c r="Y637" s="268"/>
      <c r="Z637" s="252"/>
      <c r="AA637" s="253"/>
      <c r="AB637" s="267"/>
      <c r="AC637" s="268"/>
      <c r="AD637" s="252"/>
      <c r="AE637" s="253"/>
      <c r="AF637" s="267"/>
      <c r="AG637" s="268"/>
      <c r="AH637" s="252"/>
      <c r="AI637" s="253"/>
      <c r="AJ637" s="267"/>
      <c r="AK637" s="268"/>
      <c r="AL637" s="252"/>
      <c r="AM637" s="253"/>
      <c r="AN637" s="267"/>
      <c r="AO637" s="268"/>
      <c r="AP637" s="255">
        <f t="shared" si="96"/>
        <v>0</v>
      </c>
      <c r="AQ637" s="256">
        <f t="shared" si="97"/>
        <v>0</v>
      </c>
      <c r="AR637" s="257">
        <f t="shared" si="98"/>
        <v>0</v>
      </c>
      <c r="AS637" s="258">
        <f t="shared" si="99"/>
        <v>0</v>
      </c>
      <c r="AT637" s="259"/>
      <c r="AU637" s="253"/>
      <c r="AV637" s="267"/>
      <c r="AW637" s="268"/>
      <c r="AX637" s="252"/>
      <c r="AY637" s="253"/>
      <c r="AZ637" s="267"/>
      <c r="BA637" s="268"/>
      <c r="BB637" s="252"/>
      <c r="BC637" s="253"/>
      <c r="BD637" s="267"/>
      <c r="BE637" s="268"/>
      <c r="BF637" s="252"/>
      <c r="BG637" s="253"/>
      <c r="BH637" s="267"/>
      <c r="BI637" s="268"/>
      <c r="BJ637" s="252"/>
      <c r="BK637" s="253"/>
      <c r="BL637" s="267"/>
      <c r="BM637" s="268"/>
      <c r="BN637" s="252"/>
      <c r="BO637" s="253"/>
      <c r="BP637" s="267"/>
      <c r="BQ637" s="268"/>
      <c r="BR637" s="252"/>
      <c r="BS637" s="253"/>
      <c r="BT637" s="267"/>
      <c r="BU637" s="268"/>
      <c r="BV637" s="252"/>
      <c r="BW637" s="253"/>
      <c r="BX637" s="267"/>
      <c r="BY637" s="268"/>
      <c r="BZ637" s="252"/>
      <c r="CA637" s="253"/>
      <c r="CB637" s="267"/>
      <c r="CC637" s="268"/>
      <c r="CD637" s="255">
        <f t="shared" si="100"/>
        <v>0</v>
      </c>
      <c r="CE637" s="256">
        <f t="shared" si="101"/>
        <v>0</v>
      </c>
      <c r="CF637" s="257">
        <f t="shared" si="102"/>
        <v>0</v>
      </c>
      <c r="CG637" s="261">
        <f t="shared" si="103"/>
        <v>0</v>
      </c>
    </row>
    <row r="638" spans="1:85" s="263" customFormat="1" ht="12.75" customHeight="1">
      <c r="A638" s="299" t="s">
        <v>77</v>
      </c>
      <c r="B638" s="417" t="s">
        <v>92</v>
      </c>
      <c r="C638" s="417"/>
      <c r="D638" s="301">
        <v>233754</v>
      </c>
      <c r="E638" s="302">
        <v>8</v>
      </c>
      <c r="F638" s="252"/>
      <c r="G638" s="253"/>
      <c r="H638" s="267"/>
      <c r="I638" s="268"/>
      <c r="J638" s="252"/>
      <c r="K638" s="253"/>
      <c r="L638" s="267"/>
      <c r="M638" s="268"/>
      <c r="N638" s="252"/>
      <c r="O638" s="253"/>
      <c r="P638" s="267"/>
      <c r="Q638" s="268"/>
      <c r="R638" s="252"/>
      <c r="S638" s="253"/>
      <c r="T638" s="267"/>
      <c r="U638" s="268"/>
      <c r="V638" s="252"/>
      <c r="W638" s="253"/>
      <c r="X638" s="267"/>
      <c r="Y638" s="268"/>
      <c r="Z638" s="252"/>
      <c r="AA638" s="253"/>
      <c r="AB638" s="267"/>
      <c r="AC638" s="268"/>
      <c r="AD638" s="252"/>
      <c r="AE638" s="253"/>
      <c r="AF638" s="267"/>
      <c r="AG638" s="268"/>
      <c r="AH638" s="252"/>
      <c r="AI638" s="253"/>
      <c r="AJ638" s="267"/>
      <c r="AK638" s="268"/>
      <c r="AL638" s="252"/>
      <c r="AM638" s="253"/>
      <c r="AN638" s="267"/>
      <c r="AO638" s="268"/>
      <c r="AP638" s="255">
        <f t="shared" si="96"/>
        <v>0</v>
      </c>
      <c r="AQ638" s="256">
        <f t="shared" si="97"/>
        <v>0</v>
      </c>
      <c r="AR638" s="257">
        <f t="shared" si="98"/>
        <v>0</v>
      </c>
      <c r="AS638" s="258">
        <f t="shared" si="99"/>
        <v>0</v>
      </c>
      <c r="AT638" s="259"/>
      <c r="AU638" s="253"/>
      <c r="AV638" s="267"/>
      <c r="AW638" s="268"/>
      <c r="AX638" s="252"/>
      <c r="AY638" s="253"/>
      <c r="AZ638" s="267"/>
      <c r="BA638" s="268"/>
      <c r="BB638" s="252"/>
      <c r="BC638" s="253"/>
      <c r="BD638" s="267"/>
      <c r="BE638" s="268"/>
      <c r="BF638" s="252"/>
      <c r="BG638" s="253"/>
      <c r="BH638" s="267"/>
      <c r="BI638" s="268"/>
      <c r="BJ638" s="252"/>
      <c r="BK638" s="253"/>
      <c r="BL638" s="267"/>
      <c r="BM638" s="268"/>
      <c r="BN638" s="252"/>
      <c r="BO638" s="253"/>
      <c r="BP638" s="267"/>
      <c r="BQ638" s="268"/>
      <c r="BR638" s="252"/>
      <c r="BS638" s="253"/>
      <c r="BT638" s="267"/>
      <c r="BU638" s="268"/>
      <c r="BV638" s="252"/>
      <c r="BW638" s="253"/>
      <c r="BX638" s="267"/>
      <c r="BY638" s="268"/>
      <c r="BZ638" s="252"/>
      <c r="CA638" s="253"/>
      <c r="CB638" s="267"/>
      <c r="CC638" s="268"/>
      <c r="CD638" s="255">
        <f t="shared" si="100"/>
        <v>0</v>
      </c>
      <c r="CE638" s="256">
        <f t="shared" si="101"/>
        <v>0</v>
      </c>
      <c r="CF638" s="257">
        <f t="shared" si="102"/>
        <v>0</v>
      </c>
      <c r="CG638" s="261">
        <f t="shared" si="103"/>
        <v>0</v>
      </c>
    </row>
    <row r="639" spans="1:85" s="263" customFormat="1" ht="12.75" customHeight="1">
      <c r="A639" s="299" t="s">
        <v>77</v>
      </c>
      <c r="B639" s="417" t="s">
        <v>93</v>
      </c>
      <c r="C639" s="417"/>
      <c r="D639" s="301">
        <v>233772</v>
      </c>
      <c r="E639" s="302">
        <v>8</v>
      </c>
      <c r="F639" s="252"/>
      <c r="G639" s="253"/>
      <c r="H639" s="267"/>
      <c r="I639" s="268"/>
      <c r="J639" s="252"/>
      <c r="K639" s="253"/>
      <c r="L639" s="267"/>
      <c r="M639" s="268"/>
      <c r="N639" s="252"/>
      <c r="O639" s="253"/>
      <c r="P639" s="267"/>
      <c r="Q639" s="268"/>
      <c r="R639" s="252"/>
      <c r="S639" s="253"/>
      <c r="T639" s="267"/>
      <c r="U639" s="268"/>
      <c r="V639" s="252"/>
      <c r="W639" s="253"/>
      <c r="X639" s="267"/>
      <c r="Y639" s="268"/>
      <c r="Z639" s="252"/>
      <c r="AA639" s="253"/>
      <c r="AB639" s="267"/>
      <c r="AC639" s="268"/>
      <c r="AD639" s="252"/>
      <c r="AE639" s="253"/>
      <c r="AF639" s="267"/>
      <c r="AG639" s="268"/>
      <c r="AH639" s="252"/>
      <c r="AI639" s="253"/>
      <c r="AJ639" s="267"/>
      <c r="AK639" s="268"/>
      <c r="AL639" s="252"/>
      <c r="AM639" s="253"/>
      <c r="AN639" s="267"/>
      <c r="AO639" s="268"/>
      <c r="AP639" s="255">
        <f t="shared" si="96"/>
        <v>0</v>
      </c>
      <c r="AQ639" s="256">
        <f t="shared" si="97"/>
        <v>0</v>
      </c>
      <c r="AR639" s="257">
        <f t="shared" si="98"/>
        <v>0</v>
      </c>
      <c r="AS639" s="258">
        <f t="shared" si="99"/>
        <v>0</v>
      </c>
      <c r="AT639" s="259"/>
      <c r="AU639" s="253"/>
      <c r="AV639" s="267"/>
      <c r="AW639" s="268"/>
      <c r="AX639" s="252"/>
      <c r="AY639" s="253"/>
      <c r="AZ639" s="267"/>
      <c r="BA639" s="268"/>
      <c r="BB639" s="252"/>
      <c r="BC639" s="253"/>
      <c r="BD639" s="267"/>
      <c r="BE639" s="268"/>
      <c r="BF639" s="252"/>
      <c r="BG639" s="253"/>
      <c r="BH639" s="267"/>
      <c r="BI639" s="268"/>
      <c r="BJ639" s="252"/>
      <c r="BK639" s="253"/>
      <c r="BL639" s="267"/>
      <c r="BM639" s="268"/>
      <c r="BN639" s="252"/>
      <c r="BO639" s="253"/>
      <c r="BP639" s="267"/>
      <c r="BQ639" s="268"/>
      <c r="BR639" s="252"/>
      <c r="BS639" s="253"/>
      <c r="BT639" s="267"/>
      <c r="BU639" s="268"/>
      <c r="BV639" s="252"/>
      <c r="BW639" s="253"/>
      <c r="BX639" s="267"/>
      <c r="BY639" s="268"/>
      <c r="BZ639" s="252"/>
      <c r="CA639" s="253"/>
      <c r="CB639" s="267"/>
      <c r="CC639" s="268"/>
      <c r="CD639" s="255">
        <f t="shared" si="100"/>
        <v>0</v>
      </c>
      <c r="CE639" s="256">
        <f t="shared" si="101"/>
        <v>0</v>
      </c>
      <c r="CF639" s="257">
        <f t="shared" si="102"/>
        <v>0</v>
      </c>
      <c r="CG639" s="261">
        <f t="shared" si="103"/>
        <v>0</v>
      </c>
    </row>
    <row r="640" spans="1:85" s="263" customFormat="1" ht="12.75" customHeight="1">
      <c r="A640" s="299" t="s">
        <v>77</v>
      </c>
      <c r="B640" s="417" t="s">
        <v>94</v>
      </c>
      <c r="C640" s="417"/>
      <c r="D640" s="301">
        <v>231536</v>
      </c>
      <c r="E640" s="302">
        <v>9</v>
      </c>
      <c r="F640" s="252"/>
      <c r="G640" s="253"/>
      <c r="H640" s="267"/>
      <c r="I640" s="268"/>
      <c r="J640" s="252"/>
      <c r="K640" s="253"/>
      <c r="L640" s="267"/>
      <c r="M640" s="268"/>
      <c r="N640" s="252"/>
      <c r="O640" s="253"/>
      <c r="P640" s="267"/>
      <c r="Q640" s="268"/>
      <c r="R640" s="252"/>
      <c r="S640" s="253"/>
      <c r="T640" s="267"/>
      <c r="U640" s="268"/>
      <c r="V640" s="252"/>
      <c r="W640" s="253"/>
      <c r="X640" s="267"/>
      <c r="Y640" s="268"/>
      <c r="Z640" s="252"/>
      <c r="AA640" s="253"/>
      <c r="AB640" s="267"/>
      <c r="AC640" s="268"/>
      <c r="AD640" s="252"/>
      <c r="AE640" s="253"/>
      <c r="AF640" s="267"/>
      <c r="AG640" s="268"/>
      <c r="AH640" s="252"/>
      <c r="AI640" s="253"/>
      <c r="AJ640" s="267"/>
      <c r="AK640" s="268"/>
      <c r="AL640" s="252"/>
      <c r="AM640" s="253"/>
      <c r="AN640" s="267"/>
      <c r="AO640" s="268"/>
      <c r="AP640" s="255">
        <f t="shared" si="96"/>
        <v>0</v>
      </c>
      <c r="AQ640" s="256">
        <f t="shared" si="97"/>
        <v>0</v>
      </c>
      <c r="AR640" s="257">
        <f t="shared" si="98"/>
        <v>0</v>
      </c>
      <c r="AS640" s="258">
        <f t="shared" si="99"/>
        <v>0</v>
      </c>
      <c r="AT640" s="259"/>
      <c r="AU640" s="253"/>
      <c r="AV640" s="267"/>
      <c r="AW640" s="268"/>
      <c r="AX640" s="252"/>
      <c r="AY640" s="253"/>
      <c r="AZ640" s="267"/>
      <c r="BA640" s="268"/>
      <c r="BB640" s="252"/>
      <c r="BC640" s="253"/>
      <c r="BD640" s="267"/>
      <c r="BE640" s="268"/>
      <c r="BF640" s="252"/>
      <c r="BG640" s="253"/>
      <c r="BH640" s="267"/>
      <c r="BI640" s="268"/>
      <c r="BJ640" s="252"/>
      <c r="BK640" s="253"/>
      <c r="BL640" s="267"/>
      <c r="BM640" s="268"/>
      <c r="BN640" s="252"/>
      <c r="BO640" s="253"/>
      <c r="BP640" s="267"/>
      <c r="BQ640" s="268"/>
      <c r="BR640" s="252"/>
      <c r="BS640" s="253"/>
      <c r="BT640" s="267"/>
      <c r="BU640" s="268"/>
      <c r="BV640" s="252"/>
      <c r="BW640" s="253"/>
      <c r="BX640" s="267"/>
      <c r="BY640" s="268"/>
      <c r="BZ640" s="252"/>
      <c r="CA640" s="253"/>
      <c r="CB640" s="267"/>
      <c r="CC640" s="268"/>
      <c r="CD640" s="255">
        <f t="shared" si="100"/>
        <v>0</v>
      </c>
      <c r="CE640" s="256">
        <f t="shared" si="101"/>
        <v>0</v>
      </c>
      <c r="CF640" s="257">
        <f t="shared" si="102"/>
        <v>0</v>
      </c>
      <c r="CG640" s="261">
        <f t="shared" si="103"/>
        <v>0</v>
      </c>
    </row>
    <row r="641" spans="1:85" s="263" customFormat="1" ht="12.75" customHeight="1">
      <c r="A641" s="299" t="s">
        <v>77</v>
      </c>
      <c r="B641" s="417" t="s">
        <v>95</v>
      </c>
      <c r="C641" s="417"/>
      <c r="D641" s="301">
        <v>231697</v>
      </c>
      <c r="E641" s="302">
        <v>9</v>
      </c>
      <c r="F641" s="252"/>
      <c r="G641" s="253"/>
      <c r="H641" s="267"/>
      <c r="I641" s="268"/>
      <c r="J641" s="252"/>
      <c r="K641" s="253"/>
      <c r="L641" s="267"/>
      <c r="M641" s="268"/>
      <c r="N641" s="252"/>
      <c r="O641" s="253"/>
      <c r="P641" s="267"/>
      <c r="Q641" s="268"/>
      <c r="R641" s="252"/>
      <c r="S641" s="253"/>
      <c r="T641" s="267"/>
      <c r="U641" s="268"/>
      <c r="V641" s="252"/>
      <c r="W641" s="253"/>
      <c r="X641" s="267"/>
      <c r="Y641" s="268"/>
      <c r="Z641" s="252"/>
      <c r="AA641" s="253"/>
      <c r="AB641" s="267"/>
      <c r="AC641" s="268"/>
      <c r="AD641" s="252"/>
      <c r="AE641" s="253"/>
      <c r="AF641" s="267"/>
      <c r="AG641" s="268"/>
      <c r="AH641" s="252"/>
      <c r="AI641" s="253"/>
      <c r="AJ641" s="267"/>
      <c r="AK641" s="268"/>
      <c r="AL641" s="252"/>
      <c r="AM641" s="253"/>
      <c r="AN641" s="267"/>
      <c r="AO641" s="268"/>
      <c r="AP641" s="255">
        <f t="shared" si="96"/>
        <v>0</v>
      </c>
      <c r="AQ641" s="256">
        <f t="shared" si="97"/>
        <v>0</v>
      </c>
      <c r="AR641" s="257">
        <f t="shared" si="98"/>
        <v>0</v>
      </c>
      <c r="AS641" s="258">
        <f t="shared" si="99"/>
        <v>0</v>
      </c>
      <c r="AT641" s="259"/>
      <c r="AU641" s="253"/>
      <c r="AV641" s="267"/>
      <c r="AW641" s="268"/>
      <c r="AX641" s="252"/>
      <c r="AY641" s="253"/>
      <c r="AZ641" s="267"/>
      <c r="BA641" s="268"/>
      <c r="BB641" s="252"/>
      <c r="BC641" s="253"/>
      <c r="BD641" s="267"/>
      <c r="BE641" s="268"/>
      <c r="BF641" s="252"/>
      <c r="BG641" s="253"/>
      <c r="BH641" s="267"/>
      <c r="BI641" s="268"/>
      <c r="BJ641" s="252"/>
      <c r="BK641" s="253"/>
      <c r="BL641" s="267"/>
      <c r="BM641" s="268"/>
      <c r="BN641" s="252"/>
      <c r="BO641" s="253"/>
      <c r="BP641" s="267"/>
      <c r="BQ641" s="268"/>
      <c r="BR641" s="252"/>
      <c r="BS641" s="253"/>
      <c r="BT641" s="267"/>
      <c r="BU641" s="268"/>
      <c r="BV641" s="252"/>
      <c r="BW641" s="253"/>
      <c r="BX641" s="267"/>
      <c r="BY641" s="268"/>
      <c r="BZ641" s="252"/>
      <c r="CA641" s="253"/>
      <c r="CB641" s="267"/>
      <c r="CC641" s="268"/>
      <c r="CD641" s="255">
        <f t="shared" si="100"/>
        <v>0</v>
      </c>
      <c r="CE641" s="256">
        <f t="shared" si="101"/>
        <v>0</v>
      </c>
      <c r="CF641" s="257">
        <f t="shared" si="102"/>
        <v>0</v>
      </c>
      <c r="CG641" s="261">
        <f t="shared" si="103"/>
        <v>0</v>
      </c>
    </row>
    <row r="642" spans="1:85" s="263" customFormat="1" ht="12.75" customHeight="1">
      <c r="A642" s="299" t="s">
        <v>77</v>
      </c>
      <c r="B642" s="417" t="s">
        <v>96</v>
      </c>
      <c r="C642" s="417"/>
      <c r="D642" s="301">
        <v>231882</v>
      </c>
      <c r="E642" s="302">
        <v>9</v>
      </c>
      <c r="F642" s="252"/>
      <c r="G642" s="253"/>
      <c r="H642" s="267"/>
      <c r="I642" s="268"/>
      <c r="J642" s="252"/>
      <c r="K642" s="253"/>
      <c r="L642" s="267"/>
      <c r="M642" s="268"/>
      <c r="N642" s="252"/>
      <c r="O642" s="253"/>
      <c r="P642" s="267"/>
      <c r="Q642" s="268"/>
      <c r="R642" s="252"/>
      <c r="S642" s="253"/>
      <c r="T642" s="267"/>
      <c r="U642" s="268"/>
      <c r="V642" s="252"/>
      <c r="W642" s="253"/>
      <c r="X642" s="267"/>
      <c r="Y642" s="268"/>
      <c r="Z642" s="252"/>
      <c r="AA642" s="253"/>
      <c r="AB642" s="267"/>
      <c r="AC642" s="268"/>
      <c r="AD642" s="252"/>
      <c r="AE642" s="253"/>
      <c r="AF642" s="267"/>
      <c r="AG642" s="268"/>
      <c r="AH642" s="252"/>
      <c r="AI642" s="253"/>
      <c r="AJ642" s="267"/>
      <c r="AK642" s="268"/>
      <c r="AL642" s="252"/>
      <c r="AM642" s="253"/>
      <c r="AN642" s="267"/>
      <c r="AO642" s="268"/>
      <c r="AP642" s="255">
        <f t="shared" si="96"/>
        <v>0</v>
      </c>
      <c r="AQ642" s="256">
        <f t="shared" si="97"/>
        <v>0</v>
      </c>
      <c r="AR642" s="257">
        <f t="shared" si="98"/>
        <v>0</v>
      </c>
      <c r="AS642" s="258">
        <f t="shared" si="99"/>
        <v>0</v>
      </c>
      <c r="AT642" s="259"/>
      <c r="AU642" s="253"/>
      <c r="AV642" s="267"/>
      <c r="AW642" s="268"/>
      <c r="AX642" s="252"/>
      <c r="AY642" s="253"/>
      <c r="AZ642" s="267"/>
      <c r="BA642" s="268"/>
      <c r="BB642" s="252"/>
      <c r="BC642" s="253"/>
      <c r="BD642" s="267"/>
      <c r="BE642" s="268"/>
      <c r="BF642" s="252"/>
      <c r="BG642" s="253"/>
      <c r="BH642" s="267"/>
      <c r="BI642" s="268"/>
      <c r="BJ642" s="252"/>
      <c r="BK642" s="253"/>
      <c r="BL642" s="267"/>
      <c r="BM642" s="268"/>
      <c r="BN642" s="252"/>
      <c r="BO642" s="253"/>
      <c r="BP642" s="267"/>
      <c r="BQ642" s="268"/>
      <c r="BR642" s="252"/>
      <c r="BS642" s="253"/>
      <c r="BT642" s="267"/>
      <c r="BU642" s="268"/>
      <c r="BV642" s="252"/>
      <c r="BW642" s="253"/>
      <c r="BX642" s="267"/>
      <c r="BY642" s="268"/>
      <c r="BZ642" s="252"/>
      <c r="CA642" s="253"/>
      <c r="CB642" s="267"/>
      <c r="CC642" s="268"/>
      <c r="CD642" s="255">
        <f t="shared" si="100"/>
        <v>0</v>
      </c>
      <c r="CE642" s="256">
        <f t="shared" si="101"/>
        <v>0</v>
      </c>
      <c r="CF642" s="257">
        <f t="shared" si="102"/>
        <v>0</v>
      </c>
      <c r="CG642" s="261">
        <f t="shared" si="103"/>
        <v>0</v>
      </c>
    </row>
    <row r="643" spans="1:85" s="263" customFormat="1" ht="12.75" customHeight="1">
      <c r="A643" s="299" t="s">
        <v>77</v>
      </c>
      <c r="B643" s="417" t="s">
        <v>97</v>
      </c>
      <c r="C643" s="417"/>
      <c r="D643" s="301">
        <v>232195</v>
      </c>
      <c r="E643" s="302">
        <v>9</v>
      </c>
      <c r="F643" s="252"/>
      <c r="G643" s="253"/>
      <c r="H643" s="267"/>
      <c r="I643" s="268"/>
      <c r="J643" s="252"/>
      <c r="K643" s="253"/>
      <c r="L643" s="267"/>
      <c r="M643" s="268"/>
      <c r="N643" s="252"/>
      <c r="O643" s="253"/>
      <c r="P643" s="267"/>
      <c r="Q643" s="268"/>
      <c r="R643" s="252"/>
      <c r="S643" s="253"/>
      <c r="T643" s="267"/>
      <c r="U643" s="268"/>
      <c r="V643" s="252"/>
      <c r="W643" s="253"/>
      <c r="X643" s="267"/>
      <c r="Y643" s="268"/>
      <c r="Z643" s="252"/>
      <c r="AA643" s="253"/>
      <c r="AB643" s="267"/>
      <c r="AC643" s="268"/>
      <c r="AD643" s="252"/>
      <c r="AE643" s="253"/>
      <c r="AF643" s="267"/>
      <c r="AG643" s="268"/>
      <c r="AH643" s="252"/>
      <c r="AI643" s="253"/>
      <c r="AJ643" s="267"/>
      <c r="AK643" s="268"/>
      <c r="AL643" s="252"/>
      <c r="AM643" s="253"/>
      <c r="AN643" s="267"/>
      <c r="AO643" s="268"/>
      <c r="AP643" s="255">
        <f t="shared" si="96"/>
        <v>0</v>
      </c>
      <c r="AQ643" s="256">
        <f t="shared" si="97"/>
        <v>0</v>
      </c>
      <c r="AR643" s="257">
        <f t="shared" si="98"/>
        <v>0</v>
      </c>
      <c r="AS643" s="258">
        <f t="shared" si="99"/>
        <v>0</v>
      </c>
      <c r="AT643" s="259"/>
      <c r="AU643" s="253"/>
      <c r="AV643" s="267"/>
      <c r="AW643" s="268"/>
      <c r="AX643" s="252"/>
      <c r="AY643" s="253"/>
      <c r="AZ643" s="267"/>
      <c r="BA643" s="268"/>
      <c r="BB643" s="252"/>
      <c r="BC643" s="253"/>
      <c r="BD643" s="267"/>
      <c r="BE643" s="268"/>
      <c r="BF643" s="252"/>
      <c r="BG643" s="253"/>
      <c r="BH643" s="267"/>
      <c r="BI643" s="268"/>
      <c r="BJ643" s="252"/>
      <c r="BK643" s="253"/>
      <c r="BL643" s="267"/>
      <c r="BM643" s="268"/>
      <c r="BN643" s="252"/>
      <c r="BO643" s="253"/>
      <c r="BP643" s="267"/>
      <c r="BQ643" s="268"/>
      <c r="BR643" s="252"/>
      <c r="BS643" s="253"/>
      <c r="BT643" s="267"/>
      <c r="BU643" s="268"/>
      <c r="BV643" s="252"/>
      <c r="BW643" s="253"/>
      <c r="BX643" s="267"/>
      <c r="BY643" s="268"/>
      <c r="BZ643" s="252"/>
      <c r="CA643" s="253"/>
      <c r="CB643" s="267"/>
      <c r="CC643" s="268"/>
      <c r="CD643" s="255">
        <f t="shared" si="100"/>
        <v>0</v>
      </c>
      <c r="CE643" s="256">
        <f t="shared" si="101"/>
        <v>0</v>
      </c>
      <c r="CF643" s="257">
        <f t="shared" si="102"/>
        <v>0</v>
      </c>
      <c r="CG643" s="261">
        <f t="shared" si="103"/>
        <v>0</v>
      </c>
    </row>
    <row r="644" spans="1:85" s="263" customFormat="1" ht="12.75" customHeight="1">
      <c r="A644" s="299" t="s">
        <v>77</v>
      </c>
      <c r="B644" s="417" t="s">
        <v>98</v>
      </c>
      <c r="C644" s="417"/>
      <c r="D644" s="301">
        <v>232450</v>
      </c>
      <c r="E644" s="302">
        <v>9</v>
      </c>
      <c r="F644" s="252"/>
      <c r="G644" s="253"/>
      <c r="H644" s="267"/>
      <c r="I644" s="268"/>
      <c r="J644" s="252"/>
      <c r="K644" s="253"/>
      <c r="L644" s="267"/>
      <c r="M644" s="268"/>
      <c r="N644" s="252"/>
      <c r="O644" s="253"/>
      <c r="P644" s="267"/>
      <c r="Q644" s="268"/>
      <c r="R644" s="252"/>
      <c r="S644" s="253"/>
      <c r="T644" s="267"/>
      <c r="U644" s="268"/>
      <c r="V644" s="252"/>
      <c r="W644" s="253"/>
      <c r="X644" s="267"/>
      <c r="Y644" s="268"/>
      <c r="Z644" s="252"/>
      <c r="AA644" s="253"/>
      <c r="AB644" s="267"/>
      <c r="AC644" s="268"/>
      <c r="AD644" s="252"/>
      <c r="AE644" s="253"/>
      <c r="AF644" s="267"/>
      <c r="AG644" s="268"/>
      <c r="AH644" s="252"/>
      <c r="AI644" s="253"/>
      <c r="AJ644" s="267"/>
      <c r="AK644" s="268"/>
      <c r="AL644" s="252"/>
      <c r="AM644" s="253"/>
      <c r="AN644" s="267"/>
      <c r="AO644" s="268"/>
      <c r="AP644" s="255">
        <f t="shared" si="96"/>
        <v>0</v>
      </c>
      <c r="AQ644" s="256">
        <f t="shared" si="97"/>
        <v>0</v>
      </c>
      <c r="AR644" s="257">
        <f t="shared" si="98"/>
        <v>0</v>
      </c>
      <c r="AS644" s="258">
        <f t="shared" si="99"/>
        <v>0</v>
      </c>
      <c r="AT644" s="259"/>
      <c r="AU644" s="253"/>
      <c r="AV644" s="267"/>
      <c r="AW644" s="268"/>
      <c r="AX644" s="252"/>
      <c r="AY644" s="253"/>
      <c r="AZ644" s="267"/>
      <c r="BA644" s="268"/>
      <c r="BB644" s="252"/>
      <c r="BC644" s="253"/>
      <c r="BD644" s="267"/>
      <c r="BE644" s="268"/>
      <c r="BF644" s="252"/>
      <c r="BG644" s="253"/>
      <c r="BH644" s="267"/>
      <c r="BI644" s="268"/>
      <c r="BJ644" s="252"/>
      <c r="BK644" s="253"/>
      <c r="BL644" s="267"/>
      <c r="BM644" s="268"/>
      <c r="BN644" s="252"/>
      <c r="BO644" s="253"/>
      <c r="BP644" s="267"/>
      <c r="BQ644" s="268"/>
      <c r="BR644" s="252"/>
      <c r="BS644" s="253"/>
      <c r="BT644" s="267"/>
      <c r="BU644" s="268"/>
      <c r="BV644" s="252"/>
      <c r="BW644" s="253"/>
      <c r="BX644" s="267"/>
      <c r="BY644" s="268"/>
      <c r="BZ644" s="252"/>
      <c r="CA644" s="253"/>
      <c r="CB644" s="267"/>
      <c r="CC644" s="268"/>
      <c r="CD644" s="255">
        <f t="shared" si="100"/>
        <v>0</v>
      </c>
      <c r="CE644" s="256">
        <f t="shared" si="101"/>
        <v>0</v>
      </c>
      <c r="CF644" s="257">
        <f t="shared" si="102"/>
        <v>0</v>
      </c>
      <c r="CG644" s="261">
        <f t="shared" si="103"/>
        <v>0</v>
      </c>
    </row>
    <row r="645" spans="1:85" s="263" customFormat="1" ht="12.75" customHeight="1">
      <c r="A645" s="299" t="s">
        <v>77</v>
      </c>
      <c r="B645" s="417" t="s">
        <v>99</v>
      </c>
      <c r="C645" s="417"/>
      <c r="D645" s="301">
        <v>232575</v>
      </c>
      <c r="E645" s="302">
        <v>9</v>
      </c>
      <c r="F645" s="252"/>
      <c r="G645" s="253"/>
      <c r="H645" s="267"/>
      <c r="I645" s="268"/>
      <c r="J645" s="252"/>
      <c r="K645" s="253"/>
      <c r="L645" s="267"/>
      <c r="M645" s="268"/>
      <c r="N645" s="252"/>
      <c r="O645" s="253"/>
      <c r="P645" s="267"/>
      <c r="Q645" s="268"/>
      <c r="R645" s="252"/>
      <c r="S645" s="253"/>
      <c r="T645" s="267"/>
      <c r="U645" s="268"/>
      <c r="V645" s="252"/>
      <c r="W645" s="253"/>
      <c r="X645" s="267"/>
      <c r="Y645" s="268"/>
      <c r="Z645" s="252"/>
      <c r="AA645" s="253"/>
      <c r="AB645" s="267"/>
      <c r="AC645" s="268"/>
      <c r="AD645" s="252"/>
      <c r="AE645" s="253"/>
      <c r="AF645" s="267"/>
      <c r="AG645" s="268"/>
      <c r="AH645" s="252"/>
      <c r="AI645" s="253"/>
      <c r="AJ645" s="267"/>
      <c r="AK645" s="268"/>
      <c r="AL645" s="252"/>
      <c r="AM645" s="253"/>
      <c r="AN645" s="267"/>
      <c r="AO645" s="268"/>
      <c r="AP645" s="255">
        <f t="shared" si="96"/>
        <v>0</v>
      </c>
      <c r="AQ645" s="256">
        <f t="shared" si="97"/>
        <v>0</v>
      </c>
      <c r="AR645" s="257">
        <f t="shared" si="98"/>
        <v>0</v>
      </c>
      <c r="AS645" s="258">
        <f t="shared" si="99"/>
        <v>0</v>
      </c>
      <c r="AT645" s="259"/>
      <c r="AU645" s="253"/>
      <c r="AV645" s="267"/>
      <c r="AW645" s="268"/>
      <c r="AX645" s="252"/>
      <c r="AY645" s="253"/>
      <c r="AZ645" s="267"/>
      <c r="BA645" s="268"/>
      <c r="BB645" s="252"/>
      <c r="BC645" s="253"/>
      <c r="BD645" s="267"/>
      <c r="BE645" s="268"/>
      <c r="BF645" s="252"/>
      <c r="BG645" s="253"/>
      <c r="BH645" s="267"/>
      <c r="BI645" s="268"/>
      <c r="BJ645" s="252"/>
      <c r="BK645" s="253"/>
      <c r="BL645" s="267"/>
      <c r="BM645" s="268"/>
      <c r="BN645" s="252"/>
      <c r="BO645" s="253"/>
      <c r="BP645" s="267"/>
      <c r="BQ645" s="268"/>
      <c r="BR645" s="252"/>
      <c r="BS645" s="253"/>
      <c r="BT645" s="267"/>
      <c r="BU645" s="268"/>
      <c r="BV645" s="252"/>
      <c r="BW645" s="253"/>
      <c r="BX645" s="267"/>
      <c r="BY645" s="268"/>
      <c r="BZ645" s="252"/>
      <c r="CA645" s="253"/>
      <c r="CB645" s="267"/>
      <c r="CC645" s="268"/>
      <c r="CD645" s="255">
        <f t="shared" si="100"/>
        <v>0</v>
      </c>
      <c r="CE645" s="256">
        <f t="shared" si="101"/>
        <v>0</v>
      </c>
      <c r="CF645" s="257">
        <f t="shared" si="102"/>
        <v>0</v>
      </c>
      <c r="CG645" s="261">
        <f t="shared" si="103"/>
        <v>0</v>
      </c>
    </row>
    <row r="646" spans="1:85" s="263" customFormat="1" ht="12.75" customHeight="1">
      <c r="A646" s="299" t="s">
        <v>77</v>
      </c>
      <c r="B646" s="417" t="s">
        <v>100</v>
      </c>
      <c r="C646" s="417"/>
      <c r="D646" s="301">
        <v>232867</v>
      </c>
      <c r="E646" s="302">
        <v>9</v>
      </c>
      <c r="F646" s="252"/>
      <c r="G646" s="253"/>
      <c r="H646" s="267"/>
      <c r="I646" s="268"/>
      <c r="J646" s="252"/>
      <c r="K646" s="253"/>
      <c r="L646" s="267"/>
      <c r="M646" s="268"/>
      <c r="N646" s="252"/>
      <c r="O646" s="253"/>
      <c r="P646" s="267"/>
      <c r="Q646" s="268"/>
      <c r="R646" s="252"/>
      <c r="S646" s="253"/>
      <c r="T646" s="267"/>
      <c r="U646" s="268"/>
      <c r="V646" s="252"/>
      <c r="W646" s="253"/>
      <c r="X646" s="267"/>
      <c r="Y646" s="268"/>
      <c r="Z646" s="252"/>
      <c r="AA646" s="253"/>
      <c r="AB646" s="267"/>
      <c r="AC646" s="268"/>
      <c r="AD646" s="252"/>
      <c r="AE646" s="253"/>
      <c r="AF646" s="267"/>
      <c r="AG646" s="268"/>
      <c r="AH646" s="252"/>
      <c r="AI646" s="253"/>
      <c r="AJ646" s="267"/>
      <c r="AK646" s="268"/>
      <c r="AL646" s="252"/>
      <c r="AM646" s="253"/>
      <c r="AN646" s="267"/>
      <c r="AO646" s="268"/>
      <c r="AP646" s="255">
        <f t="shared" si="96"/>
        <v>0</v>
      </c>
      <c r="AQ646" s="256">
        <f t="shared" si="97"/>
        <v>0</v>
      </c>
      <c r="AR646" s="257">
        <f t="shared" si="98"/>
        <v>0</v>
      </c>
      <c r="AS646" s="258">
        <f t="shared" si="99"/>
        <v>0</v>
      </c>
      <c r="AT646" s="259"/>
      <c r="AU646" s="253"/>
      <c r="AV646" s="267"/>
      <c r="AW646" s="268"/>
      <c r="AX646" s="252"/>
      <c r="AY646" s="253"/>
      <c r="AZ646" s="267"/>
      <c r="BA646" s="268"/>
      <c r="BB646" s="252"/>
      <c r="BC646" s="253"/>
      <c r="BD646" s="267"/>
      <c r="BE646" s="268"/>
      <c r="BF646" s="252"/>
      <c r="BG646" s="253"/>
      <c r="BH646" s="267"/>
      <c r="BI646" s="268"/>
      <c r="BJ646" s="252"/>
      <c r="BK646" s="253"/>
      <c r="BL646" s="267"/>
      <c r="BM646" s="268"/>
      <c r="BN646" s="252"/>
      <c r="BO646" s="253"/>
      <c r="BP646" s="267"/>
      <c r="BQ646" s="268"/>
      <c r="BR646" s="252"/>
      <c r="BS646" s="253"/>
      <c r="BT646" s="267"/>
      <c r="BU646" s="268"/>
      <c r="BV646" s="252"/>
      <c r="BW646" s="253"/>
      <c r="BX646" s="267"/>
      <c r="BY646" s="268"/>
      <c r="BZ646" s="252"/>
      <c r="CA646" s="253"/>
      <c r="CB646" s="267"/>
      <c r="CC646" s="268"/>
      <c r="CD646" s="255">
        <f t="shared" si="100"/>
        <v>0</v>
      </c>
      <c r="CE646" s="256">
        <f t="shared" si="101"/>
        <v>0</v>
      </c>
      <c r="CF646" s="257">
        <f t="shared" si="102"/>
        <v>0</v>
      </c>
      <c r="CG646" s="261">
        <f t="shared" si="103"/>
        <v>0</v>
      </c>
    </row>
    <row r="647" spans="1:85" s="263" customFormat="1" ht="12.75" customHeight="1">
      <c r="A647" s="299" t="s">
        <v>77</v>
      </c>
      <c r="B647" s="417" t="s">
        <v>102</v>
      </c>
      <c r="C647" s="417"/>
      <c r="D647" s="301">
        <v>233116</v>
      </c>
      <c r="E647" s="302">
        <v>9</v>
      </c>
      <c r="F647" s="252"/>
      <c r="G647" s="253"/>
      <c r="H647" s="267"/>
      <c r="I647" s="268"/>
      <c r="J647" s="252"/>
      <c r="K647" s="253"/>
      <c r="L647" s="267"/>
      <c r="M647" s="268"/>
      <c r="N647" s="252"/>
      <c r="O647" s="253"/>
      <c r="P647" s="267"/>
      <c r="Q647" s="268"/>
      <c r="R647" s="252"/>
      <c r="S647" s="253"/>
      <c r="T647" s="267"/>
      <c r="U647" s="268"/>
      <c r="V647" s="252"/>
      <c r="W647" s="253"/>
      <c r="X647" s="267"/>
      <c r="Y647" s="268"/>
      <c r="Z647" s="252"/>
      <c r="AA647" s="253"/>
      <c r="AB647" s="267"/>
      <c r="AC647" s="268"/>
      <c r="AD647" s="252"/>
      <c r="AE647" s="253"/>
      <c r="AF647" s="267"/>
      <c r="AG647" s="268"/>
      <c r="AH647" s="252"/>
      <c r="AI647" s="253"/>
      <c r="AJ647" s="267"/>
      <c r="AK647" s="268"/>
      <c r="AL647" s="252"/>
      <c r="AM647" s="253"/>
      <c r="AN647" s="267"/>
      <c r="AO647" s="268"/>
      <c r="AP647" s="255">
        <f t="shared" si="96"/>
        <v>0</v>
      </c>
      <c r="AQ647" s="256">
        <f t="shared" si="97"/>
        <v>0</v>
      </c>
      <c r="AR647" s="257">
        <f t="shared" si="98"/>
        <v>0</v>
      </c>
      <c r="AS647" s="258">
        <f t="shared" si="99"/>
        <v>0</v>
      </c>
      <c r="AT647" s="259"/>
      <c r="AU647" s="253"/>
      <c r="AV647" s="267"/>
      <c r="AW647" s="268"/>
      <c r="AX647" s="252"/>
      <c r="AY647" s="253"/>
      <c r="AZ647" s="267"/>
      <c r="BA647" s="268"/>
      <c r="BB647" s="252"/>
      <c r="BC647" s="253"/>
      <c r="BD647" s="267"/>
      <c r="BE647" s="268"/>
      <c r="BF647" s="252"/>
      <c r="BG647" s="253"/>
      <c r="BH647" s="267"/>
      <c r="BI647" s="268"/>
      <c r="BJ647" s="252"/>
      <c r="BK647" s="253"/>
      <c r="BL647" s="267"/>
      <c r="BM647" s="268"/>
      <c r="BN647" s="252"/>
      <c r="BO647" s="253"/>
      <c r="BP647" s="267"/>
      <c r="BQ647" s="268"/>
      <c r="BR647" s="252"/>
      <c r="BS647" s="253"/>
      <c r="BT647" s="267"/>
      <c r="BU647" s="268"/>
      <c r="BV647" s="252"/>
      <c r="BW647" s="253"/>
      <c r="BX647" s="267"/>
      <c r="BY647" s="268"/>
      <c r="BZ647" s="252"/>
      <c r="CA647" s="253"/>
      <c r="CB647" s="267"/>
      <c r="CC647" s="268"/>
      <c r="CD647" s="255">
        <f t="shared" si="100"/>
        <v>0</v>
      </c>
      <c r="CE647" s="256">
        <f t="shared" si="101"/>
        <v>0</v>
      </c>
      <c r="CF647" s="257">
        <f t="shared" si="102"/>
        <v>0</v>
      </c>
      <c r="CG647" s="261">
        <f t="shared" si="103"/>
        <v>0</v>
      </c>
    </row>
    <row r="648" spans="1:85" s="263" customFormat="1" ht="12.75" customHeight="1">
      <c r="A648" s="299" t="s">
        <v>77</v>
      </c>
      <c r="B648" s="417" t="s">
        <v>103</v>
      </c>
      <c r="C648" s="417"/>
      <c r="D648" s="301">
        <v>233639</v>
      </c>
      <c r="E648" s="302">
        <v>9</v>
      </c>
      <c r="F648" s="252"/>
      <c r="G648" s="253"/>
      <c r="H648" s="267"/>
      <c r="I648" s="268"/>
      <c r="J648" s="252"/>
      <c r="K648" s="253"/>
      <c r="L648" s="267"/>
      <c r="M648" s="268"/>
      <c r="N648" s="252"/>
      <c r="O648" s="253"/>
      <c r="P648" s="267"/>
      <c r="Q648" s="268"/>
      <c r="R648" s="252"/>
      <c r="S648" s="253"/>
      <c r="T648" s="267"/>
      <c r="U648" s="268"/>
      <c r="V648" s="252"/>
      <c r="W648" s="253"/>
      <c r="X648" s="267"/>
      <c r="Y648" s="268"/>
      <c r="Z648" s="252"/>
      <c r="AA648" s="253"/>
      <c r="AB648" s="267"/>
      <c r="AC648" s="268"/>
      <c r="AD648" s="252"/>
      <c r="AE648" s="253"/>
      <c r="AF648" s="267"/>
      <c r="AG648" s="268"/>
      <c r="AH648" s="252"/>
      <c r="AI648" s="253"/>
      <c r="AJ648" s="267"/>
      <c r="AK648" s="268"/>
      <c r="AL648" s="252"/>
      <c r="AM648" s="253"/>
      <c r="AN648" s="267"/>
      <c r="AO648" s="268"/>
      <c r="AP648" s="255">
        <f t="shared" si="96"/>
        <v>0</v>
      </c>
      <c r="AQ648" s="256">
        <f t="shared" si="97"/>
        <v>0</v>
      </c>
      <c r="AR648" s="257">
        <f t="shared" si="98"/>
        <v>0</v>
      </c>
      <c r="AS648" s="258">
        <f t="shared" si="99"/>
        <v>0</v>
      </c>
      <c r="AT648" s="259"/>
      <c r="AU648" s="253"/>
      <c r="AV648" s="267"/>
      <c r="AW648" s="268"/>
      <c r="AX648" s="252"/>
      <c r="AY648" s="253"/>
      <c r="AZ648" s="267"/>
      <c r="BA648" s="268"/>
      <c r="BB648" s="252"/>
      <c r="BC648" s="253"/>
      <c r="BD648" s="267"/>
      <c r="BE648" s="268"/>
      <c r="BF648" s="252"/>
      <c r="BG648" s="253"/>
      <c r="BH648" s="267"/>
      <c r="BI648" s="268"/>
      <c r="BJ648" s="252"/>
      <c r="BK648" s="253"/>
      <c r="BL648" s="267"/>
      <c r="BM648" s="268"/>
      <c r="BN648" s="252"/>
      <c r="BO648" s="253"/>
      <c r="BP648" s="267"/>
      <c r="BQ648" s="268"/>
      <c r="BR648" s="252"/>
      <c r="BS648" s="253"/>
      <c r="BT648" s="267"/>
      <c r="BU648" s="268"/>
      <c r="BV648" s="252"/>
      <c r="BW648" s="253"/>
      <c r="BX648" s="267"/>
      <c r="BY648" s="268"/>
      <c r="BZ648" s="252"/>
      <c r="CA648" s="253"/>
      <c r="CB648" s="267"/>
      <c r="CC648" s="268"/>
      <c r="CD648" s="255">
        <f t="shared" si="100"/>
        <v>0</v>
      </c>
      <c r="CE648" s="256">
        <f t="shared" si="101"/>
        <v>0</v>
      </c>
      <c r="CF648" s="257">
        <f t="shared" si="102"/>
        <v>0</v>
      </c>
      <c r="CG648" s="261">
        <f t="shared" si="103"/>
        <v>0</v>
      </c>
    </row>
    <row r="649" spans="1:85" s="263" customFormat="1" ht="12.75" customHeight="1">
      <c r="A649" s="299" t="s">
        <v>77</v>
      </c>
      <c r="B649" s="417" t="s">
        <v>104</v>
      </c>
      <c r="C649" s="417"/>
      <c r="D649" s="301">
        <v>233648</v>
      </c>
      <c r="E649" s="302">
        <v>9</v>
      </c>
      <c r="F649" s="252"/>
      <c r="G649" s="253"/>
      <c r="H649" s="267"/>
      <c r="I649" s="268"/>
      <c r="J649" s="252"/>
      <c r="K649" s="253"/>
      <c r="L649" s="267"/>
      <c r="M649" s="268"/>
      <c r="N649" s="252"/>
      <c r="O649" s="253"/>
      <c r="P649" s="267"/>
      <c r="Q649" s="268"/>
      <c r="R649" s="252"/>
      <c r="S649" s="253"/>
      <c r="T649" s="267"/>
      <c r="U649" s="268"/>
      <c r="V649" s="252"/>
      <c r="W649" s="253"/>
      <c r="X649" s="267"/>
      <c r="Y649" s="268"/>
      <c r="Z649" s="252"/>
      <c r="AA649" s="253"/>
      <c r="AB649" s="267"/>
      <c r="AC649" s="268"/>
      <c r="AD649" s="252"/>
      <c r="AE649" s="253"/>
      <c r="AF649" s="267"/>
      <c r="AG649" s="268"/>
      <c r="AH649" s="252"/>
      <c r="AI649" s="253"/>
      <c r="AJ649" s="267"/>
      <c r="AK649" s="268"/>
      <c r="AL649" s="252"/>
      <c r="AM649" s="253"/>
      <c r="AN649" s="267"/>
      <c r="AO649" s="268"/>
      <c r="AP649" s="255">
        <f t="shared" si="96"/>
        <v>0</v>
      </c>
      <c r="AQ649" s="256">
        <f t="shared" si="97"/>
        <v>0</v>
      </c>
      <c r="AR649" s="257">
        <f t="shared" si="98"/>
        <v>0</v>
      </c>
      <c r="AS649" s="258">
        <f t="shared" si="99"/>
        <v>0</v>
      </c>
      <c r="AT649" s="259"/>
      <c r="AU649" s="253"/>
      <c r="AV649" s="267"/>
      <c r="AW649" s="268"/>
      <c r="AX649" s="252"/>
      <c r="AY649" s="253"/>
      <c r="AZ649" s="267"/>
      <c r="BA649" s="268"/>
      <c r="BB649" s="252"/>
      <c r="BC649" s="253"/>
      <c r="BD649" s="267"/>
      <c r="BE649" s="268"/>
      <c r="BF649" s="252"/>
      <c r="BG649" s="253"/>
      <c r="BH649" s="267"/>
      <c r="BI649" s="268"/>
      <c r="BJ649" s="252"/>
      <c r="BK649" s="253"/>
      <c r="BL649" s="267"/>
      <c r="BM649" s="268"/>
      <c r="BN649" s="252"/>
      <c r="BO649" s="253"/>
      <c r="BP649" s="267"/>
      <c r="BQ649" s="268"/>
      <c r="BR649" s="252"/>
      <c r="BS649" s="253"/>
      <c r="BT649" s="267"/>
      <c r="BU649" s="268"/>
      <c r="BV649" s="252"/>
      <c r="BW649" s="253"/>
      <c r="BX649" s="267"/>
      <c r="BY649" s="268"/>
      <c r="BZ649" s="252"/>
      <c r="CA649" s="253"/>
      <c r="CB649" s="267"/>
      <c r="CC649" s="268"/>
      <c r="CD649" s="255">
        <f t="shared" si="100"/>
        <v>0</v>
      </c>
      <c r="CE649" s="256">
        <f t="shared" si="101"/>
        <v>0</v>
      </c>
      <c r="CF649" s="257">
        <f t="shared" si="102"/>
        <v>0</v>
      </c>
      <c r="CG649" s="261">
        <f t="shared" si="103"/>
        <v>0</v>
      </c>
    </row>
    <row r="650" spans="1:85" s="263" customFormat="1" ht="12.75" customHeight="1">
      <c r="A650" s="299" t="s">
        <v>77</v>
      </c>
      <c r="B650" s="414" t="s">
        <v>105</v>
      </c>
      <c r="C650" s="541" t="s">
        <v>1188</v>
      </c>
      <c r="D650" s="301">
        <v>233949</v>
      </c>
      <c r="E650" s="302">
        <v>9</v>
      </c>
      <c r="F650" s="252"/>
      <c r="G650" s="253"/>
      <c r="H650" s="267"/>
      <c r="I650" s="268"/>
      <c r="J650" s="252"/>
      <c r="K650" s="253"/>
      <c r="L650" s="267"/>
      <c r="M650" s="268"/>
      <c r="N650" s="252"/>
      <c r="O650" s="253"/>
      <c r="P650" s="267"/>
      <c r="Q650" s="268"/>
      <c r="R650" s="252"/>
      <c r="S650" s="253"/>
      <c r="T650" s="267"/>
      <c r="U650" s="268"/>
      <c r="V650" s="252"/>
      <c r="W650" s="253"/>
      <c r="X650" s="267"/>
      <c r="Y650" s="268"/>
      <c r="Z650" s="252"/>
      <c r="AA650" s="253"/>
      <c r="AB650" s="267"/>
      <c r="AC650" s="268"/>
      <c r="AD650" s="252"/>
      <c r="AE650" s="253"/>
      <c r="AF650" s="267"/>
      <c r="AG650" s="268"/>
      <c r="AH650" s="252"/>
      <c r="AI650" s="253"/>
      <c r="AJ650" s="267"/>
      <c r="AK650" s="268"/>
      <c r="AL650" s="252"/>
      <c r="AM650" s="253"/>
      <c r="AN650" s="267"/>
      <c r="AO650" s="268"/>
      <c r="AP650" s="255">
        <f t="shared" si="96"/>
        <v>0</v>
      </c>
      <c r="AQ650" s="256">
        <f t="shared" si="97"/>
        <v>0</v>
      </c>
      <c r="AR650" s="257">
        <f t="shared" si="98"/>
        <v>0</v>
      </c>
      <c r="AS650" s="258">
        <f t="shared" si="99"/>
        <v>0</v>
      </c>
      <c r="AT650" s="259"/>
      <c r="AU650" s="253"/>
      <c r="AV650" s="267"/>
      <c r="AW650" s="268"/>
      <c r="AX650" s="252"/>
      <c r="AY650" s="253"/>
      <c r="AZ650" s="267"/>
      <c r="BA650" s="268"/>
      <c r="BB650" s="252"/>
      <c r="BC650" s="253"/>
      <c r="BD650" s="267"/>
      <c r="BE650" s="268"/>
      <c r="BF650" s="252"/>
      <c r="BG650" s="253"/>
      <c r="BH650" s="267"/>
      <c r="BI650" s="268"/>
      <c r="BJ650" s="252"/>
      <c r="BK650" s="253"/>
      <c r="BL650" s="267"/>
      <c r="BM650" s="268"/>
      <c r="BN650" s="252"/>
      <c r="BO650" s="253"/>
      <c r="BP650" s="267"/>
      <c r="BQ650" s="268"/>
      <c r="BR650" s="252"/>
      <c r="BS650" s="253"/>
      <c r="BT650" s="267"/>
      <c r="BU650" s="268"/>
      <c r="BV650" s="252"/>
      <c r="BW650" s="253"/>
      <c r="BX650" s="267"/>
      <c r="BY650" s="268"/>
      <c r="BZ650" s="252"/>
      <c r="CA650" s="253"/>
      <c r="CB650" s="267"/>
      <c r="CC650" s="268"/>
      <c r="CD650" s="255">
        <f t="shared" si="100"/>
        <v>0</v>
      </c>
      <c r="CE650" s="256">
        <f t="shared" si="101"/>
        <v>0</v>
      </c>
      <c r="CF650" s="257">
        <f t="shared" si="102"/>
        <v>0</v>
      </c>
      <c r="CG650" s="261">
        <f t="shared" si="103"/>
        <v>0</v>
      </c>
    </row>
    <row r="651" spans="1:85" s="263" customFormat="1" ht="12.75" customHeight="1">
      <c r="A651" s="299" t="s">
        <v>77</v>
      </c>
      <c r="B651" s="414" t="s">
        <v>106</v>
      </c>
      <c r="C651" s="414"/>
      <c r="D651" s="301">
        <v>231873</v>
      </c>
      <c r="E651" s="302">
        <v>10</v>
      </c>
      <c r="F651" s="252"/>
      <c r="G651" s="253"/>
      <c r="H651" s="267"/>
      <c r="I651" s="268"/>
      <c r="J651" s="252"/>
      <c r="K651" s="253"/>
      <c r="L651" s="267"/>
      <c r="M651" s="268"/>
      <c r="N651" s="252"/>
      <c r="O651" s="253"/>
      <c r="P651" s="267"/>
      <c r="Q651" s="268"/>
      <c r="R651" s="252"/>
      <c r="S651" s="253"/>
      <c r="T651" s="267"/>
      <c r="U651" s="268"/>
      <c r="V651" s="252"/>
      <c r="W651" s="253"/>
      <c r="X651" s="267"/>
      <c r="Y651" s="268"/>
      <c r="Z651" s="252"/>
      <c r="AA651" s="253"/>
      <c r="AB651" s="267"/>
      <c r="AC651" s="268"/>
      <c r="AD651" s="252"/>
      <c r="AE651" s="253"/>
      <c r="AF651" s="267"/>
      <c r="AG651" s="268"/>
      <c r="AH651" s="252"/>
      <c r="AI651" s="253"/>
      <c r="AJ651" s="267"/>
      <c r="AK651" s="268"/>
      <c r="AL651" s="252"/>
      <c r="AM651" s="253"/>
      <c r="AN651" s="267"/>
      <c r="AO651" s="268"/>
      <c r="AP651" s="255">
        <f t="shared" si="96"/>
        <v>0</v>
      </c>
      <c r="AQ651" s="256">
        <f t="shared" si="97"/>
        <v>0</v>
      </c>
      <c r="AR651" s="257">
        <f t="shared" si="98"/>
        <v>0</v>
      </c>
      <c r="AS651" s="258">
        <f t="shared" si="99"/>
        <v>0</v>
      </c>
      <c r="AT651" s="259"/>
      <c r="AU651" s="253"/>
      <c r="AV651" s="267"/>
      <c r="AW651" s="268"/>
      <c r="AX651" s="252"/>
      <c r="AY651" s="253"/>
      <c r="AZ651" s="267"/>
      <c r="BA651" s="268"/>
      <c r="BB651" s="252"/>
      <c r="BC651" s="253"/>
      <c r="BD651" s="267"/>
      <c r="BE651" s="268"/>
      <c r="BF651" s="252"/>
      <c r="BG651" s="253"/>
      <c r="BH651" s="267"/>
      <c r="BI651" s="268"/>
      <c r="BJ651" s="252"/>
      <c r="BK651" s="253"/>
      <c r="BL651" s="267"/>
      <c r="BM651" s="268"/>
      <c r="BN651" s="252"/>
      <c r="BO651" s="253"/>
      <c r="BP651" s="267"/>
      <c r="BQ651" s="268"/>
      <c r="BR651" s="252"/>
      <c r="BS651" s="253"/>
      <c r="BT651" s="267"/>
      <c r="BU651" s="268"/>
      <c r="BV651" s="252"/>
      <c r="BW651" s="253"/>
      <c r="BX651" s="267"/>
      <c r="BY651" s="268"/>
      <c r="BZ651" s="252"/>
      <c r="CA651" s="253"/>
      <c r="CB651" s="267"/>
      <c r="CC651" s="268"/>
      <c r="CD651" s="255">
        <f t="shared" si="100"/>
        <v>0</v>
      </c>
      <c r="CE651" s="256">
        <f t="shared" si="101"/>
        <v>0</v>
      </c>
      <c r="CF651" s="257">
        <f t="shared" si="102"/>
        <v>0</v>
      </c>
      <c r="CG651" s="261">
        <f t="shared" si="103"/>
        <v>0</v>
      </c>
    </row>
    <row r="652" spans="1:85" s="263" customFormat="1" ht="12.75" customHeight="1">
      <c r="A652" s="299" t="s">
        <v>77</v>
      </c>
      <c r="B652" s="417" t="s">
        <v>107</v>
      </c>
      <c r="C652" s="417"/>
      <c r="D652" s="301">
        <v>232052</v>
      </c>
      <c r="E652" s="302">
        <v>10</v>
      </c>
      <c r="F652" s="252"/>
      <c r="G652" s="253"/>
      <c r="H652" s="267"/>
      <c r="I652" s="268"/>
      <c r="J652" s="252"/>
      <c r="K652" s="253"/>
      <c r="L652" s="267"/>
      <c r="M652" s="268"/>
      <c r="N652" s="252"/>
      <c r="O652" s="253"/>
      <c r="P652" s="267"/>
      <c r="Q652" s="268"/>
      <c r="R652" s="252"/>
      <c r="S652" s="253"/>
      <c r="T652" s="267"/>
      <c r="U652" s="268"/>
      <c r="V652" s="252"/>
      <c r="W652" s="253"/>
      <c r="X652" s="267"/>
      <c r="Y652" s="268"/>
      <c r="Z652" s="252"/>
      <c r="AA652" s="253"/>
      <c r="AB652" s="267"/>
      <c r="AC652" s="268"/>
      <c r="AD652" s="252"/>
      <c r="AE652" s="253"/>
      <c r="AF652" s="267"/>
      <c r="AG652" s="268"/>
      <c r="AH652" s="252"/>
      <c r="AI652" s="253"/>
      <c r="AJ652" s="267"/>
      <c r="AK652" s="268"/>
      <c r="AL652" s="252"/>
      <c r="AM652" s="253"/>
      <c r="AN652" s="267"/>
      <c r="AO652" s="268"/>
      <c r="AP652" s="255">
        <f t="shared" si="96"/>
        <v>0</v>
      </c>
      <c r="AQ652" s="256">
        <f t="shared" si="97"/>
        <v>0</v>
      </c>
      <c r="AR652" s="257">
        <f t="shared" si="98"/>
        <v>0</v>
      </c>
      <c r="AS652" s="258">
        <f t="shared" si="99"/>
        <v>0</v>
      </c>
      <c r="AT652" s="259"/>
      <c r="AU652" s="253"/>
      <c r="AV652" s="267"/>
      <c r="AW652" s="268"/>
      <c r="AX652" s="252"/>
      <c r="AY652" s="253"/>
      <c r="AZ652" s="267"/>
      <c r="BA652" s="268"/>
      <c r="BB652" s="252"/>
      <c r="BC652" s="253"/>
      <c r="BD652" s="267"/>
      <c r="BE652" s="268"/>
      <c r="BF652" s="252"/>
      <c r="BG652" s="253"/>
      <c r="BH652" s="267"/>
      <c r="BI652" s="268"/>
      <c r="BJ652" s="252"/>
      <c r="BK652" s="253"/>
      <c r="BL652" s="267"/>
      <c r="BM652" s="268"/>
      <c r="BN652" s="252"/>
      <c r="BO652" s="253"/>
      <c r="BP652" s="267"/>
      <c r="BQ652" s="268"/>
      <c r="BR652" s="252"/>
      <c r="BS652" s="253"/>
      <c r="BT652" s="267"/>
      <c r="BU652" s="268"/>
      <c r="BV652" s="252"/>
      <c r="BW652" s="253"/>
      <c r="BX652" s="267"/>
      <c r="BY652" s="268"/>
      <c r="BZ652" s="252"/>
      <c r="CA652" s="253"/>
      <c r="CB652" s="267"/>
      <c r="CC652" s="268"/>
      <c r="CD652" s="255">
        <f t="shared" si="100"/>
        <v>0</v>
      </c>
      <c r="CE652" s="256">
        <f t="shared" si="101"/>
        <v>0</v>
      </c>
      <c r="CF652" s="257">
        <f t="shared" si="102"/>
        <v>0</v>
      </c>
      <c r="CG652" s="261">
        <f t="shared" si="103"/>
        <v>0</v>
      </c>
    </row>
    <row r="653" spans="1:85" s="263" customFormat="1" ht="12.75" customHeight="1">
      <c r="A653" s="299" t="s">
        <v>77</v>
      </c>
      <c r="B653" s="414" t="s">
        <v>108</v>
      </c>
      <c r="C653" s="541" t="s">
        <v>1190</v>
      </c>
      <c r="D653" s="301">
        <v>232788</v>
      </c>
      <c r="E653" s="302">
        <v>10</v>
      </c>
      <c r="F653" s="252"/>
      <c r="G653" s="253"/>
      <c r="H653" s="267"/>
      <c r="I653" s="268"/>
      <c r="J653" s="252"/>
      <c r="K653" s="253"/>
      <c r="L653" s="267"/>
      <c r="M653" s="268"/>
      <c r="N653" s="252"/>
      <c r="O653" s="253"/>
      <c r="P653" s="267"/>
      <c r="Q653" s="268"/>
      <c r="R653" s="252"/>
      <c r="S653" s="253"/>
      <c r="T653" s="267"/>
      <c r="U653" s="268"/>
      <c r="V653" s="252"/>
      <c r="W653" s="253"/>
      <c r="X653" s="267"/>
      <c r="Y653" s="268"/>
      <c r="Z653" s="252"/>
      <c r="AA653" s="253"/>
      <c r="AB653" s="267"/>
      <c r="AC653" s="268"/>
      <c r="AD653" s="252"/>
      <c r="AE653" s="253"/>
      <c r="AF653" s="267"/>
      <c r="AG653" s="268"/>
      <c r="AH653" s="252"/>
      <c r="AI653" s="253"/>
      <c r="AJ653" s="267"/>
      <c r="AK653" s="268"/>
      <c r="AL653" s="252"/>
      <c r="AM653" s="253"/>
      <c r="AN653" s="267"/>
      <c r="AO653" s="268"/>
      <c r="AP653" s="255">
        <f t="shared" si="96"/>
        <v>0</v>
      </c>
      <c r="AQ653" s="256">
        <f t="shared" si="97"/>
        <v>0</v>
      </c>
      <c r="AR653" s="257">
        <f t="shared" si="98"/>
        <v>0</v>
      </c>
      <c r="AS653" s="258">
        <f t="shared" si="99"/>
        <v>0</v>
      </c>
      <c r="AT653" s="259"/>
      <c r="AU653" s="253"/>
      <c r="AV653" s="267"/>
      <c r="AW653" s="268"/>
      <c r="AX653" s="252"/>
      <c r="AY653" s="253"/>
      <c r="AZ653" s="267"/>
      <c r="BA653" s="268"/>
      <c r="BB653" s="252"/>
      <c r="BC653" s="253"/>
      <c r="BD653" s="267"/>
      <c r="BE653" s="268"/>
      <c r="BF653" s="252"/>
      <c r="BG653" s="253"/>
      <c r="BH653" s="267"/>
      <c r="BI653" s="268"/>
      <c r="BJ653" s="252"/>
      <c r="BK653" s="253"/>
      <c r="BL653" s="267"/>
      <c r="BM653" s="268"/>
      <c r="BN653" s="252"/>
      <c r="BO653" s="253"/>
      <c r="BP653" s="267"/>
      <c r="BQ653" s="268"/>
      <c r="BR653" s="252"/>
      <c r="BS653" s="253"/>
      <c r="BT653" s="267"/>
      <c r="BU653" s="268"/>
      <c r="BV653" s="252"/>
      <c r="BW653" s="253"/>
      <c r="BX653" s="267"/>
      <c r="BY653" s="268"/>
      <c r="BZ653" s="252"/>
      <c r="CA653" s="253"/>
      <c r="CB653" s="267"/>
      <c r="CC653" s="268"/>
      <c r="CD653" s="255">
        <f t="shared" si="100"/>
        <v>0</v>
      </c>
      <c r="CE653" s="256">
        <f t="shared" si="101"/>
        <v>0</v>
      </c>
      <c r="CF653" s="257">
        <f t="shared" si="102"/>
        <v>0</v>
      </c>
      <c r="CG653" s="261">
        <f t="shared" si="103"/>
        <v>0</v>
      </c>
    </row>
    <row r="654" spans="1:85" s="263" customFormat="1" ht="12.75" customHeight="1">
      <c r="A654" s="299" t="s">
        <v>77</v>
      </c>
      <c r="B654" s="455" t="s">
        <v>101</v>
      </c>
      <c r="C654" s="542" t="s">
        <v>1224</v>
      </c>
      <c r="D654" s="413">
        <v>233019</v>
      </c>
      <c r="E654" s="456">
        <v>10</v>
      </c>
      <c r="F654" s="252"/>
      <c r="G654" s="253"/>
      <c r="H654" s="267"/>
      <c r="I654" s="268"/>
      <c r="J654" s="252"/>
      <c r="K654" s="253"/>
      <c r="L654" s="267"/>
      <c r="M654" s="268"/>
      <c r="N654" s="252"/>
      <c r="O654" s="253"/>
      <c r="P654" s="267"/>
      <c r="Q654" s="268"/>
      <c r="R654" s="252"/>
      <c r="S654" s="253"/>
      <c r="T654" s="267"/>
      <c r="U654" s="268"/>
      <c r="V654" s="252"/>
      <c r="W654" s="253"/>
      <c r="X654" s="267"/>
      <c r="Y654" s="268"/>
      <c r="Z654" s="252"/>
      <c r="AA654" s="253"/>
      <c r="AB654" s="267"/>
      <c r="AC654" s="268"/>
      <c r="AD654" s="252"/>
      <c r="AE654" s="253"/>
      <c r="AF654" s="267"/>
      <c r="AG654" s="268"/>
      <c r="AH654" s="252"/>
      <c r="AI654" s="253"/>
      <c r="AJ654" s="267"/>
      <c r="AK654" s="268"/>
      <c r="AL654" s="252"/>
      <c r="AM654" s="253"/>
      <c r="AN654" s="267"/>
      <c r="AO654" s="268"/>
      <c r="AP654" s="255">
        <f t="shared" si="96"/>
        <v>0</v>
      </c>
      <c r="AQ654" s="256">
        <f t="shared" si="97"/>
        <v>0</v>
      </c>
      <c r="AR654" s="257">
        <f t="shared" si="98"/>
        <v>0</v>
      </c>
      <c r="AS654" s="258">
        <f t="shared" si="99"/>
        <v>0</v>
      </c>
      <c r="AT654" s="259"/>
      <c r="AU654" s="253"/>
      <c r="AV654" s="267"/>
      <c r="AW654" s="268"/>
      <c r="AX654" s="252"/>
      <c r="AY654" s="253"/>
      <c r="AZ654" s="267"/>
      <c r="BA654" s="268"/>
      <c r="BB654" s="252"/>
      <c r="BC654" s="253"/>
      <c r="BD654" s="267"/>
      <c r="BE654" s="268"/>
      <c r="BF654" s="252"/>
      <c r="BG654" s="253"/>
      <c r="BH654" s="267"/>
      <c r="BI654" s="268"/>
      <c r="BJ654" s="252"/>
      <c r="BK654" s="253"/>
      <c r="BL654" s="267"/>
      <c r="BM654" s="268"/>
      <c r="BN654" s="252"/>
      <c r="BO654" s="253"/>
      <c r="BP654" s="267"/>
      <c r="BQ654" s="268"/>
      <c r="BR654" s="252"/>
      <c r="BS654" s="253"/>
      <c r="BT654" s="267"/>
      <c r="BU654" s="268"/>
      <c r="BV654" s="252"/>
      <c r="BW654" s="253"/>
      <c r="BX654" s="267"/>
      <c r="BY654" s="268"/>
      <c r="BZ654" s="252"/>
      <c r="CA654" s="253"/>
      <c r="CB654" s="267"/>
      <c r="CC654" s="268"/>
      <c r="CD654" s="255">
        <f t="shared" si="100"/>
        <v>0</v>
      </c>
      <c r="CE654" s="256">
        <f t="shared" si="101"/>
        <v>0</v>
      </c>
      <c r="CF654" s="257">
        <f t="shared" si="102"/>
        <v>0</v>
      </c>
      <c r="CG654" s="261">
        <f t="shared" si="103"/>
        <v>0</v>
      </c>
    </row>
    <row r="655" spans="1:85" s="263" customFormat="1" ht="12.75" customHeight="1">
      <c r="A655" s="299" t="s">
        <v>77</v>
      </c>
      <c r="B655" s="417" t="s">
        <v>109</v>
      </c>
      <c r="C655" s="417"/>
      <c r="D655" s="301">
        <v>233037</v>
      </c>
      <c r="E655" s="302">
        <v>10</v>
      </c>
      <c r="F655" s="252"/>
      <c r="G655" s="253"/>
      <c r="H655" s="267"/>
      <c r="I655" s="268"/>
      <c r="J655" s="252"/>
      <c r="K655" s="253"/>
      <c r="L655" s="267"/>
      <c r="M655" s="268"/>
      <c r="N655" s="252"/>
      <c r="O655" s="253"/>
      <c r="P655" s="267"/>
      <c r="Q655" s="268"/>
      <c r="R655" s="252"/>
      <c r="S655" s="253"/>
      <c r="T655" s="267"/>
      <c r="U655" s="268"/>
      <c r="V655" s="252"/>
      <c r="W655" s="253"/>
      <c r="X655" s="267"/>
      <c r="Y655" s="268"/>
      <c r="Z655" s="252"/>
      <c r="AA655" s="253"/>
      <c r="AB655" s="267"/>
      <c r="AC655" s="268"/>
      <c r="AD655" s="252"/>
      <c r="AE655" s="253"/>
      <c r="AF655" s="267"/>
      <c r="AG655" s="268"/>
      <c r="AH655" s="252"/>
      <c r="AI655" s="253"/>
      <c r="AJ655" s="267"/>
      <c r="AK655" s="268"/>
      <c r="AL655" s="252"/>
      <c r="AM655" s="253"/>
      <c r="AN655" s="267"/>
      <c r="AO655" s="268"/>
      <c r="AP655" s="255">
        <f t="shared" si="96"/>
        <v>0</v>
      </c>
      <c r="AQ655" s="256">
        <f t="shared" si="97"/>
        <v>0</v>
      </c>
      <c r="AR655" s="257">
        <f t="shared" si="98"/>
        <v>0</v>
      </c>
      <c r="AS655" s="258">
        <f t="shared" si="99"/>
        <v>0</v>
      </c>
      <c r="AT655" s="259"/>
      <c r="AU655" s="253"/>
      <c r="AV655" s="267"/>
      <c r="AW655" s="268"/>
      <c r="AX655" s="252"/>
      <c r="AY655" s="253"/>
      <c r="AZ655" s="267"/>
      <c r="BA655" s="268"/>
      <c r="BB655" s="252"/>
      <c r="BC655" s="253"/>
      <c r="BD655" s="267"/>
      <c r="BE655" s="268"/>
      <c r="BF655" s="252"/>
      <c r="BG655" s="253"/>
      <c r="BH655" s="267"/>
      <c r="BI655" s="268"/>
      <c r="BJ655" s="252"/>
      <c r="BK655" s="253"/>
      <c r="BL655" s="267"/>
      <c r="BM655" s="268"/>
      <c r="BN655" s="252"/>
      <c r="BO655" s="253"/>
      <c r="BP655" s="267"/>
      <c r="BQ655" s="268"/>
      <c r="BR655" s="252"/>
      <c r="BS655" s="253"/>
      <c r="BT655" s="267"/>
      <c r="BU655" s="268"/>
      <c r="BV655" s="252"/>
      <c r="BW655" s="253"/>
      <c r="BX655" s="267"/>
      <c r="BY655" s="268"/>
      <c r="BZ655" s="252"/>
      <c r="CA655" s="253"/>
      <c r="CB655" s="267"/>
      <c r="CC655" s="268"/>
      <c r="CD655" s="255">
        <f t="shared" si="100"/>
        <v>0</v>
      </c>
      <c r="CE655" s="256">
        <f t="shared" si="101"/>
        <v>0</v>
      </c>
      <c r="CF655" s="257">
        <f t="shared" si="102"/>
        <v>0</v>
      </c>
      <c r="CG655" s="261">
        <f t="shared" si="103"/>
        <v>0</v>
      </c>
    </row>
    <row r="656" spans="1:85" s="263" customFormat="1" ht="12.75" customHeight="1">
      <c r="A656" s="299" t="s">
        <v>77</v>
      </c>
      <c r="B656" s="417" t="s">
        <v>110</v>
      </c>
      <c r="C656" s="417"/>
      <c r="D656" s="301">
        <v>233310</v>
      </c>
      <c r="E656" s="302">
        <v>10</v>
      </c>
      <c r="F656" s="252"/>
      <c r="G656" s="253"/>
      <c r="H656" s="267"/>
      <c r="I656" s="268"/>
      <c r="J656" s="252"/>
      <c r="K656" s="253"/>
      <c r="L656" s="267"/>
      <c r="M656" s="268"/>
      <c r="N656" s="252"/>
      <c r="O656" s="253"/>
      <c r="P656" s="267"/>
      <c r="Q656" s="268"/>
      <c r="R656" s="252"/>
      <c r="S656" s="253"/>
      <c r="T656" s="267"/>
      <c r="U656" s="268"/>
      <c r="V656" s="252"/>
      <c r="W656" s="253"/>
      <c r="X656" s="267"/>
      <c r="Y656" s="268"/>
      <c r="Z656" s="252"/>
      <c r="AA656" s="253"/>
      <c r="AB656" s="267"/>
      <c r="AC656" s="268"/>
      <c r="AD656" s="252"/>
      <c r="AE656" s="253"/>
      <c r="AF656" s="267"/>
      <c r="AG656" s="268"/>
      <c r="AH656" s="252"/>
      <c r="AI656" s="253"/>
      <c r="AJ656" s="267"/>
      <c r="AK656" s="268"/>
      <c r="AL656" s="252"/>
      <c r="AM656" s="253"/>
      <c r="AN656" s="267"/>
      <c r="AO656" s="268"/>
      <c r="AP656" s="255">
        <f t="shared" si="96"/>
        <v>0</v>
      </c>
      <c r="AQ656" s="256">
        <f t="shared" si="97"/>
        <v>0</v>
      </c>
      <c r="AR656" s="257">
        <f t="shared" si="98"/>
        <v>0</v>
      </c>
      <c r="AS656" s="258">
        <f t="shared" si="99"/>
        <v>0</v>
      </c>
      <c r="AT656" s="259"/>
      <c r="AU656" s="253"/>
      <c r="AV656" s="267"/>
      <c r="AW656" s="268"/>
      <c r="AX656" s="252"/>
      <c r="AY656" s="253"/>
      <c r="AZ656" s="267"/>
      <c r="BA656" s="268"/>
      <c r="BB656" s="252"/>
      <c r="BC656" s="253"/>
      <c r="BD656" s="267"/>
      <c r="BE656" s="268"/>
      <c r="BF656" s="252"/>
      <c r="BG656" s="253"/>
      <c r="BH656" s="267"/>
      <c r="BI656" s="268"/>
      <c r="BJ656" s="252"/>
      <c r="BK656" s="253"/>
      <c r="BL656" s="267"/>
      <c r="BM656" s="268"/>
      <c r="BN656" s="252"/>
      <c r="BO656" s="253"/>
      <c r="BP656" s="267"/>
      <c r="BQ656" s="268"/>
      <c r="BR656" s="252"/>
      <c r="BS656" s="253"/>
      <c r="BT656" s="267"/>
      <c r="BU656" s="268"/>
      <c r="BV656" s="252"/>
      <c r="BW656" s="253"/>
      <c r="BX656" s="267"/>
      <c r="BY656" s="268"/>
      <c r="BZ656" s="252"/>
      <c r="CA656" s="253"/>
      <c r="CB656" s="267"/>
      <c r="CC656" s="268"/>
      <c r="CD656" s="255">
        <f t="shared" si="100"/>
        <v>0</v>
      </c>
      <c r="CE656" s="256">
        <f t="shared" si="101"/>
        <v>0</v>
      </c>
      <c r="CF656" s="257">
        <f t="shared" si="102"/>
        <v>0</v>
      </c>
      <c r="CG656" s="261">
        <f t="shared" si="103"/>
        <v>0</v>
      </c>
    </row>
    <row r="657" spans="1:93" s="263" customFormat="1" ht="12.75" customHeight="1">
      <c r="A657" s="299" t="s">
        <v>77</v>
      </c>
      <c r="B657" s="417" t="s">
        <v>112</v>
      </c>
      <c r="C657" s="417"/>
      <c r="D657" s="301">
        <v>233903</v>
      </c>
      <c r="E657" s="302">
        <v>10</v>
      </c>
      <c r="F657" s="252"/>
      <c r="G657" s="253"/>
      <c r="H657" s="267"/>
      <c r="I657" s="268"/>
      <c r="J657" s="252"/>
      <c r="K657" s="253"/>
      <c r="L657" s="267"/>
      <c r="M657" s="268"/>
      <c r="N657" s="252"/>
      <c r="O657" s="253"/>
      <c r="P657" s="267"/>
      <c r="Q657" s="268"/>
      <c r="R657" s="252"/>
      <c r="S657" s="253"/>
      <c r="T657" s="267"/>
      <c r="U657" s="268"/>
      <c r="V657" s="252"/>
      <c r="W657" s="253"/>
      <c r="X657" s="267"/>
      <c r="Y657" s="268"/>
      <c r="Z657" s="252"/>
      <c r="AA657" s="253"/>
      <c r="AB657" s="267"/>
      <c r="AC657" s="268"/>
      <c r="AD657" s="252"/>
      <c r="AE657" s="253"/>
      <c r="AF657" s="267"/>
      <c r="AG657" s="268"/>
      <c r="AH657" s="252"/>
      <c r="AI657" s="253"/>
      <c r="AJ657" s="267"/>
      <c r="AK657" s="268"/>
      <c r="AL657" s="252"/>
      <c r="AM657" s="253"/>
      <c r="AN657" s="267"/>
      <c r="AO657" s="268"/>
      <c r="AP657" s="255">
        <f t="shared" si="96"/>
        <v>0</v>
      </c>
      <c r="AQ657" s="256">
        <f t="shared" si="97"/>
        <v>0</v>
      </c>
      <c r="AR657" s="257">
        <f t="shared" si="98"/>
        <v>0</v>
      </c>
      <c r="AS657" s="258">
        <f t="shared" si="99"/>
        <v>0</v>
      </c>
      <c r="AT657" s="259"/>
      <c r="AU657" s="253"/>
      <c r="AV657" s="267"/>
      <c r="AW657" s="268"/>
      <c r="AX657" s="252"/>
      <c r="AY657" s="253"/>
      <c r="AZ657" s="267"/>
      <c r="BA657" s="268"/>
      <c r="BB657" s="252"/>
      <c r="BC657" s="253"/>
      <c r="BD657" s="267"/>
      <c r="BE657" s="268"/>
      <c r="BF657" s="252"/>
      <c r="BG657" s="253"/>
      <c r="BH657" s="267"/>
      <c r="BI657" s="268"/>
      <c r="BJ657" s="252"/>
      <c r="BK657" s="253"/>
      <c r="BL657" s="267"/>
      <c r="BM657" s="268"/>
      <c r="BN657" s="252"/>
      <c r="BO657" s="253"/>
      <c r="BP657" s="267"/>
      <c r="BQ657" s="268"/>
      <c r="BR657" s="252"/>
      <c r="BS657" s="253"/>
      <c r="BT657" s="267"/>
      <c r="BU657" s="268"/>
      <c r="BV657" s="252"/>
      <c r="BW657" s="253"/>
      <c r="BX657" s="267"/>
      <c r="BY657" s="268"/>
      <c r="BZ657" s="252"/>
      <c r="CA657" s="253"/>
      <c r="CB657" s="267"/>
      <c r="CC657" s="268"/>
      <c r="CD657" s="255">
        <f t="shared" si="100"/>
        <v>0</v>
      </c>
      <c r="CE657" s="256">
        <f t="shared" si="101"/>
        <v>0</v>
      </c>
      <c r="CF657" s="257">
        <f t="shared" si="102"/>
        <v>0</v>
      </c>
      <c r="CG657" s="261">
        <f t="shared" si="103"/>
        <v>0</v>
      </c>
    </row>
    <row r="658" spans="1:93" s="263" customFormat="1" ht="12.75" customHeight="1">
      <c r="A658" s="299" t="s">
        <v>77</v>
      </c>
      <c r="B658" s="414" t="s">
        <v>113</v>
      </c>
      <c r="C658" s="541" t="s">
        <v>1224</v>
      </c>
      <c r="D658" s="301">
        <v>234377</v>
      </c>
      <c r="E658" s="302">
        <v>10</v>
      </c>
      <c r="F658" s="252"/>
      <c r="G658" s="253"/>
      <c r="H658" s="267"/>
      <c r="I658" s="268"/>
      <c r="J658" s="252"/>
      <c r="K658" s="253"/>
      <c r="L658" s="267"/>
      <c r="M658" s="268"/>
      <c r="N658" s="252"/>
      <c r="O658" s="253"/>
      <c r="P658" s="267"/>
      <c r="Q658" s="268"/>
      <c r="R658" s="252"/>
      <c r="S658" s="253"/>
      <c r="T658" s="267"/>
      <c r="U658" s="268"/>
      <c r="V658" s="252"/>
      <c r="W658" s="253"/>
      <c r="X658" s="267"/>
      <c r="Y658" s="268"/>
      <c r="Z658" s="252"/>
      <c r="AA658" s="253"/>
      <c r="AB658" s="267"/>
      <c r="AC658" s="268"/>
      <c r="AD658" s="252"/>
      <c r="AE658" s="253"/>
      <c r="AF658" s="267"/>
      <c r="AG658" s="268"/>
      <c r="AH658" s="252"/>
      <c r="AI658" s="253"/>
      <c r="AJ658" s="267"/>
      <c r="AK658" s="268"/>
      <c r="AL658" s="252"/>
      <c r="AM658" s="253"/>
      <c r="AN658" s="267"/>
      <c r="AO658" s="268"/>
      <c r="AP658" s="255">
        <f t="shared" si="96"/>
        <v>0</v>
      </c>
      <c r="AQ658" s="256">
        <f t="shared" si="97"/>
        <v>0</v>
      </c>
      <c r="AR658" s="257">
        <f t="shared" si="98"/>
        <v>0</v>
      </c>
      <c r="AS658" s="258">
        <f t="shared" si="99"/>
        <v>0</v>
      </c>
      <c r="AT658" s="259"/>
      <c r="AU658" s="253"/>
      <c r="AV658" s="267"/>
      <c r="AW658" s="268"/>
      <c r="AX658" s="252"/>
      <c r="AY658" s="253"/>
      <c r="AZ658" s="267"/>
      <c r="BA658" s="268"/>
      <c r="BB658" s="252"/>
      <c r="BC658" s="253"/>
      <c r="BD658" s="267"/>
      <c r="BE658" s="268"/>
      <c r="BF658" s="252"/>
      <c r="BG658" s="253"/>
      <c r="BH658" s="267"/>
      <c r="BI658" s="268"/>
      <c r="BJ658" s="252"/>
      <c r="BK658" s="253"/>
      <c r="BL658" s="267"/>
      <c r="BM658" s="268"/>
      <c r="BN658" s="252"/>
      <c r="BO658" s="253"/>
      <c r="BP658" s="267"/>
      <c r="BQ658" s="268"/>
      <c r="BR658" s="252"/>
      <c r="BS658" s="253"/>
      <c r="BT658" s="267"/>
      <c r="BU658" s="268"/>
      <c r="BV658" s="252"/>
      <c r="BW658" s="253"/>
      <c r="BX658" s="267"/>
      <c r="BY658" s="268"/>
      <c r="BZ658" s="252"/>
      <c r="CA658" s="253"/>
      <c r="CB658" s="267"/>
      <c r="CC658" s="268"/>
      <c r="CD658" s="255">
        <f t="shared" si="100"/>
        <v>0</v>
      </c>
      <c r="CE658" s="256">
        <f t="shared" si="101"/>
        <v>0</v>
      </c>
      <c r="CF658" s="257">
        <f t="shared" si="102"/>
        <v>0</v>
      </c>
      <c r="CG658" s="261">
        <f t="shared" si="103"/>
        <v>0</v>
      </c>
    </row>
    <row r="659" spans="1:93" s="263" customFormat="1" ht="12.75" customHeight="1">
      <c r="A659" s="299" t="s">
        <v>77</v>
      </c>
      <c r="B659" s="417" t="s">
        <v>111</v>
      </c>
      <c r="C659" s="417"/>
      <c r="D659" s="301">
        <v>233338</v>
      </c>
      <c r="E659" s="302" t="s">
        <v>1180</v>
      </c>
      <c r="F659" s="252">
        <v>32</v>
      </c>
      <c r="G659" s="253">
        <v>192520</v>
      </c>
      <c r="H659" s="267">
        <v>32</v>
      </c>
      <c r="I659" s="268">
        <v>175841</v>
      </c>
      <c r="J659" s="252">
        <v>32</v>
      </c>
      <c r="K659" s="253">
        <v>250044</v>
      </c>
      <c r="L659" s="267">
        <v>32</v>
      </c>
      <c r="M659" s="268">
        <v>250284</v>
      </c>
      <c r="N659" s="252">
        <v>33</v>
      </c>
      <c r="O659" s="253">
        <v>18290</v>
      </c>
      <c r="P659" s="267">
        <v>33</v>
      </c>
      <c r="Q659" s="268">
        <v>11856</v>
      </c>
      <c r="R659" s="252">
        <v>33</v>
      </c>
      <c r="S659" s="253">
        <v>139921</v>
      </c>
      <c r="T659" s="267">
        <v>33</v>
      </c>
      <c r="U659" s="268">
        <v>137419</v>
      </c>
      <c r="V659" s="252"/>
      <c r="W659" s="253"/>
      <c r="X659" s="267"/>
      <c r="Y659" s="268"/>
      <c r="Z659" s="252">
        <v>33</v>
      </c>
      <c r="AA659" s="253">
        <v>14449</v>
      </c>
      <c r="AB659" s="267">
        <v>33</v>
      </c>
      <c r="AC659" s="268">
        <v>18323</v>
      </c>
      <c r="AD659" s="252"/>
      <c r="AE659" s="253"/>
      <c r="AF659" s="267"/>
      <c r="AG659" s="268"/>
      <c r="AH659" s="252"/>
      <c r="AI659" s="253"/>
      <c r="AJ659" s="267"/>
      <c r="AK659" s="268"/>
      <c r="AL659" s="252"/>
      <c r="AM659" s="253"/>
      <c r="AN659" s="267"/>
      <c r="AO659" s="268"/>
      <c r="AP659" s="255">
        <f t="shared" si="96"/>
        <v>33</v>
      </c>
      <c r="AQ659" s="256">
        <f t="shared" si="97"/>
        <v>615224</v>
      </c>
      <c r="AR659" s="257">
        <f t="shared" si="98"/>
        <v>33</v>
      </c>
      <c r="AS659" s="258">
        <f t="shared" si="99"/>
        <v>593723</v>
      </c>
      <c r="AT659" s="259"/>
      <c r="AU659" s="253"/>
      <c r="AV659" s="267"/>
      <c r="AW659" s="268"/>
      <c r="AX659" s="252"/>
      <c r="AY659" s="253"/>
      <c r="AZ659" s="267"/>
      <c r="BA659" s="268"/>
      <c r="BB659" s="252"/>
      <c r="BC659" s="253"/>
      <c r="BD659" s="267"/>
      <c r="BE659" s="268"/>
      <c r="BF659" s="252"/>
      <c r="BG659" s="253"/>
      <c r="BH659" s="267"/>
      <c r="BI659" s="268"/>
      <c r="BJ659" s="252"/>
      <c r="BK659" s="253"/>
      <c r="BL659" s="267"/>
      <c r="BM659" s="268"/>
      <c r="BN659" s="252"/>
      <c r="BO659" s="253"/>
      <c r="BP659" s="267"/>
      <c r="BQ659" s="268"/>
      <c r="BR659" s="252"/>
      <c r="BS659" s="253"/>
      <c r="BT659" s="267"/>
      <c r="BU659" s="268"/>
      <c r="BV659" s="252"/>
      <c r="BW659" s="253"/>
      <c r="BX659" s="267"/>
      <c r="BY659" s="268"/>
      <c r="BZ659" s="252"/>
      <c r="CA659" s="253"/>
      <c r="CB659" s="267"/>
      <c r="CC659" s="268"/>
      <c r="CD659" s="255">
        <f t="shared" si="100"/>
        <v>0</v>
      </c>
      <c r="CE659" s="256">
        <f t="shared" si="101"/>
        <v>0</v>
      </c>
      <c r="CF659" s="257">
        <f t="shared" si="102"/>
        <v>0</v>
      </c>
      <c r="CG659" s="261">
        <f t="shared" si="103"/>
        <v>0</v>
      </c>
    </row>
    <row r="660" spans="1:93" s="263" customFormat="1" ht="12.75" customHeight="1">
      <c r="A660" s="299" t="s">
        <v>77</v>
      </c>
      <c r="B660" s="417" t="s">
        <v>114</v>
      </c>
      <c r="C660" s="417"/>
      <c r="D660" s="457" t="s">
        <v>1181</v>
      </c>
      <c r="E660" s="458" t="s">
        <v>1182</v>
      </c>
      <c r="F660" s="252">
        <v>1972</v>
      </c>
      <c r="G660" s="253">
        <v>12742356</v>
      </c>
      <c r="H660" s="267">
        <v>2043</v>
      </c>
      <c r="I660" s="268">
        <v>13134723</v>
      </c>
      <c r="J660" s="252">
        <v>1972</v>
      </c>
      <c r="K660" s="253">
        <v>12559668</v>
      </c>
      <c r="L660" s="267">
        <v>2043</v>
      </c>
      <c r="M660" s="268">
        <v>13011867</v>
      </c>
      <c r="N660" s="252"/>
      <c r="O660" s="253"/>
      <c r="P660" s="267"/>
      <c r="Q660" s="268"/>
      <c r="R660" s="252">
        <v>1972</v>
      </c>
      <c r="S660" s="253">
        <v>8680224</v>
      </c>
      <c r="T660" s="267">
        <v>2043</v>
      </c>
      <c r="U660" s="268">
        <v>8947521</v>
      </c>
      <c r="V660" s="252"/>
      <c r="W660" s="253"/>
      <c r="X660" s="267"/>
      <c r="Y660" s="268"/>
      <c r="Z660" s="252">
        <v>1972</v>
      </c>
      <c r="AA660" s="253">
        <v>930446</v>
      </c>
      <c r="AB660" s="267">
        <v>2043</v>
      </c>
      <c r="AC660" s="268">
        <v>959088</v>
      </c>
      <c r="AD660" s="252"/>
      <c r="AE660" s="253"/>
      <c r="AF660" s="267"/>
      <c r="AG660" s="268"/>
      <c r="AH660" s="252"/>
      <c r="AI660" s="253"/>
      <c r="AJ660" s="267"/>
      <c r="AK660" s="268"/>
      <c r="AL660" s="252"/>
      <c r="AM660" s="253"/>
      <c r="AN660" s="267"/>
      <c r="AO660" s="268"/>
      <c r="AP660" s="255">
        <f t="shared" si="96"/>
        <v>1972</v>
      </c>
      <c r="AQ660" s="256">
        <f t="shared" si="97"/>
        <v>34912694</v>
      </c>
      <c r="AR660" s="257">
        <f t="shared" si="98"/>
        <v>2043</v>
      </c>
      <c r="AS660" s="258">
        <f t="shared" si="99"/>
        <v>36053199</v>
      </c>
      <c r="AT660" s="259">
        <v>199</v>
      </c>
      <c r="AU660" s="253">
        <v>1474286</v>
      </c>
      <c r="AV660" s="267">
        <v>183</v>
      </c>
      <c r="AW660" s="268">
        <v>1365695</v>
      </c>
      <c r="AX660" s="252">
        <v>199</v>
      </c>
      <c r="AY660" s="253">
        <v>1267431</v>
      </c>
      <c r="AZ660" s="267">
        <v>183</v>
      </c>
      <c r="BA660" s="268">
        <v>1165527</v>
      </c>
      <c r="BB660" s="252"/>
      <c r="BC660" s="253"/>
      <c r="BD660" s="267"/>
      <c r="BE660" s="268"/>
      <c r="BF660" s="252">
        <v>199</v>
      </c>
      <c r="BG660" s="253">
        <v>1000684</v>
      </c>
      <c r="BH660" s="267">
        <v>183</v>
      </c>
      <c r="BI660" s="268">
        <v>926716</v>
      </c>
      <c r="BJ660" s="252"/>
      <c r="BK660" s="253"/>
      <c r="BL660" s="267"/>
      <c r="BM660" s="268"/>
      <c r="BN660" s="252">
        <v>199</v>
      </c>
      <c r="BO660" s="253">
        <v>107653</v>
      </c>
      <c r="BP660" s="267">
        <v>183</v>
      </c>
      <c r="BQ660" s="268">
        <v>99724</v>
      </c>
      <c r="BR660" s="252"/>
      <c r="BS660" s="253"/>
      <c r="BT660" s="267"/>
      <c r="BU660" s="268"/>
      <c r="BV660" s="252"/>
      <c r="BW660" s="253"/>
      <c r="BX660" s="267"/>
      <c r="BY660" s="268"/>
      <c r="BZ660" s="252"/>
      <c r="CA660" s="253"/>
      <c r="CB660" s="267"/>
      <c r="CC660" s="268"/>
      <c r="CD660" s="255">
        <f t="shared" si="100"/>
        <v>199</v>
      </c>
      <c r="CE660" s="256">
        <f t="shared" si="101"/>
        <v>3850054</v>
      </c>
      <c r="CF660" s="257">
        <f t="shared" si="102"/>
        <v>183</v>
      </c>
      <c r="CG660" s="261">
        <f t="shared" si="103"/>
        <v>3557662</v>
      </c>
    </row>
    <row r="661" spans="1:93" s="263" customFormat="1" ht="12.75" customHeight="1">
      <c r="A661" s="459" t="s">
        <v>449</v>
      </c>
      <c r="B661" s="460" t="s">
        <v>450</v>
      </c>
      <c r="C661" s="460"/>
      <c r="D661" s="461">
        <v>238032</v>
      </c>
      <c r="E661" s="462">
        <v>1</v>
      </c>
      <c r="F661" s="252">
        <v>796</v>
      </c>
      <c r="G661" s="253">
        <v>3490460</v>
      </c>
      <c r="H661" s="267">
        <v>799</v>
      </c>
      <c r="I661" s="267">
        <v>3541082</v>
      </c>
      <c r="J661" s="252">
        <v>796</v>
      </c>
      <c r="K661" s="253">
        <v>4758488</v>
      </c>
      <c r="L661" s="267">
        <v>799</v>
      </c>
      <c r="M661" s="267">
        <v>5031913</v>
      </c>
      <c r="N661" s="252"/>
      <c r="O661" s="253"/>
      <c r="P661" s="267"/>
      <c r="Q661" s="268"/>
      <c r="R661" s="252">
        <v>796</v>
      </c>
      <c r="S661" s="253">
        <v>4465601</v>
      </c>
      <c r="T661" s="267">
        <v>799</v>
      </c>
      <c r="U661" s="267">
        <v>4482370</v>
      </c>
      <c r="V661" s="252"/>
      <c r="W661" s="253"/>
      <c r="X661" s="267"/>
      <c r="Y661" s="268"/>
      <c r="Z661" s="252">
        <v>796</v>
      </c>
      <c r="AA661" s="253">
        <v>51294.239999999998</v>
      </c>
      <c r="AB661" s="267">
        <v>799</v>
      </c>
      <c r="AC661" s="267">
        <v>51487.56</v>
      </c>
      <c r="AD661" s="252">
        <v>796</v>
      </c>
      <c r="AE661" s="253">
        <v>332731</v>
      </c>
      <c r="AF661" s="267">
        <v>799</v>
      </c>
      <c r="AG661" s="267">
        <v>333980</v>
      </c>
      <c r="AH661" s="252"/>
      <c r="AI661" s="253"/>
      <c r="AJ661" s="267"/>
      <c r="AK661" s="268"/>
      <c r="AL661" s="252"/>
      <c r="AM661" s="253"/>
      <c r="AN661" s="267"/>
      <c r="AO661" s="268"/>
      <c r="AP661" s="255">
        <f t="shared" si="96"/>
        <v>796</v>
      </c>
      <c r="AQ661" s="256">
        <f t="shared" si="97"/>
        <v>13098574.24</v>
      </c>
      <c r="AR661" s="257">
        <f t="shared" si="98"/>
        <v>799</v>
      </c>
      <c r="AS661" s="258">
        <f t="shared" si="99"/>
        <v>13440832.559999999</v>
      </c>
      <c r="AT661" s="259">
        <v>151</v>
      </c>
      <c r="AU661" s="253">
        <v>961568</v>
      </c>
      <c r="AV661" s="267">
        <v>0</v>
      </c>
      <c r="AW661" s="267">
        <v>1098993</v>
      </c>
      <c r="AX661" s="252">
        <v>151</v>
      </c>
      <c r="AY661" s="253">
        <v>968514</v>
      </c>
      <c r="AZ661" s="267">
        <v>165</v>
      </c>
      <c r="BA661" s="267">
        <v>1131744</v>
      </c>
      <c r="BB661" s="252"/>
      <c r="BC661" s="253"/>
      <c r="BD661" s="267"/>
      <c r="BE661" s="268"/>
      <c r="BF661" s="252">
        <v>151</v>
      </c>
      <c r="BG661" s="253">
        <v>1251397</v>
      </c>
      <c r="BH661" s="267">
        <v>165</v>
      </c>
      <c r="BI661" s="267">
        <v>0</v>
      </c>
      <c r="BJ661" s="252"/>
      <c r="BK661" s="253"/>
      <c r="BL661" s="267"/>
      <c r="BM661" s="268"/>
      <c r="BN661" s="252">
        <v>151</v>
      </c>
      <c r="BO661" s="253">
        <v>9730</v>
      </c>
      <c r="BP661" s="267">
        <v>165</v>
      </c>
      <c r="BQ661" s="267">
        <v>10632.6</v>
      </c>
      <c r="BR661" s="252">
        <v>151</v>
      </c>
      <c r="BS661" s="253">
        <v>93241</v>
      </c>
      <c r="BT661" s="267">
        <v>165</v>
      </c>
      <c r="BU661" s="267">
        <v>0</v>
      </c>
      <c r="BV661" s="252"/>
      <c r="BW661" s="253"/>
      <c r="BX661" s="267"/>
      <c r="BY661" s="268"/>
      <c r="BZ661" s="252"/>
      <c r="CA661" s="253"/>
      <c r="CB661" s="267"/>
      <c r="CC661" s="268"/>
      <c r="CD661" s="255">
        <f t="shared" si="100"/>
        <v>151</v>
      </c>
      <c r="CE661" s="256">
        <f t="shared" si="101"/>
        <v>3284450</v>
      </c>
      <c r="CF661" s="257">
        <f t="shared" si="102"/>
        <v>165</v>
      </c>
      <c r="CG661" s="261">
        <f t="shared" si="103"/>
        <v>2241369.6</v>
      </c>
      <c r="CO661" s="463"/>
    </row>
    <row r="662" spans="1:93" s="263" customFormat="1" ht="12.75" customHeight="1">
      <c r="A662" s="459" t="s">
        <v>449</v>
      </c>
      <c r="B662" s="460" t="s">
        <v>451</v>
      </c>
      <c r="C662" s="460"/>
      <c r="D662" s="461">
        <v>237525</v>
      </c>
      <c r="E662" s="462">
        <v>3</v>
      </c>
      <c r="F662" s="252">
        <v>444</v>
      </c>
      <c r="G662" s="253">
        <v>1694809</v>
      </c>
      <c r="H662" s="267">
        <v>451</v>
      </c>
      <c r="I662" s="267">
        <v>1719820</v>
      </c>
      <c r="J662" s="252">
        <v>444</v>
      </c>
      <c r="K662" s="253">
        <v>3071592</v>
      </c>
      <c r="L662" s="267">
        <v>451</v>
      </c>
      <c r="M662" s="267">
        <v>2781024</v>
      </c>
      <c r="N662" s="252"/>
      <c r="O662" s="253"/>
      <c r="P662" s="267"/>
      <c r="Q662" s="268"/>
      <c r="R662" s="252">
        <v>444</v>
      </c>
      <c r="S662" s="253">
        <v>2049984</v>
      </c>
      <c r="T662" s="267">
        <v>451</v>
      </c>
      <c r="U662" s="267">
        <v>2094413.5574999999</v>
      </c>
      <c r="V662" s="252"/>
      <c r="W662" s="253"/>
      <c r="X662" s="267"/>
      <c r="Y662" s="268"/>
      <c r="Z662" s="252">
        <v>444</v>
      </c>
      <c r="AA662" s="253">
        <v>28611.360000000001</v>
      </c>
      <c r="AB662" s="267">
        <v>451</v>
      </c>
      <c r="AC662" s="267">
        <v>29062.44</v>
      </c>
      <c r="AD662" s="252">
        <v>444</v>
      </c>
      <c r="AE662" s="253">
        <v>152744</v>
      </c>
      <c r="AF662" s="267">
        <v>451</v>
      </c>
      <c r="AG662" s="267">
        <v>156054.34349999999</v>
      </c>
      <c r="AH662" s="252"/>
      <c r="AI662" s="253"/>
      <c r="AJ662" s="267"/>
      <c r="AK662" s="268"/>
      <c r="AL662" s="252"/>
      <c r="AM662" s="253"/>
      <c r="AN662" s="267"/>
      <c r="AO662" s="268"/>
      <c r="AP662" s="255">
        <f t="shared" si="96"/>
        <v>444</v>
      </c>
      <c r="AQ662" s="256">
        <f t="shared" si="97"/>
        <v>6997740.3599999994</v>
      </c>
      <c r="AR662" s="257">
        <f t="shared" si="98"/>
        <v>451</v>
      </c>
      <c r="AS662" s="258">
        <f t="shared" si="99"/>
        <v>6780374.341</v>
      </c>
      <c r="AT662" s="259">
        <v>25</v>
      </c>
      <c r="AU662" s="253">
        <v>152877</v>
      </c>
      <c r="AV662" s="267">
        <v>27</v>
      </c>
      <c r="AW662" s="267">
        <v>158978</v>
      </c>
      <c r="AX662" s="252">
        <v>25</v>
      </c>
      <c r="AY662" s="253">
        <v>182100</v>
      </c>
      <c r="AZ662" s="267">
        <v>27</v>
      </c>
      <c r="BA662" s="267">
        <v>169470</v>
      </c>
      <c r="BB662" s="252"/>
      <c r="BC662" s="253"/>
      <c r="BD662" s="267"/>
      <c r="BE662" s="268"/>
      <c r="BF662" s="252">
        <v>25</v>
      </c>
      <c r="BG662" s="253">
        <v>172435</v>
      </c>
      <c r="BH662" s="267">
        <v>27</v>
      </c>
      <c r="BI662" s="267">
        <v>189416.67749999999</v>
      </c>
      <c r="BJ662" s="252"/>
      <c r="BK662" s="253"/>
      <c r="BL662" s="267"/>
      <c r="BM662" s="268"/>
      <c r="BN662" s="252">
        <v>25</v>
      </c>
      <c r="BO662" s="253">
        <v>1611</v>
      </c>
      <c r="BP662" s="267">
        <v>27</v>
      </c>
      <c r="BQ662" s="267">
        <v>1739.8799999999999</v>
      </c>
      <c r="BR662" s="252">
        <v>25</v>
      </c>
      <c r="BS662" s="253">
        <v>12848</v>
      </c>
      <c r="BT662" s="267">
        <v>27</v>
      </c>
      <c r="BU662" s="267">
        <v>14113.3995</v>
      </c>
      <c r="BV662" s="252"/>
      <c r="BW662" s="253"/>
      <c r="BX662" s="267"/>
      <c r="BY662" s="268"/>
      <c r="BZ662" s="252"/>
      <c r="CA662" s="253"/>
      <c r="CB662" s="267"/>
      <c r="CC662" s="268"/>
      <c r="CD662" s="255">
        <f t="shared" si="100"/>
        <v>25</v>
      </c>
      <c r="CE662" s="256">
        <f t="shared" si="101"/>
        <v>521871</v>
      </c>
      <c r="CF662" s="257">
        <f t="shared" si="102"/>
        <v>27</v>
      </c>
      <c r="CG662" s="261">
        <f t="shared" si="103"/>
        <v>533717.95699999994</v>
      </c>
      <c r="CO662" s="463"/>
    </row>
    <row r="663" spans="1:93" s="263" customFormat="1" ht="12.75" customHeight="1">
      <c r="A663" s="459" t="s">
        <v>449</v>
      </c>
      <c r="B663" s="460" t="s">
        <v>210</v>
      </c>
      <c r="C663" s="460"/>
      <c r="D663" s="461">
        <v>237367</v>
      </c>
      <c r="E663" s="462">
        <v>5</v>
      </c>
      <c r="F663" s="252">
        <v>149</v>
      </c>
      <c r="G663" s="253">
        <v>571266</v>
      </c>
      <c r="H663" s="267">
        <v>146</v>
      </c>
      <c r="I663" s="267">
        <v>554450</v>
      </c>
      <c r="J663" s="252">
        <v>149</v>
      </c>
      <c r="K663" s="253">
        <v>1056857</v>
      </c>
      <c r="L663" s="267">
        <v>146</v>
      </c>
      <c r="M663" s="267">
        <v>867696</v>
      </c>
      <c r="N663" s="252"/>
      <c r="O663" s="253"/>
      <c r="P663" s="267"/>
      <c r="Q663" s="268"/>
      <c r="R663" s="252">
        <v>149</v>
      </c>
      <c r="S663" s="253">
        <v>665262</v>
      </c>
      <c r="T663" s="267">
        <v>146</v>
      </c>
      <c r="U663" s="267">
        <v>654682.10399999993</v>
      </c>
      <c r="V663" s="252"/>
      <c r="W663" s="253"/>
      <c r="X663" s="267"/>
      <c r="Y663" s="268"/>
      <c r="Z663" s="252">
        <v>149</v>
      </c>
      <c r="AA663" s="253">
        <v>9601.56</v>
      </c>
      <c r="AB663" s="267">
        <v>146</v>
      </c>
      <c r="AC663" s="267">
        <v>9408.24</v>
      </c>
      <c r="AD663" s="252">
        <v>149</v>
      </c>
      <c r="AE663" s="253">
        <v>49569</v>
      </c>
      <c r="AF663" s="267">
        <v>146</v>
      </c>
      <c r="AG663" s="267">
        <v>48780.235199999988</v>
      </c>
      <c r="AH663" s="252"/>
      <c r="AI663" s="253"/>
      <c r="AJ663" s="267"/>
      <c r="AK663" s="268"/>
      <c r="AL663" s="252"/>
      <c r="AM663" s="253"/>
      <c r="AN663" s="267"/>
      <c r="AO663" s="268"/>
      <c r="AP663" s="255">
        <f t="shared" si="96"/>
        <v>149</v>
      </c>
      <c r="AQ663" s="256">
        <f t="shared" si="97"/>
        <v>2352555.56</v>
      </c>
      <c r="AR663" s="257">
        <f t="shared" si="98"/>
        <v>146</v>
      </c>
      <c r="AS663" s="258">
        <f t="shared" si="99"/>
        <v>2135016.5792</v>
      </c>
      <c r="AT663" s="259">
        <v>19</v>
      </c>
      <c r="AU663" s="253">
        <v>75886</v>
      </c>
      <c r="AV663" s="267">
        <v>17</v>
      </c>
      <c r="AW663" s="267">
        <v>68131</v>
      </c>
      <c r="AX663" s="252">
        <v>19</v>
      </c>
      <c r="AY663" s="253">
        <v>123595</v>
      </c>
      <c r="AZ663" s="267">
        <v>17</v>
      </c>
      <c r="BA663" s="267">
        <v>108048</v>
      </c>
      <c r="BB663" s="252"/>
      <c r="BC663" s="253"/>
      <c r="BD663" s="267"/>
      <c r="BE663" s="268"/>
      <c r="BF663" s="252">
        <v>19</v>
      </c>
      <c r="BG663" s="253">
        <v>107431</v>
      </c>
      <c r="BH663" s="267">
        <v>17</v>
      </c>
      <c r="BI663" s="267">
        <v>96538.715999999986</v>
      </c>
      <c r="BJ663" s="252"/>
      <c r="BK663" s="253"/>
      <c r="BL663" s="267"/>
      <c r="BM663" s="268"/>
      <c r="BN663" s="252">
        <v>19</v>
      </c>
      <c r="BO663" s="253">
        <v>1224</v>
      </c>
      <c r="BP663" s="267">
        <v>17</v>
      </c>
      <c r="BQ663" s="267">
        <v>1095.48</v>
      </c>
      <c r="BR663" s="252">
        <v>19</v>
      </c>
      <c r="BS663" s="253">
        <v>8005</v>
      </c>
      <c r="BT663" s="267">
        <v>17</v>
      </c>
      <c r="BU663" s="267">
        <v>7193.0807999999997</v>
      </c>
      <c r="BV663" s="252"/>
      <c r="BW663" s="253"/>
      <c r="BX663" s="267"/>
      <c r="BY663" s="268"/>
      <c r="BZ663" s="252"/>
      <c r="CA663" s="253"/>
      <c r="CB663" s="267"/>
      <c r="CC663" s="268"/>
      <c r="CD663" s="255">
        <f t="shared" si="100"/>
        <v>19</v>
      </c>
      <c r="CE663" s="256">
        <f t="shared" si="101"/>
        <v>316141</v>
      </c>
      <c r="CF663" s="257">
        <f t="shared" si="102"/>
        <v>17</v>
      </c>
      <c r="CG663" s="261">
        <f t="shared" si="103"/>
        <v>281006.27679999999</v>
      </c>
      <c r="CO663" s="463"/>
    </row>
    <row r="664" spans="1:93" s="263" customFormat="1" ht="12.75" customHeight="1">
      <c r="A664" s="459" t="s">
        <v>449</v>
      </c>
      <c r="B664" s="460" t="s">
        <v>452</v>
      </c>
      <c r="C664" s="460"/>
      <c r="D664" s="461">
        <v>237215</v>
      </c>
      <c r="E664" s="462">
        <v>6</v>
      </c>
      <c r="F664" s="252">
        <v>71</v>
      </c>
      <c r="G664" s="253">
        <v>246015</v>
      </c>
      <c r="H664" s="267">
        <v>71</v>
      </c>
      <c r="I664" s="267">
        <v>248666</v>
      </c>
      <c r="J664" s="252">
        <v>71</v>
      </c>
      <c r="K664" s="253">
        <v>309915</v>
      </c>
      <c r="L664" s="267">
        <v>71</v>
      </c>
      <c r="M664" s="267">
        <v>307711</v>
      </c>
      <c r="N664" s="252"/>
      <c r="O664" s="253"/>
      <c r="P664" s="267"/>
      <c r="Q664" s="268"/>
      <c r="R664" s="252">
        <v>71</v>
      </c>
      <c r="S664" s="253">
        <v>307966</v>
      </c>
      <c r="T664" s="267">
        <v>71</v>
      </c>
      <c r="U664" s="267">
        <v>311018.55299999996</v>
      </c>
      <c r="V664" s="252"/>
      <c r="W664" s="253"/>
      <c r="X664" s="267"/>
      <c r="Y664" s="268"/>
      <c r="Z664" s="252">
        <v>71</v>
      </c>
      <c r="AA664" s="253">
        <v>4575.24</v>
      </c>
      <c r="AB664" s="267">
        <v>71</v>
      </c>
      <c r="AC664" s="267">
        <v>4575.24</v>
      </c>
      <c r="AD664" s="252">
        <v>71</v>
      </c>
      <c r="AE664" s="253">
        <v>22946</v>
      </c>
      <c r="AF664" s="267">
        <v>71</v>
      </c>
      <c r="AG664" s="267">
        <v>23173.931399999998</v>
      </c>
      <c r="AH664" s="252"/>
      <c r="AI664" s="253"/>
      <c r="AJ664" s="267"/>
      <c r="AK664" s="268"/>
      <c r="AL664" s="252"/>
      <c r="AM664" s="253"/>
      <c r="AN664" s="267"/>
      <c r="AO664" s="268"/>
      <c r="AP664" s="255">
        <f t="shared" si="96"/>
        <v>71</v>
      </c>
      <c r="AQ664" s="256">
        <f t="shared" si="97"/>
        <v>891417.24</v>
      </c>
      <c r="AR664" s="257">
        <f t="shared" si="98"/>
        <v>71</v>
      </c>
      <c r="AS664" s="258">
        <f t="shared" si="99"/>
        <v>895144.72439999995</v>
      </c>
      <c r="AT664" s="259">
        <v>5</v>
      </c>
      <c r="AU664" s="253">
        <v>35195</v>
      </c>
      <c r="AV664" s="267">
        <v>5</v>
      </c>
      <c r="AW664" s="267">
        <v>35218</v>
      </c>
      <c r="AX664" s="252">
        <v>5</v>
      </c>
      <c r="AY664" s="253">
        <v>20005</v>
      </c>
      <c r="AZ664" s="267">
        <v>5</v>
      </c>
      <c r="BA664" s="267">
        <v>20088</v>
      </c>
      <c r="BB664" s="252"/>
      <c r="BC664" s="253"/>
      <c r="BD664" s="267"/>
      <c r="BE664" s="268"/>
      <c r="BF664" s="252">
        <v>5</v>
      </c>
      <c r="BG664" s="253">
        <v>29020</v>
      </c>
      <c r="BH664" s="267">
        <v>5</v>
      </c>
      <c r="BI664" s="267">
        <v>25680.285</v>
      </c>
      <c r="BJ664" s="252"/>
      <c r="BK664" s="253"/>
      <c r="BL664" s="267"/>
      <c r="BM664" s="268"/>
      <c r="BN664" s="252">
        <v>5</v>
      </c>
      <c r="BO664" s="253">
        <v>322</v>
      </c>
      <c r="BP664" s="267">
        <v>5</v>
      </c>
      <c r="BQ664" s="267">
        <v>322.2</v>
      </c>
      <c r="BR664" s="252">
        <v>5</v>
      </c>
      <c r="BS664" s="253">
        <v>2162</v>
      </c>
      <c r="BT664" s="267">
        <v>5</v>
      </c>
      <c r="BU664" s="267">
        <v>1913.4329999999998</v>
      </c>
      <c r="BV664" s="252"/>
      <c r="BW664" s="253"/>
      <c r="BX664" s="267"/>
      <c r="BY664" s="268"/>
      <c r="BZ664" s="252"/>
      <c r="CA664" s="253"/>
      <c r="CB664" s="267"/>
      <c r="CC664" s="268"/>
      <c r="CD664" s="255">
        <f t="shared" si="100"/>
        <v>5</v>
      </c>
      <c r="CE664" s="256">
        <f t="shared" si="101"/>
        <v>86704</v>
      </c>
      <c r="CF664" s="257">
        <f t="shared" si="102"/>
        <v>5</v>
      </c>
      <c r="CG664" s="261">
        <f t="shared" si="103"/>
        <v>83221.918000000005</v>
      </c>
      <c r="CO664" s="463"/>
    </row>
    <row r="665" spans="1:93" s="263" customFormat="1" ht="12.75" customHeight="1">
      <c r="A665" s="459" t="s">
        <v>449</v>
      </c>
      <c r="B665" s="460" t="s">
        <v>453</v>
      </c>
      <c r="C665" s="460"/>
      <c r="D665" s="461">
        <v>237330</v>
      </c>
      <c r="E665" s="462">
        <v>6</v>
      </c>
      <c r="F665" s="252">
        <v>105</v>
      </c>
      <c r="G665" s="253">
        <v>375690</v>
      </c>
      <c r="H665" s="267">
        <v>107</v>
      </c>
      <c r="I665" s="267">
        <v>368532</v>
      </c>
      <c r="J665" s="252">
        <v>105</v>
      </c>
      <c r="K665" s="253">
        <v>691845</v>
      </c>
      <c r="L665" s="267">
        <v>107</v>
      </c>
      <c r="M665" s="267">
        <v>463656</v>
      </c>
      <c r="N665" s="252"/>
      <c r="O665" s="253"/>
      <c r="P665" s="267"/>
      <c r="Q665" s="268"/>
      <c r="R665" s="252">
        <v>105</v>
      </c>
      <c r="S665" s="253">
        <v>423305</v>
      </c>
      <c r="T665" s="267">
        <v>107</v>
      </c>
      <c r="U665" s="267">
        <v>445348.49850000005</v>
      </c>
      <c r="V665" s="252"/>
      <c r="W665" s="253"/>
      <c r="X665" s="267"/>
      <c r="Y665" s="268"/>
      <c r="Z665" s="252">
        <v>105</v>
      </c>
      <c r="AA665" s="253">
        <v>6766.2</v>
      </c>
      <c r="AB665" s="267">
        <v>107</v>
      </c>
      <c r="AC665" s="267">
        <v>6895.08</v>
      </c>
      <c r="AD665" s="252">
        <v>105</v>
      </c>
      <c r="AE665" s="253">
        <v>31540</v>
      </c>
      <c r="AF665" s="267">
        <v>107</v>
      </c>
      <c r="AG665" s="267">
        <v>33182.829299999998</v>
      </c>
      <c r="AH665" s="252"/>
      <c r="AI665" s="253"/>
      <c r="AJ665" s="267"/>
      <c r="AK665" s="268"/>
      <c r="AL665" s="252"/>
      <c r="AM665" s="253"/>
      <c r="AN665" s="267"/>
      <c r="AO665" s="268"/>
      <c r="AP665" s="255">
        <f t="shared" ref="AP665:AP681" si="104">MAX(AL665,AH665,AD665,Z665,V665,R665,N665,J665,F665)</f>
        <v>105</v>
      </c>
      <c r="AQ665" s="256">
        <f t="shared" ref="AQ665:AQ681" si="105">SUM(AM665,AI665,AE665,AA665,W665,S665,O665,K665,G665)</f>
        <v>1529146.2</v>
      </c>
      <c r="AR665" s="257">
        <f t="shared" ref="AR665:AR681" si="106">MAX(AN665,AJ665,AF665,AB665,X665,T665,P665,L665,H665)</f>
        <v>107</v>
      </c>
      <c r="AS665" s="258">
        <f t="shared" ref="AS665:AS681" si="107">SUM(AO665,AK665,AG665,AC665,Y665,U665,Q665,M665,I665)</f>
        <v>1317614.4078000002</v>
      </c>
      <c r="AT665" s="259">
        <v>4</v>
      </c>
      <c r="AU665" s="253">
        <v>20564</v>
      </c>
      <c r="AV665" s="267">
        <v>5</v>
      </c>
      <c r="AW665" s="267">
        <v>22679</v>
      </c>
      <c r="AX665" s="252">
        <v>4</v>
      </c>
      <c r="AY665" s="253">
        <v>26928</v>
      </c>
      <c r="AZ665" s="267">
        <v>5</v>
      </c>
      <c r="BA665" s="267">
        <v>33420</v>
      </c>
      <c r="BB665" s="252"/>
      <c r="BC665" s="253"/>
      <c r="BD665" s="267"/>
      <c r="BE665" s="268"/>
      <c r="BF665" s="252">
        <v>4</v>
      </c>
      <c r="BG665" s="253">
        <v>25155</v>
      </c>
      <c r="BH665" s="267">
        <v>5</v>
      </c>
      <c r="BI665" s="267">
        <v>29931.39</v>
      </c>
      <c r="BJ665" s="252"/>
      <c r="BK665" s="253"/>
      <c r="BL665" s="267"/>
      <c r="BM665" s="268"/>
      <c r="BN665" s="252">
        <v>4</v>
      </c>
      <c r="BO665" s="253">
        <v>258</v>
      </c>
      <c r="BP665" s="267">
        <v>5</v>
      </c>
      <c r="BQ665" s="267">
        <v>322.2</v>
      </c>
      <c r="BR665" s="252">
        <v>4</v>
      </c>
      <c r="BS665" s="253">
        <v>1874</v>
      </c>
      <c r="BT665" s="267">
        <v>5</v>
      </c>
      <c r="BU665" s="267">
        <v>2230.1819999999998</v>
      </c>
      <c r="BV665" s="252"/>
      <c r="BW665" s="253"/>
      <c r="BX665" s="267"/>
      <c r="BY665" s="268"/>
      <c r="BZ665" s="252"/>
      <c r="CA665" s="253"/>
      <c r="CB665" s="267"/>
      <c r="CC665" s="268"/>
      <c r="CD665" s="255">
        <f t="shared" ref="CD665:CD681" si="108">MAX(BZ665,BV665,BR665,BN665,BJ665,BF665,BB665,AX665,AT665)</f>
        <v>4</v>
      </c>
      <c r="CE665" s="256">
        <f t="shared" ref="CE665:CE681" si="109">SUM(CA665,BW665,BS665,BO665,BK665,BG665,BC665,AY665,AU665)</f>
        <v>74779</v>
      </c>
      <c r="CF665" s="257">
        <f t="shared" ref="CF665:CF681" si="110">MAX(CB665,BX665,BT665,BP665,BL665,BH665,BD665,AZ665,AV665)</f>
        <v>5</v>
      </c>
      <c r="CG665" s="261">
        <f t="shared" ref="CG665:CG681" si="111">SUM(CC665,BY665,BU665,BQ665,BM665,BI665,BE665,BA665,AW665)</f>
        <v>88582.771999999997</v>
      </c>
      <c r="CO665" s="463"/>
    </row>
    <row r="666" spans="1:93" s="263" customFormat="1" ht="12.75" customHeight="1">
      <c r="A666" s="459" t="s">
        <v>449</v>
      </c>
      <c r="B666" s="460" t="s">
        <v>454</v>
      </c>
      <c r="C666" s="460"/>
      <c r="D666" s="461">
        <v>237385</v>
      </c>
      <c r="E666" s="462">
        <v>6</v>
      </c>
      <c r="F666" s="252">
        <v>57</v>
      </c>
      <c r="G666" s="253">
        <v>198588</v>
      </c>
      <c r="H666" s="267">
        <v>63</v>
      </c>
      <c r="I666" s="267">
        <v>223597</v>
      </c>
      <c r="J666" s="252">
        <v>57</v>
      </c>
      <c r="K666" s="253">
        <v>343596</v>
      </c>
      <c r="L666" s="267">
        <v>63</v>
      </c>
      <c r="M666" s="267">
        <v>370182</v>
      </c>
      <c r="N666" s="252"/>
      <c r="O666" s="253"/>
      <c r="P666" s="267"/>
      <c r="Q666" s="268"/>
      <c r="R666" s="252">
        <v>57</v>
      </c>
      <c r="S666" s="253">
        <v>212073</v>
      </c>
      <c r="T666" s="267">
        <v>63</v>
      </c>
      <c r="U666" s="267">
        <v>236936.25899999999</v>
      </c>
      <c r="V666" s="252"/>
      <c r="W666" s="253"/>
      <c r="X666" s="267"/>
      <c r="Y666" s="268"/>
      <c r="Z666" s="252">
        <v>57</v>
      </c>
      <c r="AA666" s="253">
        <v>3673.08</v>
      </c>
      <c r="AB666" s="267">
        <v>63</v>
      </c>
      <c r="AC666" s="267">
        <v>4059.72</v>
      </c>
      <c r="AD666" s="252">
        <v>57</v>
      </c>
      <c r="AE666" s="253">
        <v>15802</v>
      </c>
      <c r="AF666" s="267">
        <v>63</v>
      </c>
      <c r="AG666" s="267">
        <v>17654.074199999999</v>
      </c>
      <c r="AH666" s="252"/>
      <c r="AI666" s="253"/>
      <c r="AJ666" s="267"/>
      <c r="AK666" s="268"/>
      <c r="AL666" s="252"/>
      <c r="AM666" s="253"/>
      <c r="AN666" s="267"/>
      <c r="AO666" s="268"/>
      <c r="AP666" s="255">
        <f t="shared" si="104"/>
        <v>57</v>
      </c>
      <c r="AQ666" s="256">
        <f t="shared" si="105"/>
        <v>773732.08000000007</v>
      </c>
      <c r="AR666" s="257">
        <f t="shared" si="106"/>
        <v>63</v>
      </c>
      <c r="AS666" s="258">
        <f t="shared" si="107"/>
        <v>852429.05319999997</v>
      </c>
      <c r="AT666" s="259">
        <v>3</v>
      </c>
      <c r="AU666" s="253">
        <v>17916</v>
      </c>
      <c r="AV666" s="267">
        <v>4</v>
      </c>
      <c r="AW666" s="267">
        <v>18271</v>
      </c>
      <c r="AX666" s="252">
        <v>3</v>
      </c>
      <c r="AY666" s="253">
        <v>17886</v>
      </c>
      <c r="AZ666" s="267">
        <v>4</v>
      </c>
      <c r="BA666" s="267">
        <v>17886</v>
      </c>
      <c r="BB666" s="252"/>
      <c r="BC666" s="253"/>
      <c r="BD666" s="267"/>
      <c r="BE666" s="268"/>
      <c r="BF666" s="252">
        <v>3</v>
      </c>
      <c r="BG666" s="253">
        <v>13987</v>
      </c>
      <c r="BH666" s="267">
        <v>4</v>
      </c>
      <c r="BI666" s="267">
        <v>16781.957999999999</v>
      </c>
      <c r="BJ666" s="252"/>
      <c r="BK666" s="253"/>
      <c r="BL666" s="267"/>
      <c r="BM666" s="268"/>
      <c r="BN666" s="252">
        <v>3</v>
      </c>
      <c r="BO666" s="253">
        <v>193</v>
      </c>
      <c r="BP666" s="267">
        <v>4</v>
      </c>
      <c r="BQ666" s="267">
        <v>257.76</v>
      </c>
      <c r="BR666" s="252">
        <v>3</v>
      </c>
      <c r="BS666" s="253">
        <v>1042</v>
      </c>
      <c r="BT666" s="267">
        <v>4</v>
      </c>
      <c r="BU666" s="267">
        <v>1250.4203999999997</v>
      </c>
      <c r="BV666" s="252"/>
      <c r="BW666" s="253"/>
      <c r="BX666" s="267"/>
      <c r="BY666" s="268"/>
      <c r="BZ666" s="252"/>
      <c r="CA666" s="253"/>
      <c r="CB666" s="267"/>
      <c r="CC666" s="268"/>
      <c r="CD666" s="255">
        <f t="shared" si="108"/>
        <v>3</v>
      </c>
      <c r="CE666" s="256">
        <f t="shared" si="109"/>
        <v>51024</v>
      </c>
      <c r="CF666" s="257">
        <f t="shared" si="110"/>
        <v>4</v>
      </c>
      <c r="CG666" s="261">
        <f t="shared" si="111"/>
        <v>54447.138399999996</v>
      </c>
      <c r="CO666" s="463"/>
    </row>
    <row r="667" spans="1:93" s="263" customFormat="1" ht="12.75" customHeight="1">
      <c r="A667" s="459" t="s">
        <v>449</v>
      </c>
      <c r="B667" s="545" t="s">
        <v>455</v>
      </c>
      <c r="C667" s="546" t="s">
        <v>1279</v>
      </c>
      <c r="D667" s="461">
        <v>237792</v>
      </c>
      <c r="E667" s="547">
        <v>5</v>
      </c>
      <c r="F667" s="252">
        <v>120</v>
      </c>
      <c r="G667" s="253">
        <v>456240</v>
      </c>
      <c r="H667" s="267">
        <v>121</v>
      </c>
      <c r="I667" s="267">
        <v>469997</v>
      </c>
      <c r="J667" s="252">
        <v>120</v>
      </c>
      <c r="K667" s="253">
        <v>754320</v>
      </c>
      <c r="L667" s="267">
        <v>121</v>
      </c>
      <c r="M667" s="267">
        <v>633624</v>
      </c>
      <c r="N667" s="252"/>
      <c r="O667" s="253"/>
      <c r="P667" s="267"/>
      <c r="Q667" s="268"/>
      <c r="R667" s="252">
        <v>120</v>
      </c>
      <c r="S667" s="253">
        <v>539756</v>
      </c>
      <c r="T667" s="267">
        <v>121</v>
      </c>
      <c r="U667" s="267">
        <v>553279.51800000004</v>
      </c>
      <c r="V667" s="252"/>
      <c r="W667" s="253"/>
      <c r="X667" s="267"/>
      <c r="Y667" s="268"/>
      <c r="Z667" s="252">
        <v>120</v>
      </c>
      <c r="AA667" s="253">
        <v>7732.8</v>
      </c>
      <c r="AB667" s="267">
        <v>121</v>
      </c>
      <c r="AC667" s="267">
        <v>7797.24</v>
      </c>
      <c r="AD667" s="252">
        <v>120</v>
      </c>
      <c r="AE667" s="253">
        <v>40217</v>
      </c>
      <c r="AF667" s="267">
        <v>121</v>
      </c>
      <c r="AG667" s="267">
        <v>41224.748399999997</v>
      </c>
      <c r="AH667" s="252"/>
      <c r="AI667" s="253"/>
      <c r="AJ667" s="267"/>
      <c r="AK667" s="268"/>
      <c r="AL667" s="252"/>
      <c r="AM667" s="253"/>
      <c r="AN667" s="267"/>
      <c r="AO667" s="268"/>
      <c r="AP667" s="255">
        <f t="shared" si="104"/>
        <v>120</v>
      </c>
      <c r="AQ667" s="256">
        <f t="shared" si="105"/>
        <v>1798265.8</v>
      </c>
      <c r="AR667" s="257">
        <f t="shared" si="106"/>
        <v>121</v>
      </c>
      <c r="AS667" s="258">
        <f t="shared" si="107"/>
        <v>1705922.5064000001</v>
      </c>
      <c r="AT667" s="259">
        <v>4</v>
      </c>
      <c r="AU667" s="253">
        <v>18180</v>
      </c>
      <c r="AV667" s="267">
        <v>4</v>
      </c>
      <c r="AW667" s="267">
        <v>18607</v>
      </c>
      <c r="AX667" s="252">
        <v>4</v>
      </c>
      <c r="AY667" s="253">
        <v>31308</v>
      </c>
      <c r="AZ667" s="267">
        <v>4</v>
      </c>
      <c r="BA667" s="267">
        <v>23244</v>
      </c>
      <c r="BB667" s="252"/>
      <c r="BC667" s="253"/>
      <c r="BD667" s="267"/>
      <c r="BE667" s="268"/>
      <c r="BF667" s="252">
        <v>4</v>
      </c>
      <c r="BG667" s="253">
        <v>23522</v>
      </c>
      <c r="BH667" s="267">
        <v>4</v>
      </c>
      <c r="BI667" s="267">
        <v>24088.32</v>
      </c>
      <c r="BJ667" s="252"/>
      <c r="BK667" s="253"/>
      <c r="BL667" s="267"/>
      <c r="BM667" s="268"/>
      <c r="BN667" s="252">
        <v>4</v>
      </c>
      <c r="BO667" s="253">
        <v>258</v>
      </c>
      <c r="BP667" s="267">
        <v>4</v>
      </c>
      <c r="BQ667" s="267">
        <v>257.76</v>
      </c>
      <c r="BR667" s="252">
        <v>4</v>
      </c>
      <c r="BS667" s="253">
        <v>1753</v>
      </c>
      <c r="BT667" s="267">
        <v>4</v>
      </c>
      <c r="BU667" s="267">
        <v>1794.8159999999998</v>
      </c>
      <c r="BV667" s="252"/>
      <c r="BW667" s="253"/>
      <c r="BX667" s="267"/>
      <c r="BY667" s="268"/>
      <c r="BZ667" s="252"/>
      <c r="CA667" s="253"/>
      <c r="CB667" s="267"/>
      <c r="CC667" s="268"/>
      <c r="CD667" s="255">
        <f t="shared" si="108"/>
        <v>4</v>
      </c>
      <c r="CE667" s="256">
        <f t="shared" si="109"/>
        <v>75021</v>
      </c>
      <c r="CF667" s="257">
        <f t="shared" si="110"/>
        <v>4</v>
      </c>
      <c r="CG667" s="261">
        <f t="shared" si="111"/>
        <v>67991.896000000008</v>
      </c>
      <c r="CO667" s="463"/>
    </row>
    <row r="668" spans="1:93" s="263" customFormat="1" ht="12.75" customHeight="1">
      <c r="A668" s="459" t="s">
        <v>449</v>
      </c>
      <c r="B668" s="464" t="s">
        <v>10</v>
      </c>
      <c r="C668" s="464"/>
      <c r="D668" s="461">
        <v>237932</v>
      </c>
      <c r="E668" s="462">
        <v>6</v>
      </c>
      <c r="F668" s="252">
        <v>107</v>
      </c>
      <c r="G668" s="253">
        <v>310514</v>
      </c>
      <c r="H668" s="267">
        <v>109</v>
      </c>
      <c r="I668" s="267">
        <v>326506</v>
      </c>
      <c r="J668" s="252">
        <v>107</v>
      </c>
      <c r="K668" s="253">
        <v>635580</v>
      </c>
      <c r="L668" s="267">
        <v>109</v>
      </c>
      <c r="M668" s="267">
        <v>507764</v>
      </c>
      <c r="N668" s="252"/>
      <c r="O668" s="253"/>
      <c r="P668" s="267"/>
      <c r="Q668" s="268"/>
      <c r="R668" s="252">
        <v>107</v>
      </c>
      <c r="S668" s="253">
        <v>413523</v>
      </c>
      <c r="T668" s="267">
        <v>109</v>
      </c>
      <c r="U668" s="267">
        <v>438496.69949999999</v>
      </c>
      <c r="V668" s="252"/>
      <c r="W668" s="253"/>
      <c r="X668" s="267"/>
      <c r="Y668" s="268"/>
      <c r="Z668" s="252">
        <v>107</v>
      </c>
      <c r="AA668" s="253">
        <v>6895.08</v>
      </c>
      <c r="AB668" s="267">
        <v>109</v>
      </c>
      <c r="AC668" s="267">
        <v>7023.96</v>
      </c>
      <c r="AD668" s="252">
        <v>107</v>
      </c>
      <c r="AE668" s="253">
        <v>30812</v>
      </c>
      <c r="AF668" s="267">
        <v>109</v>
      </c>
      <c r="AG668" s="267">
        <v>32672.303099999994</v>
      </c>
      <c r="AH668" s="252"/>
      <c r="AI668" s="253"/>
      <c r="AJ668" s="267"/>
      <c r="AK668" s="268"/>
      <c r="AL668" s="252"/>
      <c r="AM668" s="253"/>
      <c r="AN668" s="267"/>
      <c r="AO668" s="268"/>
      <c r="AP668" s="255">
        <f t="shared" si="104"/>
        <v>107</v>
      </c>
      <c r="AQ668" s="256">
        <f t="shared" si="105"/>
        <v>1397324.08</v>
      </c>
      <c r="AR668" s="257">
        <f t="shared" si="106"/>
        <v>109</v>
      </c>
      <c r="AS668" s="258">
        <f t="shared" si="107"/>
        <v>1312462.9626</v>
      </c>
      <c r="AT668" s="259">
        <v>10</v>
      </c>
      <c r="AU668" s="253">
        <v>28570</v>
      </c>
      <c r="AV668" s="267">
        <v>9</v>
      </c>
      <c r="AW668" s="267">
        <v>21674</v>
      </c>
      <c r="AX668" s="252">
        <v>10</v>
      </c>
      <c r="AY668" s="253">
        <v>32256</v>
      </c>
      <c r="AZ668" s="267">
        <v>9</v>
      </c>
      <c r="BA668" s="267">
        <v>27648</v>
      </c>
      <c r="BB668" s="252"/>
      <c r="BC668" s="253"/>
      <c r="BD668" s="267"/>
      <c r="BE668" s="268"/>
      <c r="BF668" s="252">
        <v>10</v>
      </c>
      <c r="BG668" s="253">
        <v>46422</v>
      </c>
      <c r="BH668" s="267">
        <v>9</v>
      </c>
      <c r="BI668" s="267">
        <v>42037.055999999997</v>
      </c>
      <c r="BJ668" s="252"/>
      <c r="BK668" s="253"/>
      <c r="BL668" s="267"/>
      <c r="BM668" s="268"/>
      <c r="BN668" s="252">
        <v>10</v>
      </c>
      <c r="BO668" s="253">
        <v>644</v>
      </c>
      <c r="BP668" s="267">
        <v>9</v>
      </c>
      <c r="BQ668" s="267">
        <v>579.96</v>
      </c>
      <c r="BR668" s="252">
        <v>10</v>
      </c>
      <c r="BS668" s="253">
        <v>3459</v>
      </c>
      <c r="BT668" s="267">
        <v>9</v>
      </c>
      <c r="BU668" s="267">
        <v>3132.1727999999994</v>
      </c>
      <c r="BV668" s="252"/>
      <c r="BW668" s="253"/>
      <c r="BX668" s="267"/>
      <c r="BY668" s="268"/>
      <c r="BZ668" s="252"/>
      <c r="CA668" s="253"/>
      <c r="CB668" s="267"/>
      <c r="CC668" s="268"/>
      <c r="CD668" s="255">
        <f t="shared" si="108"/>
        <v>10</v>
      </c>
      <c r="CE668" s="256">
        <f t="shared" si="109"/>
        <v>111351</v>
      </c>
      <c r="CF668" s="257">
        <f t="shared" si="110"/>
        <v>9</v>
      </c>
      <c r="CG668" s="261">
        <f t="shared" si="111"/>
        <v>95071.188800000004</v>
      </c>
      <c r="CO668" s="463"/>
    </row>
    <row r="669" spans="1:93" s="263" customFormat="1" ht="12.75" customHeight="1">
      <c r="A669" s="459" t="s">
        <v>449</v>
      </c>
      <c r="B669" s="460" t="s">
        <v>456</v>
      </c>
      <c r="C669" s="460"/>
      <c r="D669" s="461">
        <v>237899</v>
      </c>
      <c r="E669" s="462">
        <v>6</v>
      </c>
      <c r="F669" s="252">
        <v>119</v>
      </c>
      <c r="G669" s="253">
        <v>368781</v>
      </c>
      <c r="H669" s="267">
        <v>118</v>
      </c>
      <c r="I669" s="267">
        <v>351770</v>
      </c>
      <c r="J669" s="252">
        <v>119</v>
      </c>
      <c r="K669" s="253">
        <v>696388</v>
      </c>
      <c r="L669" s="267">
        <v>118</v>
      </c>
      <c r="M669" s="267">
        <v>608136</v>
      </c>
      <c r="N669" s="252"/>
      <c r="O669" s="253"/>
      <c r="P669" s="267"/>
      <c r="Q669" s="268"/>
      <c r="R669" s="252">
        <v>119</v>
      </c>
      <c r="S669" s="253">
        <v>476477</v>
      </c>
      <c r="T669" s="267">
        <v>118</v>
      </c>
      <c r="U669" s="267">
        <v>473267.55599999998</v>
      </c>
      <c r="V669" s="252"/>
      <c r="W669" s="253"/>
      <c r="X669" s="267"/>
      <c r="Y669" s="268"/>
      <c r="Z669" s="252">
        <v>119</v>
      </c>
      <c r="AA669" s="253">
        <v>7668.36</v>
      </c>
      <c r="AB669" s="267">
        <v>118</v>
      </c>
      <c r="AC669" s="267">
        <v>7603.92</v>
      </c>
      <c r="AD669" s="252">
        <v>119</v>
      </c>
      <c r="AE669" s="253">
        <v>35502</v>
      </c>
      <c r="AF669" s="267">
        <v>118</v>
      </c>
      <c r="AG669" s="267">
        <v>35263.072799999994</v>
      </c>
      <c r="AH669" s="252"/>
      <c r="AI669" s="253"/>
      <c r="AJ669" s="267"/>
      <c r="AK669" s="268"/>
      <c r="AL669" s="252"/>
      <c r="AM669" s="253"/>
      <c r="AN669" s="267"/>
      <c r="AO669" s="268"/>
      <c r="AP669" s="255">
        <f t="shared" si="104"/>
        <v>119</v>
      </c>
      <c r="AQ669" s="256">
        <f t="shared" si="105"/>
        <v>1584816.3599999999</v>
      </c>
      <c r="AR669" s="257">
        <f t="shared" si="106"/>
        <v>118</v>
      </c>
      <c r="AS669" s="258">
        <f t="shared" si="107"/>
        <v>1476040.5488</v>
      </c>
      <c r="AT669" s="259">
        <v>2</v>
      </c>
      <c r="AU669" s="253">
        <v>7288</v>
      </c>
      <c r="AV669" s="267">
        <v>2</v>
      </c>
      <c r="AW669" s="267">
        <v>7602</v>
      </c>
      <c r="AX669" s="252">
        <v>2</v>
      </c>
      <c r="AY669" s="253">
        <v>17952</v>
      </c>
      <c r="AZ669" s="267">
        <v>2</v>
      </c>
      <c r="BA669" s="267">
        <v>18572</v>
      </c>
      <c r="BB669" s="252"/>
      <c r="BC669" s="253"/>
      <c r="BD669" s="267"/>
      <c r="BE669" s="268"/>
      <c r="BF669" s="252">
        <v>2</v>
      </c>
      <c r="BG669" s="253">
        <v>9292</v>
      </c>
      <c r="BH669" s="267">
        <v>2</v>
      </c>
      <c r="BI669" s="267">
        <v>9693.1620000000003</v>
      </c>
      <c r="BJ669" s="252"/>
      <c r="BK669" s="253"/>
      <c r="BL669" s="267"/>
      <c r="BM669" s="268"/>
      <c r="BN669" s="252">
        <v>2</v>
      </c>
      <c r="BO669" s="253">
        <v>129</v>
      </c>
      <c r="BP669" s="267">
        <v>2</v>
      </c>
      <c r="BQ669" s="267">
        <v>128.88</v>
      </c>
      <c r="BR669" s="252">
        <v>2</v>
      </c>
      <c r="BS669" s="253">
        <v>692</v>
      </c>
      <c r="BT669" s="267">
        <v>2</v>
      </c>
      <c r="BU669" s="267">
        <v>722.23559999999986</v>
      </c>
      <c r="BV669" s="252"/>
      <c r="BW669" s="253"/>
      <c r="BX669" s="267"/>
      <c r="BY669" s="268"/>
      <c r="BZ669" s="252"/>
      <c r="CA669" s="253"/>
      <c r="CB669" s="267"/>
      <c r="CC669" s="268"/>
      <c r="CD669" s="255">
        <f t="shared" si="108"/>
        <v>2</v>
      </c>
      <c r="CE669" s="256">
        <f t="shared" si="109"/>
        <v>35353</v>
      </c>
      <c r="CF669" s="257">
        <f t="shared" si="110"/>
        <v>2</v>
      </c>
      <c r="CG669" s="261">
        <f t="shared" si="111"/>
        <v>36718.277600000001</v>
      </c>
      <c r="CO669" s="463"/>
    </row>
    <row r="670" spans="1:93" s="263" customFormat="1" ht="12.75" customHeight="1">
      <c r="A670" s="459" t="s">
        <v>449</v>
      </c>
      <c r="B670" s="460" t="s">
        <v>457</v>
      </c>
      <c r="C670" s="460"/>
      <c r="D670" s="461">
        <v>237950</v>
      </c>
      <c r="E670" s="462">
        <v>6</v>
      </c>
      <c r="F670" s="252">
        <v>80</v>
      </c>
      <c r="G670" s="253">
        <v>282640</v>
      </c>
      <c r="H670" s="267">
        <v>84</v>
      </c>
      <c r="I670" s="267">
        <v>304695</v>
      </c>
      <c r="J670" s="252">
        <v>80</v>
      </c>
      <c r="K670" s="253">
        <v>428160</v>
      </c>
      <c r="L670" s="267">
        <v>84</v>
      </c>
      <c r="M670" s="267">
        <v>521100</v>
      </c>
      <c r="N670" s="252"/>
      <c r="O670" s="253"/>
      <c r="P670" s="267"/>
      <c r="Q670" s="268"/>
      <c r="R670" s="252">
        <v>80</v>
      </c>
      <c r="S670" s="253">
        <v>361068</v>
      </c>
      <c r="T670" s="267">
        <v>84</v>
      </c>
      <c r="U670" s="267">
        <v>380194.29</v>
      </c>
      <c r="V670" s="252"/>
      <c r="W670" s="253"/>
      <c r="X670" s="267"/>
      <c r="Y670" s="268"/>
      <c r="Z670" s="252">
        <v>80</v>
      </c>
      <c r="AA670" s="253">
        <v>5155.2</v>
      </c>
      <c r="AB670" s="267">
        <v>84</v>
      </c>
      <c r="AC670" s="267">
        <v>5412.96</v>
      </c>
      <c r="AD670" s="252">
        <v>80</v>
      </c>
      <c r="AE670" s="253">
        <v>26903</v>
      </c>
      <c r="AF670" s="267">
        <v>84</v>
      </c>
      <c r="AG670" s="267">
        <v>28328.201999999994</v>
      </c>
      <c r="AH670" s="252"/>
      <c r="AI670" s="253"/>
      <c r="AJ670" s="267"/>
      <c r="AK670" s="268"/>
      <c r="AL670" s="252"/>
      <c r="AM670" s="253"/>
      <c r="AN670" s="267"/>
      <c r="AO670" s="268"/>
      <c r="AP670" s="255">
        <f t="shared" si="104"/>
        <v>80</v>
      </c>
      <c r="AQ670" s="256">
        <f t="shared" si="105"/>
        <v>1103926.2</v>
      </c>
      <c r="AR670" s="257">
        <f t="shared" si="106"/>
        <v>84</v>
      </c>
      <c r="AS670" s="258">
        <f t="shared" si="107"/>
        <v>1239730.452</v>
      </c>
      <c r="AT670" s="259">
        <v>7</v>
      </c>
      <c r="AU670" s="253">
        <v>24626</v>
      </c>
      <c r="AV670" s="267">
        <v>6</v>
      </c>
      <c r="AW670" s="267">
        <v>21577</v>
      </c>
      <c r="AX670" s="252">
        <v>7</v>
      </c>
      <c r="AY670" s="253">
        <v>39368</v>
      </c>
      <c r="AZ670" s="267">
        <v>6</v>
      </c>
      <c r="BA670" s="267">
        <v>33744</v>
      </c>
      <c r="BB670" s="252"/>
      <c r="BC670" s="253"/>
      <c r="BD670" s="267"/>
      <c r="BE670" s="268"/>
      <c r="BF670" s="252">
        <v>7</v>
      </c>
      <c r="BG670" s="253">
        <v>31396</v>
      </c>
      <c r="BH670" s="267">
        <v>6</v>
      </c>
      <c r="BI670" s="267">
        <v>27510.165000000001</v>
      </c>
      <c r="BJ670" s="252"/>
      <c r="BK670" s="253"/>
      <c r="BL670" s="267"/>
      <c r="BM670" s="268"/>
      <c r="BN670" s="252">
        <v>7</v>
      </c>
      <c r="BO670" s="253">
        <v>451</v>
      </c>
      <c r="BP670" s="267">
        <v>6</v>
      </c>
      <c r="BQ670" s="267">
        <v>386.64</v>
      </c>
      <c r="BR670" s="252">
        <v>7</v>
      </c>
      <c r="BS670" s="253">
        <v>2339</v>
      </c>
      <c r="BT670" s="267">
        <v>6</v>
      </c>
      <c r="BU670" s="267">
        <v>2049.7769999999996</v>
      </c>
      <c r="BV670" s="252"/>
      <c r="BW670" s="253"/>
      <c r="BX670" s="267"/>
      <c r="BY670" s="268"/>
      <c r="BZ670" s="252"/>
      <c r="CA670" s="253"/>
      <c r="CB670" s="267"/>
      <c r="CC670" s="268"/>
      <c r="CD670" s="255">
        <f t="shared" si="108"/>
        <v>7</v>
      </c>
      <c r="CE670" s="256">
        <f t="shared" si="109"/>
        <v>98180</v>
      </c>
      <c r="CF670" s="257">
        <f t="shared" si="110"/>
        <v>6</v>
      </c>
      <c r="CG670" s="261">
        <f t="shared" si="111"/>
        <v>85267.581999999995</v>
      </c>
      <c r="CO670" s="463"/>
    </row>
    <row r="671" spans="1:93" s="263" customFormat="1" ht="12.75" customHeight="1">
      <c r="A671" s="459" t="s">
        <v>449</v>
      </c>
      <c r="B671" s="465" t="s">
        <v>462</v>
      </c>
      <c r="C671" s="465"/>
      <c r="D671" s="461">
        <v>237701</v>
      </c>
      <c r="E671" s="462">
        <v>7</v>
      </c>
      <c r="F671" s="252">
        <v>41</v>
      </c>
      <c r="G671" s="253">
        <v>116235</v>
      </c>
      <c r="H671" s="267">
        <v>41</v>
      </c>
      <c r="I671" s="267">
        <v>117183</v>
      </c>
      <c r="J671" s="252">
        <v>41</v>
      </c>
      <c r="K671" s="253">
        <v>106559</v>
      </c>
      <c r="L671" s="267">
        <v>41</v>
      </c>
      <c r="M671" s="267">
        <v>107418</v>
      </c>
      <c r="N671" s="252"/>
      <c r="O671" s="253"/>
      <c r="P671" s="267"/>
      <c r="Q671" s="268"/>
      <c r="R671" s="252">
        <v>41</v>
      </c>
      <c r="S671" s="253">
        <v>149338</v>
      </c>
      <c r="T671" s="267">
        <v>41</v>
      </c>
      <c r="U671" s="267">
        <v>154413.03149999998</v>
      </c>
      <c r="V671" s="252"/>
      <c r="W671" s="253"/>
      <c r="X671" s="267"/>
      <c r="Y671" s="268"/>
      <c r="Z671" s="252">
        <v>41</v>
      </c>
      <c r="AA671" s="253">
        <v>2642.04</v>
      </c>
      <c r="AB671" s="267">
        <v>41</v>
      </c>
      <c r="AC671" s="267">
        <v>2642.04</v>
      </c>
      <c r="AD671" s="252">
        <v>41</v>
      </c>
      <c r="AE671" s="253">
        <v>11127</v>
      </c>
      <c r="AF671" s="267">
        <v>41</v>
      </c>
      <c r="AG671" s="267">
        <v>11505.284699999998</v>
      </c>
      <c r="AH671" s="252"/>
      <c r="AI671" s="253"/>
      <c r="AJ671" s="267"/>
      <c r="AK671" s="268"/>
      <c r="AL671" s="252"/>
      <c r="AM671" s="253"/>
      <c r="AN671" s="267"/>
      <c r="AO671" s="268"/>
      <c r="AP671" s="255">
        <f t="shared" si="104"/>
        <v>41</v>
      </c>
      <c r="AQ671" s="256">
        <f t="shared" si="105"/>
        <v>385901.04000000004</v>
      </c>
      <c r="AR671" s="257">
        <f t="shared" si="106"/>
        <v>41</v>
      </c>
      <c r="AS671" s="258">
        <f t="shared" si="107"/>
        <v>393161.35619999998</v>
      </c>
      <c r="AT671" s="259"/>
      <c r="AU671" s="253"/>
      <c r="AV671" s="267"/>
      <c r="AW671" s="267"/>
      <c r="AX671" s="252"/>
      <c r="AY671" s="253"/>
      <c r="AZ671" s="267"/>
      <c r="BA671" s="267"/>
      <c r="BB671" s="252"/>
      <c r="BC671" s="253"/>
      <c r="BD671" s="267"/>
      <c r="BE671" s="268"/>
      <c r="BF671" s="252"/>
      <c r="BG671" s="253"/>
      <c r="BH671" s="267"/>
      <c r="BI671" s="267">
        <v>0</v>
      </c>
      <c r="BJ671" s="252"/>
      <c r="BK671" s="253"/>
      <c r="BL671" s="267"/>
      <c r="BM671" s="268"/>
      <c r="BN671" s="252"/>
      <c r="BO671" s="253"/>
      <c r="BP671" s="267">
        <v>0</v>
      </c>
      <c r="BQ671" s="267">
        <v>0</v>
      </c>
      <c r="BR671" s="252"/>
      <c r="BS671" s="253"/>
      <c r="BT671" s="267">
        <v>0</v>
      </c>
      <c r="BU671" s="267">
        <v>0</v>
      </c>
      <c r="BV671" s="252"/>
      <c r="BW671" s="253"/>
      <c r="BX671" s="267"/>
      <c r="BY671" s="268"/>
      <c r="BZ671" s="252"/>
      <c r="CA671" s="253"/>
      <c r="CB671" s="267"/>
      <c r="CC671" s="268"/>
      <c r="CD671" s="255">
        <f t="shared" si="108"/>
        <v>0</v>
      </c>
      <c r="CE671" s="256">
        <f t="shared" si="109"/>
        <v>0</v>
      </c>
      <c r="CF671" s="257">
        <f t="shared" si="110"/>
        <v>0</v>
      </c>
      <c r="CG671" s="261">
        <f t="shared" si="111"/>
        <v>0</v>
      </c>
      <c r="CO671" s="463"/>
    </row>
    <row r="672" spans="1:93" s="263" customFormat="1" ht="12.75" customHeight="1">
      <c r="A672" s="459" t="s">
        <v>449</v>
      </c>
      <c r="B672" s="460" t="s">
        <v>458</v>
      </c>
      <c r="C672" s="460"/>
      <c r="D672" s="461">
        <v>237686</v>
      </c>
      <c r="E672" s="462">
        <v>7</v>
      </c>
      <c r="F672" s="252">
        <v>80</v>
      </c>
      <c r="G672" s="253">
        <v>222400</v>
      </c>
      <c r="H672" s="267">
        <v>85</v>
      </c>
      <c r="I672" s="267">
        <v>261860</v>
      </c>
      <c r="J672" s="252">
        <v>80</v>
      </c>
      <c r="K672" s="253">
        <v>437600</v>
      </c>
      <c r="L672" s="267">
        <v>85</v>
      </c>
      <c r="M672" s="267">
        <v>501890</v>
      </c>
      <c r="N672" s="252"/>
      <c r="O672" s="253"/>
      <c r="P672" s="267"/>
      <c r="Q672" s="268"/>
      <c r="R672" s="252">
        <v>80</v>
      </c>
      <c r="S672" s="253">
        <v>284910</v>
      </c>
      <c r="T672" s="267">
        <v>85</v>
      </c>
      <c r="U672" s="267">
        <v>296201.88</v>
      </c>
      <c r="V672" s="252"/>
      <c r="W672" s="253"/>
      <c r="X672" s="267"/>
      <c r="Y672" s="268"/>
      <c r="Z672" s="252">
        <v>80</v>
      </c>
      <c r="AA672" s="253">
        <v>5155.2</v>
      </c>
      <c r="AB672" s="267">
        <v>85</v>
      </c>
      <c r="AC672" s="267">
        <v>5477.4</v>
      </c>
      <c r="AD672" s="252">
        <v>80</v>
      </c>
      <c r="AE672" s="253">
        <v>21229</v>
      </c>
      <c r="AF672" s="267">
        <v>85</v>
      </c>
      <c r="AG672" s="267">
        <v>22069.943999999996</v>
      </c>
      <c r="AH672" s="252"/>
      <c r="AI672" s="253"/>
      <c r="AJ672" s="267"/>
      <c r="AK672" s="268"/>
      <c r="AL672" s="252"/>
      <c r="AM672" s="253"/>
      <c r="AN672" s="267"/>
      <c r="AO672" s="268"/>
      <c r="AP672" s="255">
        <f t="shared" si="104"/>
        <v>80</v>
      </c>
      <c r="AQ672" s="256">
        <f t="shared" si="105"/>
        <v>971294.2</v>
      </c>
      <c r="AR672" s="257">
        <f t="shared" si="106"/>
        <v>85</v>
      </c>
      <c r="AS672" s="258">
        <f t="shared" si="107"/>
        <v>1087499.2239999999</v>
      </c>
      <c r="AT672" s="259">
        <v>6</v>
      </c>
      <c r="AU672" s="253">
        <v>23292</v>
      </c>
      <c r="AV672" s="267">
        <v>7</v>
      </c>
      <c r="AW672" s="267">
        <v>19910</v>
      </c>
      <c r="AX672" s="252">
        <v>6</v>
      </c>
      <c r="AY672" s="253">
        <v>30012</v>
      </c>
      <c r="AZ672" s="267">
        <v>7</v>
      </c>
      <c r="BA672" s="267">
        <v>25510</v>
      </c>
      <c r="BB672" s="252"/>
      <c r="BC672" s="253"/>
      <c r="BD672" s="267"/>
      <c r="BE672" s="268"/>
      <c r="BF672" s="252">
        <v>6</v>
      </c>
      <c r="BG672" s="253">
        <v>28783</v>
      </c>
      <c r="BH672" s="267">
        <v>7</v>
      </c>
      <c r="BI672" s="267">
        <v>32370.975000000002</v>
      </c>
      <c r="BJ672" s="252"/>
      <c r="BK672" s="253"/>
      <c r="BL672" s="267"/>
      <c r="BM672" s="268"/>
      <c r="BN672" s="252">
        <v>6</v>
      </c>
      <c r="BO672" s="253">
        <v>387</v>
      </c>
      <c r="BP672" s="267">
        <v>7</v>
      </c>
      <c r="BQ672" s="267">
        <v>451.08</v>
      </c>
      <c r="BR672" s="252">
        <v>6</v>
      </c>
      <c r="BS672" s="253">
        <v>2145</v>
      </c>
      <c r="BT672" s="267">
        <v>7</v>
      </c>
      <c r="BU672" s="267">
        <v>2411.9549999999995</v>
      </c>
      <c r="BV672" s="252"/>
      <c r="BW672" s="253"/>
      <c r="BX672" s="267"/>
      <c r="BY672" s="268"/>
      <c r="BZ672" s="252"/>
      <c r="CA672" s="253"/>
      <c r="CB672" s="267"/>
      <c r="CC672" s="268"/>
      <c r="CD672" s="255">
        <f t="shared" si="108"/>
        <v>6</v>
      </c>
      <c r="CE672" s="256">
        <f t="shared" si="109"/>
        <v>84619</v>
      </c>
      <c r="CF672" s="257">
        <f t="shared" si="110"/>
        <v>7</v>
      </c>
      <c r="CG672" s="261">
        <f t="shared" si="111"/>
        <v>80654.010000000009</v>
      </c>
      <c r="CO672" s="463"/>
    </row>
    <row r="673" spans="1:93" s="263" customFormat="1" ht="12.75" customHeight="1">
      <c r="A673" s="459" t="s">
        <v>449</v>
      </c>
      <c r="B673" s="460" t="s">
        <v>459</v>
      </c>
      <c r="C673" s="460"/>
      <c r="D673" s="461">
        <v>446774</v>
      </c>
      <c r="E673" s="462">
        <v>10</v>
      </c>
      <c r="F673" s="252">
        <v>19</v>
      </c>
      <c r="G673" s="253">
        <v>45125</v>
      </c>
      <c r="H673" s="267">
        <v>23</v>
      </c>
      <c r="I673" s="267">
        <v>56598</v>
      </c>
      <c r="J673" s="252">
        <v>19</v>
      </c>
      <c r="K673" s="253">
        <v>184756</v>
      </c>
      <c r="L673" s="267">
        <v>23</v>
      </c>
      <c r="M673" s="267">
        <v>56796</v>
      </c>
      <c r="N673" s="252"/>
      <c r="O673" s="253"/>
      <c r="P673" s="267"/>
      <c r="Q673" s="268"/>
      <c r="R673" s="252">
        <v>19</v>
      </c>
      <c r="S673" s="253">
        <v>65091</v>
      </c>
      <c r="T673" s="267">
        <v>23</v>
      </c>
      <c r="U673" s="267">
        <v>77750.545499999993</v>
      </c>
      <c r="V673" s="252"/>
      <c r="W673" s="253"/>
      <c r="X673" s="267"/>
      <c r="Y673" s="268"/>
      <c r="Z673" s="252">
        <v>19</v>
      </c>
      <c r="AA673" s="253">
        <v>1224.3599999999999</v>
      </c>
      <c r="AB673" s="267">
        <v>23</v>
      </c>
      <c r="AC673" s="267">
        <v>1482.12</v>
      </c>
      <c r="AD673" s="252">
        <v>19</v>
      </c>
      <c r="AE673" s="253">
        <v>4850</v>
      </c>
      <c r="AF673" s="267">
        <v>23</v>
      </c>
      <c r="AG673" s="267">
        <v>5793.1778999999988</v>
      </c>
      <c r="AH673" s="252"/>
      <c r="AI673" s="253"/>
      <c r="AJ673" s="267"/>
      <c r="AK673" s="268"/>
      <c r="AL673" s="252"/>
      <c r="AM673" s="253"/>
      <c r="AN673" s="267"/>
      <c r="AO673" s="268"/>
      <c r="AP673" s="255">
        <f t="shared" si="104"/>
        <v>19</v>
      </c>
      <c r="AQ673" s="256">
        <f t="shared" si="105"/>
        <v>301046.36</v>
      </c>
      <c r="AR673" s="257">
        <f t="shared" si="106"/>
        <v>23</v>
      </c>
      <c r="AS673" s="258">
        <f t="shared" si="107"/>
        <v>198419.84340000001</v>
      </c>
      <c r="AT673" s="259">
        <v>16</v>
      </c>
      <c r="AU673" s="253">
        <v>45520</v>
      </c>
      <c r="AV673" s="267">
        <v>18</v>
      </c>
      <c r="AW673" s="267">
        <v>41883</v>
      </c>
      <c r="AX673" s="252">
        <v>16</v>
      </c>
      <c r="AY673" s="253">
        <v>44200</v>
      </c>
      <c r="AZ673" s="267">
        <v>18</v>
      </c>
      <c r="BA673" s="267">
        <v>55250</v>
      </c>
      <c r="BB673" s="252"/>
      <c r="BC673" s="253"/>
      <c r="BD673" s="267"/>
      <c r="BE673" s="268"/>
      <c r="BF673" s="252">
        <v>16</v>
      </c>
      <c r="BG673" s="253">
        <v>58262</v>
      </c>
      <c r="BH673" s="267">
        <v>18</v>
      </c>
      <c r="BI673" s="267">
        <v>66224.061000000002</v>
      </c>
      <c r="BJ673" s="252"/>
      <c r="BK673" s="253"/>
      <c r="BL673" s="267"/>
      <c r="BM673" s="268"/>
      <c r="BN673" s="252">
        <v>16</v>
      </c>
      <c r="BO673" s="253">
        <v>1031</v>
      </c>
      <c r="BP673" s="267">
        <v>18</v>
      </c>
      <c r="BQ673" s="267">
        <v>1159.92</v>
      </c>
      <c r="BR673" s="252">
        <v>16</v>
      </c>
      <c r="BS673" s="253">
        <v>4341</v>
      </c>
      <c r="BT673" s="267">
        <v>18</v>
      </c>
      <c r="BU673" s="267">
        <v>4934.3417999999992</v>
      </c>
      <c r="BV673" s="252"/>
      <c r="BW673" s="253"/>
      <c r="BX673" s="267"/>
      <c r="BY673" s="268"/>
      <c r="BZ673" s="252"/>
      <c r="CA673" s="253"/>
      <c r="CB673" s="267"/>
      <c r="CC673" s="268"/>
      <c r="CD673" s="255">
        <f t="shared" si="108"/>
        <v>16</v>
      </c>
      <c r="CE673" s="256">
        <f t="shared" si="109"/>
        <v>153354</v>
      </c>
      <c r="CF673" s="257">
        <f t="shared" si="110"/>
        <v>18</v>
      </c>
      <c r="CG673" s="261">
        <f t="shared" si="111"/>
        <v>169451.32279999999</v>
      </c>
      <c r="CO673" s="463"/>
    </row>
    <row r="674" spans="1:93" s="263" customFormat="1" ht="12.75" customHeight="1">
      <c r="A674" s="459" t="s">
        <v>449</v>
      </c>
      <c r="B674" s="460" t="s">
        <v>1060</v>
      </c>
      <c r="C674" s="460"/>
      <c r="D674" s="461">
        <v>445674</v>
      </c>
      <c r="E674" s="462">
        <v>10</v>
      </c>
      <c r="F674" s="252">
        <v>25</v>
      </c>
      <c r="G674" s="253">
        <v>74375</v>
      </c>
      <c r="H674" s="267">
        <v>27</v>
      </c>
      <c r="I674" s="267">
        <v>86800</v>
      </c>
      <c r="J674" s="252">
        <v>25</v>
      </c>
      <c r="K674" s="253">
        <v>191500</v>
      </c>
      <c r="L674" s="267">
        <v>27</v>
      </c>
      <c r="M674" s="267">
        <v>221200</v>
      </c>
      <c r="N674" s="252"/>
      <c r="O674" s="253"/>
      <c r="P674" s="267"/>
      <c r="Q674" s="268"/>
      <c r="R674" s="252">
        <v>25</v>
      </c>
      <c r="S674" s="253">
        <v>92402</v>
      </c>
      <c r="T674" s="267">
        <v>27</v>
      </c>
      <c r="U674" s="267">
        <v>114804.621</v>
      </c>
      <c r="V674" s="252"/>
      <c r="W674" s="253"/>
      <c r="X674" s="267"/>
      <c r="Y674" s="268"/>
      <c r="Z674" s="252">
        <v>25</v>
      </c>
      <c r="AA674" s="253">
        <v>1611</v>
      </c>
      <c r="AB674" s="267">
        <v>27</v>
      </c>
      <c r="AC674" s="267">
        <v>1739.8799999999999</v>
      </c>
      <c r="AD674" s="252">
        <v>25</v>
      </c>
      <c r="AE674" s="253">
        <v>6885</v>
      </c>
      <c r="AF674" s="267">
        <v>27</v>
      </c>
      <c r="AG674" s="267">
        <v>8554.0697999999993</v>
      </c>
      <c r="AH674" s="252"/>
      <c r="AI674" s="253"/>
      <c r="AJ674" s="267"/>
      <c r="AK674" s="268"/>
      <c r="AL674" s="252"/>
      <c r="AM674" s="253"/>
      <c r="AN674" s="267"/>
      <c r="AO674" s="268"/>
      <c r="AP674" s="255">
        <f t="shared" si="104"/>
        <v>25</v>
      </c>
      <c r="AQ674" s="256">
        <f t="shared" si="105"/>
        <v>366773</v>
      </c>
      <c r="AR674" s="257">
        <f t="shared" si="106"/>
        <v>27</v>
      </c>
      <c r="AS674" s="258">
        <f t="shared" si="107"/>
        <v>433098.57079999999</v>
      </c>
      <c r="AT674" s="259">
        <v>7</v>
      </c>
      <c r="AU674" s="253">
        <v>20664</v>
      </c>
      <c r="AV674" s="267">
        <v>8</v>
      </c>
      <c r="AW674" s="267">
        <v>27901</v>
      </c>
      <c r="AX674" s="252">
        <v>7</v>
      </c>
      <c r="AY674" s="253">
        <v>5978</v>
      </c>
      <c r="AZ674" s="267">
        <v>8</v>
      </c>
      <c r="BA674" s="267">
        <v>7830</v>
      </c>
      <c r="BB674" s="252"/>
      <c r="BC674" s="253"/>
      <c r="BD674" s="267"/>
      <c r="BE674" s="268"/>
      <c r="BF674" s="252">
        <v>7</v>
      </c>
      <c r="BG674" s="253">
        <v>34761</v>
      </c>
      <c r="BH674" s="267">
        <v>8</v>
      </c>
      <c r="BI674" s="267">
        <v>41748.192000000003</v>
      </c>
      <c r="BJ674" s="252"/>
      <c r="BK674" s="253"/>
      <c r="BL674" s="267"/>
      <c r="BM674" s="268"/>
      <c r="BN674" s="252">
        <v>7</v>
      </c>
      <c r="BO674" s="253">
        <v>451</v>
      </c>
      <c r="BP674" s="267">
        <v>8</v>
      </c>
      <c r="BQ674" s="267">
        <v>515.52</v>
      </c>
      <c r="BR674" s="252">
        <v>7</v>
      </c>
      <c r="BS674" s="253">
        <v>2590</v>
      </c>
      <c r="BT674" s="267">
        <v>8</v>
      </c>
      <c r="BU674" s="267">
        <v>3110.6495999999997</v>
      </c>
      <c r="BV674" s="252"/>
      <c r="BW674" s="253"/>
      <c r="BX674" s="267"/>
      <c r="BY674" s="268"/>
      <c r="BZ674" s="252"/>
      <c r="CA674" s="253"/>
      <c r="CB674" s="267"/>
      <c r="CC674" s="268"/>
      <c r="CD674" s="255">
        <f t="shared" si="108"/>
        <v>7</v>
      </c>
      <c r="CE674" s="256">
        <f t="shared" si="109"/>
        <v>64444</v>
      </c>
      <c r="CF674" s="257">
        <f t="shared" si="110"/>
        <v>8</v>
      </c>
      <c r="CG674" s="261">
        <f t="shared" si="111"/>
        <v>81105.361600000004</v>
      </c>
      <c r="CO674" s="463"/>
    </row>
    <row r="675" spans="1:93" s="263" customFormat="1" ht="12.75" customHeight="1">
      <c r="A675" s="459" t="s">
        <v>449</v>
      </c>
      <c r="B675" s="460" t="s">
        <v>460</v>
      </c>
      <c r="C675" s="460"/>
      <c r="D675" s="461">
        <v>438708</v>
      </c>
      <c r="E675" s="462">
        <v>10</v>
      </c>
      <c r="F675" s="252"/>
      <c r="G675" s="253"/>
      <c r="H675" s="267"/>
      <c r="I675" s="267"/>
      <c r="J675" s="252"/>
      <c r="K675" s="253"/>
      <c r="L675" s="267"/>
      <c r="M675" s="267"/>
      <c r="N675" s="252"/>
      <c r="O675" s="253"/>
      <c r="P675" s="267"/>
      <c r="Q675" s="268"/>
      <c r="R675" s="252"/>
      <c r="S675" s="253"/>
      <c r="T675" s="267"/>
      <c r="U675" s="267">
        <v>0</v>
      </c>
      <c r="V675" s="252"/>
      <c r="W675" s="253"/>
      <c r="X675" s="267"/>
      <c r="Y675" s="268"/>
      <c r="Z675" s="252"/>
      <c r="AA675" s="253" t="s">
        <v>18</v>
      </c>
      <c r="AB675" s="267"/>
      <c r="AC675" s="267">
        <v>0</v>
      </c>
      <c r="AD675" s="252"/>
      <c r="AE675" s="253"/>
      <c r="AF675" s="267"/>
      <c r="AG675" s="267">
        <v>0</v>
      </c>
      <c r="AH675" s="252"/>
      <c r="AI675" s="253"/>
      <c r="AJ675" s="267"/>
      <c r="AK675" s="268"/>
      <c r="AL675" s="252"/>
      <c r="AM675" s="253"/>
      <c r="AN675" s="267"/>
      <c r="AO675" s="268"/>
      <c r="AP675" s="255">
        <f t="shared" si="104"/>
        <v>0</v>
      </c>
      <c r="AQ675" s="256">
        <f t="shared" si="105"/>
        <v>0</v>
      </c>
      <c r="AR675" s="257">
        <f t="shared" si="106"/>
        <v>0</v>
      </c>
      <c r="AS675" s="258">
        <f t="shared" si="107"/>
        <v>0</v>
      </c>
      <c r="AT675" s="259">
        <v>3</v>
      </c>
      <c r="AU675" s="253">
        <v>6828</v>
      </c>
      <c r="AV675" s="267">
        <v>5</v>
      </c>
      <c r="AW675" s="267">
        <v>2760</v>
      </c>
      <c r="AX675" s="252">
        <v>3</v>
      </c>
      <c r="AY675" s="253">
        <v>8112</v>
      </c>
      <c r="AZ675" s="267">
        <v>5</v>
      </c>
      <c r="BA675" s="267">
        <v>13520</v>
      </c>
      <c r="BB675" s="252"/>
      <c r="BC675" s="253"/>
      <c r="BD675" s="267"/>
      <c r="BE675" s="268"/>
      <c r="BF675" s="252">
        <v>3</v>
      </c>
      <c r="BG675" s="253">
        <v>8862</v>
      </c>
      <c r="BH675" s="267">
        <v>5</v>
      </c>
      <c r="BI675" s="267">
        <v>17402.602500000001</v>
      </c>
      <c r="BJ675" s="252"/>
      <c r="BK675" s="253"/>
      <c r="BL675" s="267"/>
      <c r="BM675" s="268"/>
      <c r="BN675" s="252">
        <v>3</v>
      </c>
      <c r="BO675" s="253">
        <v>193</v>
      </c>
      <c r="BP675" s="267">
        <v>5</v>
      </c>
      <c r="BQ675" s="267">
        <v>322.2</v>
      </c>
      <c r="BR675" s="252">
        <v>3</v>
      </c>
      <c r="BS675" s="253">
        <v>660</v>
      </c>
      <c r="BT675" s="267">
        <v>5</v>
      </c>
      <c r="BU675" s="267">
        <v>1296.6644999999999</v>
      </c>
      <c r="BV675" s="252"/>
      <c r="BW675" s="253"/>
      <c r="BX675" s="267"/>
      <c r="BY675" s="268"/>
      <c r="BZ675" s="252"/>
      <c r="CA675" s="253"/>
      <c r="CB675" s="267"/>
      <c r="CC675" s="268"/>
      <c r="CD675" s="255">
        <f t="shared" si="108"/>
        <v>3</v>
      </c>
      <c r="CE675" s="256">
        <f t="shared" si="109"/>
        <v>24655</v>
      </c>
      <c r="CF675" s="257">
        <f t="shared" si="110"/>
        <v>5</v>
      </c>
      <c r="CG675" s="261">
        <f t="shared" si="111"/>
        <v>35301.467000000004</v>
      </c>
      <c r="CO675" s="463"/>
    </row>
    <row r="676" spans="1:93" s="263" customFormat="1" ht="12.75" customHeight="1">
      <c r="A676" s="459" t="s">
        <v>449</v>
      </c>
      <c r="B676" s="460" t="s">
        <v>1061</v>
      </c>
      <c r="C676" s="460"/>
      <c r="D676" s="461">
        <v>445018</v>
      </c>
      <c r="E676" s="462">
        <v>10</v>
      </c>
      <c r="F676" s="252">
        <v>31</v>
      </c>
      <c r="G676" s="253">
        <v>95874</v>
      </c>
      <c r="H676" s="267">
        <v>36</v>
      </c>
      <c r="I676" s="267">
        <v>105458</v>
      </c>
      <c r="J676" s="252">
        <v>31</v>
      </c>
      <c r="K676" s="253">
        <v>221557</v>
      </c>
      <c r="L676" s="267">
        <v>36</v>
      </c>
      <c r="M676" s="267">
        <v>160056</v>
      </c>
      <c r="N676" s="252"/>
      <c r="O676" s="253"/>
      <c r="P676" s="267"/>
      <c r="Q676" s="268"/>
      <c r="R676" s="252">
        <v>31</v>
      </c>
      <c r="S676" s="253">
        <v>116268</v>
      </c>
      <c r="T676" s="267">
        <v>36</v>
      </c>
      <c r="U676" s="267">
        <v>135808.00200000001</v>
      </c>
      <c r="V676" s="252"/>
      <c r="W676" s="253"/>
      <c r="X676" s="267"/>
      <c r="Y676" s="268"/>
      <c r="Z676" s="252">
        <v>31</v>
      </c>
      <c r="AA676" s="253">
        <v>1997.64</v>
      </c>
      <c r="AB676" s="267">
        <v>36</v>
      </c>
      <c r="AC676" s="267">
        <v>2319.84</v>
      </c>
      <c r="AD676" s="252">
        <v>31</v>
      </c>
      <c r="AE676" s="253">
        <v>8663</v>
      </c>
      <c r="AF676" s="267">
        <v>36</v>
      </c>
      <c r="AG676" s="267">
        <v>10119.027599999999</v>
      </c>
      <c r="AH676" s="252"/>
      <c r="AI676" s="253"/>
      <c r="AJ676" s="267"/>
      <c r="AK676" s="268"/>
      <c r="AL676" s="252"/>
      <c r="AM676" s="253"/>
      <c r="AN676" s="267"/>
      <c r="AO676" s="268"/>
      <c r="AP676" s="255">
        <f t="shared" si="104"/>
        <v>31</v>
      </c>
      <c r="AQ676" s="256">
        <f t="shared" si="105"/>
        <v>444359.64</v>
      </c>
      <c r="AR676" s="257">
        <f t="shared" si="106"/>
        <v>36</v>
      </c>
      <c r="AS676" s="258">
        <f t="shared" si="107"/>
        <v>413760.86959999998</v>
      </c>
      <c r="AT676" s="259">
        <v>9</v>
      </c>
      <c r="AU676" s="253">
        <v>27369</v>
      </c>
      <c r="AV676" s="267">
        <v>8</v>
      </c>
      <c r="AW676" s="267">
        <v>17556</v>
      </c>
      <c r="AX676" s="252">
        <v>9</v>
      </c>
      <c r="AY676" s="253">
        <v>60102</v>
      </c>
      <c r="AZ676" s="267">
        <v>8</v>
      </c>
      <c r="BA676" s="267">
        <v>22614</v>
      </c>
      <c r="BB676" s="252"/>
      <c r="BC676" s="253"/>
      <c r="BD676" s="267"/>
      <c r="BE676" s="268"/>
      <c r="BF676" s="252">
        <v>9</v>
      </c>
      <c r="BG676" s="253">
        <v>38920</v>
      </c>
      <c r="BH676" s="267">
        <v>8</v>
      </c>
      <c r="BI676" s="267">
        <v>33617.159999999996</v>
      </c>
      <c r="BJ676" s="252"/>
      <c r="BK676" s="253"/>
      <c r="BL676" s="267"/>
      <c r="BM676" s="268"/>
      <c r="BN676" s="252">
        <v>9</v>
      </c>
      <c r="BO676" s="253">
        <v>580</v>
      </c>
      <c r="BP676" s="267">
        <v>8</v>
      </c>
      <c r="BQ676" s="267">
        <v>515.52</v>
      </c>
      <c r="BR676" s="252">
        <v>9</v>
      </c>
      <c r="BS676" s="253">
        <v>2900</v>
      </c>
      <c r="BT676" s="267">
        <v>8</v>
      </c>
      <c r="BU676" s="267">
        <v>2504.8079999999995</v>
      </c>
      <c r="BV676" s="252"/>
      <c r="BW676" s="253"/>
      <c r="BX676" s="267"/>
      <c r="BY676" s="268"/>
      <c r="BZ676" s="252"/>
      <c r="CA676" s="253"/>
      <c r="CB676" s="267"/>
      <c r="CC676" s="268"/>
      <c r="CD676" s="255">
        <f t="shared" si="108"/>
        <v>9</v>
      </c>
      <c r="CE676" s="256">
        <f t="shared" si="109"/>
        <v>129871</v>
      </c>
      <c r="CF676" s="257">
        <f t="shared" si="110"/>
        <v>8</v>
      </c>
      <c r="CG676" s="261">
        <f t="shared" si="111"/>
        <v>76807.487999999998</v>
      </c>
      <c r="CO676" s="463"/>
    </row>
    <row r="677" spans="1:93" s="263" customFormat="1" ht="12.75" customHeight="1">
      <c r="A677" s="459" t="s">
        <v>449</v>
      </c>
      <c r="B677" s="460" t="s">
        <v>1275</v>
      </c>
      <c r="C677" s="543" t="s">
        <v>1276</v>
      </c>
      <c r="D677" s="461">
        <v>444954</v>
      </c>
      <c r="E677" s="462">
        <v>10</v>
      </c>
      <c r="F677" s="252">
        <v>48</v>
      </c>
      <c r="G677" s="253">
        <v>162192</v>
      </c>
      <c r="H677" s="267">
        <v>48</v>
      </c>
      <c r="I677" s="267">
        <v>153188</v>
      </c>
      <c r="J677" s="252">
        <v>48</v>
      </c>
      <c r="K677" s="253">
        <v>276720</v>
      </c>
      <c r="L677" s="267">
        <v>48</v>
      </c>
      <c r="M677" s="267">
        <v>253558</v>
      </c>
      <c r="N677" s="252"/>
      <c r="O677" s="253"/>
      <c r="P677" s="267"/>
      <c r="Q677" s="268"/>
      <c r="R677" s="252">
        <v>48</v>
      </c>
      <c r="S677" s="253">
        <v>181705</v>
      </c>
      <c r="T677" s="267">
        <v>48</v>
      </c>
      <c r="U677" s="267">
        <v>181297.65599999999</v>
      </c>
      <c r="V677" s="252"/>
      <c r="W677" s="253"/>
      <c r="X677" s="267"/>
      <c r="Y677" s="268"/>
      <c r="Z677" s="252">
        <v>48</v>
      </c>
      <c r="AA677" s="253">
        <v>3093.12</v>
      </c>
      <c r="AB677" s="267">
        <v>48</v>
      </c>
      <c r="AC677" s="267">
        <v>3093.12</v>
      </c>
      <c r="AD677" s="252">
        <v>48</v>
      </c>
      <c r="AE677" s="253">
        <v>13539</v>
      </c>
      <c r="AF677" s="267">
        <v>48</v>
      </c>
      <c r="AG677" s="267">
        <v>13508.452799999999</v>
      </c>
      <c r="AH677" s="252"/>
      <c r="AI677" s="253"/>
      <c r="AJ677" s="267"/>
      <c r="AK677" s="268"/>
      <c r="AL677" s="252"/>
      <c r="AM677" s="253"/>
      <c r="AN677" s="267"/>
      <c r="AO677" s="268"/>
      <c r="AP677" s="255">
        <f t="shared" si="104"/>
        <v>48</v>
      </c>
      <c r="AQ677" s="256">
        <f t="shared" si="105"/>
        <v>637249.12</v>
      </c>
      <c r="AR677" s="257">
        <f t="shared" si="106"/>
        <v>48</v>
      </c>
      <c r="AS677" s="258">
        <f t="shared" si="107"/>
        <v>604645.22879999992</v>
      </c>
      <c r="AT677" s="259">
        <v>7</v>
      </c>
      <c r="AU677" s="253">
        <v>19419.12</v>
      </c>
      <c r="AV677" s="267">
        <v>5</v>
      </c>
      <c r="AW677" s="267">
        <v>13594</v>
      </c>
      <c r="AX677" s="252">
        <v>7</v>
      </c>
      <c r="AY677" s="253">
        <v>52360</v>
      </c>
      <c r="AZ677" s="267">
        <v>5</v>
      </c>
      <c r="BA677" s="267">
        <v>37402</v>
      </c>
      <c r="BB677" s="252"/>
      <c r="BC677" s="253"/>
      <c r="BD677" s="267"/>
      <c r="BE677" s="268"/>
      <c r="BF677" s="252">
        <v>7</v>
      </c>
      <c r="BG677" s="253">
        <v>24759</v>
      </c>
      <c r="BH677" s="267">
        <v>5</v>
      </c>
      <c r="BI677" s="267">
        <v>17655.052499999998</v>
      </c>
      <c r="BJ677" s="252"/>
      <c r="BK677" s="253"/>
      <c r="BL677" s="267"/>
      <c r="BM677" s="268"/>
      <c r="BN677" s="252">
        <v>7</v>
      </c>
      <c r="BO677" s="253">
        <v>451</v>
      </c>
      <c r="BP677" s="267">
        <v>5</v>
      </c>
      <c r="BQ677" s="267">
        <v>322.2</v>
      </c>
      <c r="BR677" s="252">
        <v>7</v>
      </c>
      <c r="BS677" s="253">
        <v>1845</v>
      </c>
      <c r="BT677" s="267">
        <v>5</v>
      </c>
      <c r="BU677" s="267">
        <v>1315.4745</v>
      </c>
      <c r="BV677" s="252"/>
      <c r="BW677" s="253"/>
      <c r="BX677" s="267"/>
      <c r="BY677" s="268"/>
      <c r="BZ677" s="252"/>
      <c r="CA677" s="253"/>
      <c r="CB677" s="267"/>
      <c r="CC677" s="268"/>
      <c r="CD677" s="255">
        <f t="shared" si="108"/>
        <v>7</v>
      </c>
      <c r="CE677" s="256">
        <f t="shared" si="109"/>
        <v>98834.12</v>
      </c>
      <c r="CF677" s="257">
        <f t="shared" si="110"/>
        <v>5</v>
      </c>
      <c r="CG677" s="261">
        <f t="shared" si="111"/>
        <v>70288.726999999999</v>
      </c>
      <c r="CO677" s="463"/>
    </row>
    <row r="678" spans="1:93" s="263" customFormat="1" ht="12.75" customHeight="1">
      <c r="A678" s="459" t="s">
        <v>449</v>
      </c>
      <c r="B678" s="460" t="s">
        <v>461</v>
      </c>
      <c r="C678" s="543" t="s">
        <v>1277</v>
      </c>
      <c r="D678" s="461">
        <v>447582</v>
      </c>
      <c r="E678" s="462">
        <v>10</v>
      </c>
      <c r="F678" s="252">
        <v>33</v>
      </c>
      <c r="G678" s="253">
        <v>104016</v>
      </c>
      <c r="H678" s="267">
        <v>34</v>
      </c>
      <c r="I678" s="267">
        <v>119273</v>
      </c>
      <c r="J678" s="252">
        <v>33</v>
      </c>
      <c r="K678" s="253">
        <v>122958</v>
      </c>
      <c r="L678" s="267">
        <v>34</v>
      </c>
      <c r="M678" s="267">
        <v>136849</v>
      </c>
      <c r="N678" s="252"/>
      <c r="O678" s="253"/>
      <c r="P678" s="267"/>
      <c r="Q678" s="268"/>
      <c r="R678" s="252">
        <v>33</v>
      </c>
      <c r="S678" s="253">
        <v>115531</v>
      </c>
      <c r="T678" s="267">
        <v>34</v>
      </c>
      <c r="U678" s="267">
        <v>124730.955</v>
      </c>
      <c r="V678" s="252"/>
      <c r="W678" s="253"/>
      <c r="X678" s="267"/>
      <c r="Y678" s="268"/>
      <c r="Z678" s="252">
        <v>33</v>
      </c>
      <c r="AA678" s="253">
        <v>2126.52</v>
      </c>
      <c r="AB678" s="267">
        <v>34</v>
      </c>
      <c r="AC678" s="267">
        <v>2190.96</v>
      </c>
      <c r="AD678" s="252">
        <v>33</v>
      </c>
      <c r="AE678" s="253">
        <v>8608</v>
      </c>
      <c r="AF678" s="267">
        <v>34</v>
      </c>
      <c r="AG678" s="267">
        <v>9293.6789999999983</v>
      </c>
      <c r="AH678" s="252"/>
      <c r="AI678" s="253"/>
      <c r="AJ678" s="267"/>
      <c r="AK678" s="268"/>
      <c r="AL678" s="252"/>
      <c r="AM678" s="253"/>
      <c r="AN678" s="267"/>
      <c r="AO678" s="268"/>
      <c r="AP678" s="255">
        <f t="shared" si="104"/>
        <v>33</v>
      </c>
      <c r="AQ678" s="256">
        <f t="shared" si="105"/>
        <v>353239.52</v>
      </c>
      <c r="AR678" s="257">
        <f t="shared" si="106"/>
        <v>34</v>
      </c>
      <c r="AS678" s="258">
        <f t="shared" si="107"/>
        <v>392337.59400000004</v>
      </c>
      <c r="AT678" s="259">
        <v>6</v>
      </c>
      <c r="AU678" s="253">
        <v>18684</v>
      </c>
      <c r="AV678" s="267">
        <v>10</v>
      </c>
      <c r="AW678" s="267">
        <v>29297</v>
      </c>
      <c r="AX678" s="252">
        <v>6</v>
      </c>
      <c r="AY678" s="253">
        <v>16836</v>
      </c>
      <c r="AZ678" s="267">
        <v>10</v>
      </c>
      <c r="BA678" s="267">
        <v>33875</v>
      </c>
      <c r="BB678" s="252"/>
      <c r="BC678" s="253"/>
      <c r="BD678" s="267"/>
      <c r="BE678" s="268"/>
      <c r="BF678" s="252">
        <v>6</v>
      </c>
      <c r="BG678" s="253">
        <v>23825</v>
      </c>
      <c r="BH678" s="267">
        <v>10</v>
      </c>
      <c r="BI678" s="267">
        <v>37644.119999999995</v>
      </c>
      <c r="BJ678" s="252"/>
      <c r="BK678" s="253"/>
      <c r="BL678" s="267"/>
      <c r="BM678" s="268"/>
      <c r="BN678" s="252">
        <v>6</v>
      </c>
      <c r="BO678" s="253">
        <v>387</v>
      </c>
      <c r="BP678" s="267">
        <v>10</v>
      </c>
      <c r="BQ678" s="267">
        <v>644.4</v>
      </c>
      <c r="BR678" s="252">
        <v>6</v>
      </c>
      <c r="BS678" s="253">
        <v>1775</v>
      </c>
      <c r="BT678" s="267">
        <v>10</v>
      </c>
      <c r="BU678" s="267">
        <v>2804.8559999999998</v>
      </c>
      <c r="BV678" s="252"/>
      <c r="BW678" s="253"/>
      <c r="BX678" s="267"/>
      <c r="BY678" s="268"/>
      <c r="BZ678" s="252"/>
      <c r="CA678" s="253"/>
      <c r="CB678" s="267"/>
      <c r="CC678" s="268"/>
      <c r="CD678" s="255">
        <f t="shared" si="108"/>
        <v>6</v>
      </c>
      <c r="CE678" s="256">
        <f t="shared" si="109"/>
        <v>61507</v>
      </c>
      <c r="CF678" s="257">
        <f t="shared" si="110"/>
        <v>10</v>
      </c>
      <c r="CG678" s="261">
        <f t="shared" si="111"/>
        <v>104265.37599999999</v>
      </c>
      <c r="CO678" s="463"/>
    </row>
    <row r="679" spans="1:93" s="263" customFormat="1" ht="12.75" customHeight="1">
      <c r="A679" s="459" t="s">
        <v>449</v>
      </c>
      <c r="B679" s="465" t="s">
        <v>211</v>
      </c>
      <c r="C679" s="544" t="s">
        <v>1277</v>
      </c>
      <c r="D679" s="461">
        <v>443492</v>
      </c>
      <c r="E679" s="462">
        <v>10</v>
      </c>
      <c r="F679" s="252">
        <v>47</v>
      </c>
      <c r="G679" s="253">
        <v>151387</v>
      </c>
      <c r="H679" s="267">
        <v>49</v>
      </c>
      <c r="I679" s="267">
        <v>153281</v>
      </c>
      <c r="J679" s="252">
        <v>47</v>
      </c>
      <c r="K679" s="253">
        <v>316686</v>
      </c>
      <c r="L679" s="267">
        <v>49</v>
      </c>
      <c r="M679" s="267">
        <v>260544</v>
      </c>
      <c r="N679" s="252"/>
      <c r="O679" s="253"/>
      <c r="P679" s="267"/>
      <c r="Q679" s="268"/>
      <c r="R679" s="252">
        <v>47</v>
      </c>
      <c r="S679" s="253">
        <v>184223</v>
      </c>
      <c r="T679" s="267">
        <v>49</v>
      </c>
      <c r="U679" s="267">
        <v>187068.89250000002</v>
      </c>
      <c r="V679" s="252"/>
      <c r="W679" s="253"/>
      <c r="X679" s="267"/>
      <c r="Y679" s="268"/>
      <c r="Z679" s="252">
        <v>47</v>
      </c>
      <c r="AA679" s="253">
        <v>3028.68</v>
      </c>
      <c r="AB679" s="267">
        <v>49</v>
      </c>
      <c r="AC679" s="267">
        <v>3157.56</v>
      </c>
      <c r="AD679" s="252">
        <v>47</v>
      </c>
      <c r="AE679" s="253">
        <v>13726</v>
      </c>
      <c r="AF679" s="267">
        <v>49</v>
      </c>
      <c r="AG679" s="267">
        <v>13938.466499999999</v>
      </c>
      <c r="AH679" s="252"/>
      <c r="AI679" s="253"/>
      <c r="AJ679" s="267"/>
      <c r="AK679" s="268"/>
      <c r="AL679" s="252"/>
      <c r="AM679" s="253"/>
      <c r="AN679" s="267"/>
      <c r="AO679" s="268"/>
      <c r="AP679" s="255">
        <f t="shared" si="104"/>
        <v>47</v>
      </c>
      <c r="AQ679" s="256">
        <f t="shared" si="105"/>
        <v>669050.67999999993</v>
      </c>
      <c r="AR679" s="257">
        <f t="shared" si="106"/>
        <v>49</v>
      </c>
      <c r="AS679" s="258">
        <f t="shared" si="107"/>
        <v>617989.91899999999</v>
      </c>
      <c r="AT679" s="259">
        <v>15</v>
      </c>
      <c r="AU679" s="253">
        <v>60906.6</v>
      </c>
      <c r="AV679" s="267">
        <v>13</v>
      </c>
      <c r="AW679" s="267">
        <v>52122</v>
      </c>
      <c r="AX679" s="252">
        <v>15</v>
      </c>
      <c r="AY679" s="253">
        <v>48342</v>
      </c>
      <c r="AZ679" s="267">
        <v>13</v>
      </c>
      <c r="BA679" s="267">
        <v>50712</v>
      </c>
      <c r="BB679" s="252"/>
      <c r="BC679" s="253"/>
      <c r="BD679" s="267"/>
      <c r="BE679" s="268"/>
      <c r="BF679" s="252">
        <v>15</v>
      </c>
      <c r="BG679" s="253">
        <v>77656</v>
      </c>
      <c r="BH679" s="267">
        <v>13</v>
      </c>
      <c r="BI679" s="267">
        <v>68278.392000000007</v>
      </c>
      <c r="BJ679" s="252"/>
      <c r="BK679" s="253"/>
      <c r="BL679" s="267"/>
      <c r="BM679" s="268"/>
      <c r="BN679" s="252">
        <v>15</v>
      </c>
      <c r="BO679" s="253">
        <v>967</v>
      </c>
      <c r="BP679" s="267">
        <v>13</v>
      </c>
      <c r="BQ679" s="267">
        <v>837.72</v>
      </c>
      <c r="BR679" s="252">
        <v>15</v>
      </c>
      <c r="BS679" s="253">
        <v>5786</v>
      </c>
      <c r="BT679" s="267">
        <v>13</v>
      </c>
      <c r="BU679" s="267">
        <v>5087.409599999999</v>
      </c>
      <c r="BV679" s="252"/>
      <c r="BW679" s="253"/>
      <c r="BX679" s="267"/>
      <c r="BY679" s="268"/>
      <c r="BZ679" s="252"/>
      <c r="CA679" s="253"/>
      <c r="CB679" s="267"/>
      <c r="CC679" s="268"/>
      <c r="CD679" s="255">
        <f t="shared" si="108"/>
        <v>15</v>
      </c>
      <c r="CE679" s="256">
        <f t="shared" si="109"/>
        <v>193657.60000000001</v>
      </c>
      <c r="CF679" s="257">
        <f t="shared" si="110"/>
        <v>13</v>
      </c>
      <c r="CG679" s="261">
        <f t="shared" si="111"/>
        <v>177037.52160000001</v>
      </c>
      <c r="CO679" s="463"/>
    </row>
    <row r="680" spans="1:93" s="263" customFormat="1" ht="12.75" customHeight="1">
      <c r="A680" s="459" t="s">
        <v>449</v>
      </c>
      <c r="B680" s="460" t="s">
        <v>212</v>
      </c>
      <c r="C680" s="460"/>
      <c r="D680" s="461">
        <v>237817</v>
      </c>
      <c r="E680" s="462">
        <v>10</v>
      </c>
      <c r="F680" s="252">
        <v>80</v>
      </c>
      <c r="G680" s="253">
        <v>211000</v>
      </c>
      <c r="H680" s="267">
        <v>75</v>
      </c>
      <c r="I680" s="267">
        <v>183437</v>
      </c>
      <c r="J680" s="252">
        <v>80</v>
      </c>
      <c r="K680" s="253">
        <v>510000</v>
      </c>
      <c r="L680" s="267">
        <v>75</v>
      </c>
      <c r="M680" s="267">
        <v>407220</v>
      </c>
      <c r="N680" s="252"/>
      <c r="O680" s="253"/>
      <c r="P680" s="267"/>
      <c r="Q680" s="268"/>
      <c r="R680" s="252">
        <v>80</v>
      </c>
      <c r="S680" s="253">
        <v>267279</v>
      </c>
      <c r="T680" s="267">
        <v>75</v>
      </c>
      <c r="U680" s="267">
        <v>252633.59999999998</v>
      </c>
      <c r="V680" s="252"/>
      <c r="W680" s="253"/>
      <c r="X680" s="267"/>
      <c r="Y680" s="268"/>
      <c r="Z680" s="252">
        <v>80</v>
      </c>
      <c r="AA680" s="253">
        <v>5155.2</v>
      </c>
      <c r="AB680" s="267">
        <v>75</v>
      </c>
      <c r="AC680" s="267">
        <v>4833</v>
      </c>
      <c r="AD680" s="252">
        <v>80</v>
      </c>
      <c r="AE680" s="253">
        <v>19915</v>
      </c>
      <c r="AF680" s="267">
        <v>75</v>
      </c>
      <c r="AG680" s="267">
        <v>18823.68</v>
      </c>
      <c r="AH680" s="252"/>
      <c r="AI680" s="253"/>
      <c r="AJ680" s="267"/>
      <c r="AK680" s="268"/>
      <c r="AL680" s="252"/>
      <c r="AM680" s="253"/>
      <c r="AN680" s="267"/>
      <c r="AO680" s="268"/>
      <c r="AP680" s="255">
        <f t="shared" si="104"/>
        <v>80</v>
      </c>
      <c r="AQ680" s="256">
        <f t="shared" si="105"/>
        <v>1013349.2</v>
      </c>
      <c r="AR680" s="257">
        <f t="shared" si="106"/>
        <v>75</v>
      </c>
      <c r="AS680" s="258">
        <f t="shared" si="107"/>
        <v>866947.28</v>
      </c>
      <c r="AT680" s="259"/>
      <c r="AU680" s="253">
        <v>0</v>
      </c>
      <c r="AV680" s="267">
        <v>1</v>
      </c>
      <c r="AW680" s="267">
        <v>3213</v>
      </c>
      <c r="AX680" s="252"/>
      <c r="AY680" s="253"/>
      <c r="AZ680" s="267">
        <v>1</v>
      </c>
      <c r="BA680" s="267">
        <v>9523</v>
      </c>
      <c r="BB680" s="252"/>
      <c r="BC680" s="253"/>
      <c r="BD680" s="267"/>
      <c r="BE680" s="268"/>
      <c r="BF680" s="252"/>
      <c r="BG680" s="253"/>
      <c r="BH680" s="267">
        <v>1</v>
      </c>
      <c r="BI680" s="267">
        <v>3014.712</v>
      </c>
      <c r="BJ680" s="252"/>
      <c r="BK680" s="253"/>
      <c r="BL680" s="267"/>
      <c r="BM680" s="268"/>
      <c r="BN680" s="252"/>
      <c r="BO680" s="253"/>
      <c r="BP680" s="267">
        <v>1</v>
      </c>
      <c r="BQ680" s="267">
        <v>64.44</v>
      </c>
      <c r="BR680" s="252"/>
      <c r="BS680" s="253"/>
      <c r="BT680" s="267">
        <v>1</v>
      </c>
      <c r="BU680" s="267">
        <v>224.62559999999996</v>
      </c>
      <c r="BV680" s="252"/>
      <c r="BW680" s="253"/>
      <c r="BX680" s="267"/>
      <c r="BY680" s="268"/>
      <c r="BZ680" s="252"/>
      <c r="CA680" s="253"/>
      <c r="CB680" s="267"/>
      <c r="CC680" s="268"/>
      <c r="CD680" s="255">
        <f t="shared" si="108"/>
        <v>0</v>
      </c>
      <c r="CE680" s="256">
        <f t="shared" si="109"/>
        <v>0</v>
      </c>
      <c r="CF680" s="257">
        <f t="shared" si="110"/>
        <v>1</v>
      </c>
      <c r="CG680" s="261">
        <f t="shared" si="111"/>
        <v>16039.777599999999</v>
      </c>
      <c r="CO680" s="463"/>
    </row>
    <row r="681" spans="1:93" s="263" customFormat="1" ht="12.75" customHeight="1">
      <c r="A681" s="459" t="s">
        <v>449</v>
      </c>
      <c r="B681" s="460" t="s">
        <v>463</v>
      </c>
      <c r="C681" s="543" t="s">
        <v>1278</v>
      </c>
      <c r="D681" s="461">
        <v>238014</v>
      </c>
      <c r="E681" s="462">
        <v>10</v>
      </c>
      <c r="F681" s="252">
        <v>62</v>
      </c>
      <c r="G681" s="253">
        <v>167400</v>
      </c>
      <c r="H681" s="267">
        <v>61</v>
      </c>
      <c r="I681" s="267">
        <v>164157</v>
      </c>
      <c r="J681" s="252">
        <v>62</v>
      </c>
      <c r="K681" s="253">
        <v>371132</v>
      </c>
      <c r="L681" s="267">
        <v>61</v>
      </c>
      <c r="M681" s="267">
        <v>375748</v>
      </c>
      <c r="N681" s="252"/>
      <c r="O681" s="253"/>
      <c r="P681" s="267"/>
      <c r="Q681" s="268"/>
      <c r="R681" s="252">
        <v>62</v>
      </c>
      <c r="S681" s="253">
        <v>208047</v>
      </c>
      <c r="T681" s="267">
        <v>61</v>
      </c>
      <c r="U681" s="267">
        <v>210263.15700000001</v>
      </c>
      <c r="V681" s="252"/>
      <c r="W681" s="253"/>
      <c r="X681" s="267"/>
      <c r="Y681" s="268"/>
      <c r="Z681" s="252">
        <v>62</v>
      </c>
      <c r="AA681" s="253">
        <v>3995.28</v>
      </c>
      <c r="AB681" s="267">
        <v>61</v>
      </c>
      <c r="AC681" s="267">
        <v>3930.8399999999997</v>
      </c>
      <c r="AD681" s="252">
        <v>62</v>
      </c>
      <c r="AE681" s="253">
        <v>15502</v>
      </c>
      <c r="AF681" s="267">
        <v>61</v>
      </c>
      <c r="AG681" s="267">
        <v>15666.666599999997</v>
      </c>
      <c r="AH681" s="252"/>
      <c r="AI681" s="253"/>
      <c r="AJ681" s="267"/>
      <c r="AK681" s="268"/>
      <c r="AL681" s="252"/>
      <c r="AM681" s="253"/>
      <c r="AN681" s="267"/>
      <c r="AO681" s="268"/>
      <c r="AP681" s="255">
        <f t="shared" si="104"/>
        <v>62</v>
      </c>
      <c r="AQ681" s="256">
        <f t="shared" si="105"/>
        <v>766076.28</v>
      </c>
      <c r="AR681" s="257">
        <f t="shared" si="106"/>
        <v>61</v>
      </c>
      <c r="AS681" s="258">
        <f t="shared" si="107"/>
        <v>769765.66359999997</v>
      </c>
      <c r="AT681" s="259"/>
      <c r="AU681" s="253">
        <v>0</v>
      </c>
      <c r="AV681" s="267">
        <v>1</v>
      </c>
      <c r="AW681" s="267">
        <v>3213</v>
      </c>
      <c r="AX681" s="252"/>
      <c r="AY681" s="253"/>
      <c r="AZ681" s="267">
        <v>1</v>
      </c>
      <c r="BA681" s="267">
        <v>9523</v>
      </c>
      <c r="BB681" s="252"/>
      <c r="BC681" s="253"/>
      <c r="BD681" s="267"/>
      <c r="BE681" s="268"/>
      <c r="BF681" s="252"/>
      <c r="BG681" s="253"/>
      <c r="BH681" s="267">
        <v>1</v>
      </c>
      <c r="BI681" s="267">
        <v>2409.75</v>
      </c>
      <c r="BJ681" s="252"/>
      <c r="BK681" s="253"/>
      <c r="BL681" s="267"/>
      <c r="BM681" s="268"/>
      <c r="BN681" s="252"/>
      <c r="BO681" s="253"/>
      <c r="BP681" s="267">
        <v>1</v>
      </c>
      <c r="BQ681" s="267">
        <v>64.44</v>
      </c>
      <c r="BR681" s="252"/>
      <c r="BS681" s="253"/>
      <c r="BT681" s="267">
        <v>1</v>
      </c>
      <c r="BU681" s="267">
        <v>179.54999999999998</v>
      </c>
      <c r="BV681" s="252"/>
      <c r="BW681" s="253"/>
      <c r="BX681" s="267"/>
      <c r="BY681" s="268"/>
      <c r="BZ681" s="252"/>
      <c r="CA681" s="253"/>
      <c r="CB681" s="267"/>
      <c r="CC681" s="268"/>
      <c r="CD681" s="255">
        <f t="shared" si="108"/>
        <v>0</v>
      </c>
      <c r="CE681" s="256">
        <f t="shared" si="109"/>
        <v>0</v>
      </c>
      <c r="CF681" s="257">
        <f t="shared" si="110"/>
        <v>1</v>
      </c>
      <c r="CG681" s="261">
        <f t="shared" si="111"/>
        <v>15389.74</v>
      </c>
      <c r="CO681" s="463"/>
    </row>
    <row r="682" spans="1:93">
      <c r="CI682" s="263"/>
      <c r="CJ682" s="263"/>
      <c r="CK682" s="263"/>
      <c r="CL682" s="263"/>
      <c r="CM682" s="263"/>
      <c r="CN682" s="263"/>
    </row>
    <row r="683" spans="1:93">
      <c r="CI683" s="263"/>
      <c r="CJ683" s="263"/>
      <c r="CK683" s="263"/>
      <c r="CL683" s="263"/>
      <c r="CM683" s="263"/>
      <c r="CN683" s="263"/>
    </row>
  </sheetData>
  <sortState ref="A597:DA635">
    <sortCondition ref="E597:E635"/>
    <sortCondition ref="B597:B635"/>
  </sortState>
  <phoneticPr fontId="12" type="noConversion"/>
  <conditionalFormatting sqref="BT7 P7 L7 X7 AF7 H7 BL7 T7 AB7 AJ7 AN7 AV7 BD7 AZ7 BH7 BP7 BX7 CB7">
    <cfRule type="expression" dxfId="189" priority="297" stopIfTrue="1">
      <formula>H7&lt;(F7-(F7*0.05))</formula>
    </cfRule>
    <cfRule type="expression" dxfId="188" priority="298" stopIfTrue="1">
      <formula>H7&gt;(F7+(F7*0.1))</formula>
    </cfRule>
  </conditionalFormatting>
  <conditionalFormatting sqref="I7 M7 Q7 U7 Y7 AC7 AG7 AK7 AO7 AW7 BA7 BE7 BI7 BM7 BQ7 BU7 BY7 CC7">
    <cfRule type="expression" dxfId="187" priority="299" stopIfTrue="1">
      <formula>(I7/H7)-(G7/F7)/(G7/F7)&lt;(G7/F7-((G7/F7)*0.05))</formula>
    </cfRule>
    <cfRule type="expression" dxfId="186" priority="300" stopIfTrue="1">
      <formula>(I7/H7)-(G7/F7)/(G7/F7)&gt;(G7/F7+((G7/F7)*0.1))</formula>
    </cfRule>
  </conditionalFormatting>
  <conditionalFormatting sqref="H7 L7 P7 T7 X7 AB7 AF7 AJ7 AN7 AV7 AZ7 BD7 BH7 BL7 BP7 BT7 BX7 CB7">
    <cfRule type="cellIs" dxfId="185" priority="279" stopIfTrue="1" operator="greaterThan">
      <formula>F7+(F7*0.1)</formula>
    </cfRule>
    <cfRule type="cellIs" dxfId="184" priority="280" stopIfTrue="1" operator="lessThan">
      <formula>F7-(F7*0.05)</formula>
    </cfRule>
  </conditionalFormatting>
  <conditionalFormatting sqref="H7:H45 L7:L45 P7:P45 T7:T45 AB7:AB45 AJ7:AJ45 AV7:AV45 AZ7:AZ45 BD7:BD45 BH7:BH45 X7:X45 BL7:BL45 BT7:BT45 AF7:AF45 AN7:AN45 BP7:BP45 BX7:BX45 CB7:CB45 H429:H434 L429:L434 P429:P434 T429:T434 AF429:AF434 AB429:AB434 CB429:CB434 AJ429:AJ434 AN429:AN434 AV429:AV434 AZ429:AZ434 BD429:BD434 BH429:BH434 X429:X434 BP429:BP434 BL429:BL434 BX429:BX434 BT429:BT434 AN231:AN236 AO224:AO225 AO207:AO219 AN205:AN219 AN220:AO222 AN224:AN229 H205:H236 L205:L236 T205:T236 AB205:AB236 CB205:CB236 AJ205:AJ236 AV205:AV236 AZ205:AZ236 BD205:BD236 BH205:BH236 BP205:BP236 BL205:BL236 BX205:BX236 BT205:BT236 AF205:AF236 X205:X236 P205:P236 BT155:BT180 H155:H180 L155:L180 P155:P180 T155:T180 AF155:AF180 AB155:AB180 CB155:CB180 AJ155:AJ180 AN155:AN180 AV155:AV180 AZ155:AZ180 BD155:BD180 BH155:BH180 X155:X180 BP155:BP180 BL155:BL180 BX155:BX180">
    <cfRule type="expression" dxfId="183" priority="197">
      <formula xml:space="preserve"> H7&gt;(F7+(F7*0.1))</formula>
    </cfRule>
    <cfRule type="expression" dxfId="182" priority="198">
      <formula xml:space="preserve"> H7&lt;(F7-(F7*0.1))</formula>
    </cfRule>
  </conditionalFormatting>
  <conditionalFormatting sqref="I7:I45 M7:M45 Q7:Q45 U7:U45 AC7:AC45 AK7:AK45 AW7:AW45 BA7:BA45 BE7:BE45 BI7:BI45 Y7:Y45 BU7:BU45 BM7:BM45 AG7:AG45 AO7:AO45 BQ7:BQ45 BY7:BY45 CC7:CC45 I429:I434 M429:M434 Q429:Q434 U429:U434 AC429:AC434 AK429:AK434 AO429:AO434 AW429:AW434 BA429:BA434 BE429:BE434 BI429:BI434 BQ429:BQ434 BY429:BY434 CC429:CC434 AG429:AG434 Y429:Y434 BU429:BU434 BM429:BM434 Q205:Q236 I205:I236 M205:M236 U205:U236 AC205:AC236 AK205:AK236 AO205:AO236 AW205:AW236 BA205:BA236 BE205:BE236 BI205:BI236 BQ205:BQ236 BY205:BY236 CC205:CC236 BU205:BU236 BM205:BM236 AG205:AG236 Y205:Y236 BM155:BM180 I155:I180 M155:M180 Q155:Q180 U155:U180 AC155:AC180 AK155:AK180 AO155:AO180 AW155:AW180 BA155:BA180 BE155:BE180 BI155:BI180 BQ155:BQ180 BY155:BY180 CC155:CC180 AG155:AG180 Y155:Y180 BU155:BU180">
    <cfRule type="expression" dxfId="181" priority="195">
      <formula xml:space="preserve"> I7&gt;(G7+(G7*0.05))</formula>
    </cfRule>
    <cfRule type="expression" dxfId="180" priority="196">
      <formula xml:space="preserve"> I7&lt;(G7-(G7*0.05))</formula>
    </cfRule>
  </conditionalFormatting>
  <conditionalFormatting sqref="H46:H77 L46:L77 P46:P77 T46:T77 AF46:AF77 AB46:AB77 CB46:CB77 AJ46:AJ77 AV46:AV77 AZ46:AZ77 BD46:BD77 BH46:BH77 X46:X77 BP46:BP77 BL46:BL77 BX46:BX77 BT46:BT77 AN46:AN77">
    <cfRule type="expression" dxfId="179" priority="193">
      <formula xml:space="preserve"> H46&gt;(F46+(F46*0.1))</formula>
    </cfRule>
    <cfRule type="expression" dxfId="178" priority="194">
      <formula xml:space="preserve"> H46&lt;(F46-(F46*0.1))</formula>
    </cfRule>
  </conditionalFormatting>
  <conditionalFormatting sqref="I46:I77 M46:M77 Q46:Q77 U46:U77 AC46:AC77 AK46:AK77 AW46:AW77 BA46:BA77 BE46:BE77 BI46:BI77 BQ46:BQ77 BY46:BY77 CC46:CC77 AG46:AG77 Y46:Y77 BU46:BU77 BM46:BM77 AO46:AO77">
    <cfRule type="expression" dxfId="177" priority="191">
      <formula xml:space="preserve"> I46&gt;(G46+(G46*0.05))</formula>
    </cfRule>
    <cfRule type="expression" dxfId="176" priority="192">
      <formula xml:space="preserve"> I46&lt;(G46-(G46*0.05))</formula>
    </cfRule>
  </conditionalFormatting>
  <conditionalFormatting sqref="H78:H82 L78:L82 P78:P82 T78:T82 AF78:AF82 AB78:AB82 CB78:CB82 AJ78:AJ82 AN78:AN82 AV78:AV82 AZ78:AZ82 BD78:BD82 BH78:BH82 X78:X82 BP78:BP82 BL78:BL82 BX78:BX82 BT78:BT82">
    <cfRule type="expression" dxfId="175" priority="189">
      <formula xml:space="preserve"> H78&gt;(F78+(F78*0.1))</formula>
    </cfRule>
    <cfRule type="expression" dxfId="174" priority="190">
      <formula xml:space="preserve"> H78&lt;(F78-(F78*0.1))</formula>
    </cfRule>
  </conditionalFormatting>
  <conditionalFormatting sqref="I78:I82 M78:M82 Q78:Q82 U78:U82 AC78:AC82 AK78:AK82 AO78:AO82 AW78:AW82 BA78:BA82 BE78:BE82 BI78:BI82 BQ78:BQ82 BY78:BY82 CC78:CC82 AG78:AG82 Y78:Y82 BU78:BU82 BM78:BM82">
    <cfRule type="expression" dxfId="173" priority="187">
      <formula xml:space="preserve"> I78&gt;(G78+(G78*0.05))</formula>
    </cfRule>
    <cfRule type="expression" dxfId="172" priority="188">
      <formula xml:space="preserve"> I78&lt;(G78-(G78*0.05))</formula>
    </cfRule>
  </conditionalFormatting>
  <conditionalFormatting sqref="H83:H93 L83:L93 P83:P93 T83:T93 AF83:AF93 AB83:AB93 CB83:CB93 AJ83:AJ93 AN83:AN93 AV83:AV93 AZ83:AZ93 BD83:BD93 BH83:BH93 X83:X93 BP83:BP93 BL83:BL93 BX83:BX93 BT83:BT93">
    <cfRule type="expression" dxfId="171" priority="185">
      <formula xml:space="preserve"> H83&gt;(F83+(F83*0.1))</formula>
    </cfRule>
    <cfRule type="expression" dxfId="170" priority="186">
      <formula xml:space="preserve"> H83&lt;(F83-(F83*0.1))</formula>
    </cfRule>
  </conditionalFormatting>
  <conditionalFormatting sqref="I83:I93 M83:M93 Q83:Q93 U83:U93 AC83:AC93 AK83:AK93 AO83:AO93 AW83:AW93 BA83:BA93 BE83:BE93 BI83:BI93 BQ83:BQ93 BY83:BY93 CC83:CC93 AG83:AG93 Y83:Y93 BU83:BU93 BM83:BM93">
    <cfRule type="expression" dxfId="169" priority="183">
      <formula xml:space="preserve"> I83&gt;(G83+(G83*0.05))</formula>
    </cfRule>
    <cfRule type="expression" dxfId="168" priority="184">
      <formula xml:space="preserve"> I83&lt;(G83-(G83*0.05))</formula>
    </cfRule>
  </conditionalFormatting>
  <conditionalFormatting sqref="H94:H121 CB94:CB121 AJ102:AJ121 BT94:BT121 AZ94:AZ121 BD94:BD121 BH94:BH121 BP94:BP121 BL94:BL121 BX94:BX121 AV94:AV95 AV97:AV121 AF94:AF95 T94:T99 X94:X99 AB94:AB99 AF97:AF99 AJ94:AJ99 AN94:AN99 AN102:AN121 P94:P121 AF102:AF121 T102:T121 X102:X121 AB103:AB121 L94:L121">
    <cfRule type="expression" dxfId="167" priority="181">
      <formula xml:space="preserve"> H94&gt;(F94+(F94*0.1))</formula>
    </cfRule>
    <cfRule type="expression" dxfId="166" priority="182">
      <formula xml:space="preserve"> H94&lt;(F94-(F94*0.1))</formula>
    </cfRule>
  </conditionalFormatting>
  <conditionalFormatting sqref="I94:I121 M94:M121 Q94:Q121 Y102:Y121 AG102:AG121 AK102:AK121 BM94:BM121 BA94:BA121 BE94:BE121 BI94:BI121 BQ94:BQ121 BY94:BY121 CC94:CC121 U102:U121 BU94:BU121 AW94:AW95 AW97:AW121 AG94:AG95 U94:U99 Y94:Y99 AC94:AC99 AG97:AG99 AK94:AK99 AO94:AO99 AO102:AO121 AC103:AC121">
    <cfRule type="expression" dxfId="165" priority="179">
      <formula xml:space="preserve"> I94&gt;(G94+(G94*0.05))</formula>
    </cfRule>
    <cfRule type="expression" dxfId="164" priority="180">
      <formula xml:space="preserve"> I94&lt;(G94-(G94*0.05))</formula>
    </cfRule>
  </conditionalFormatting>
  <conditionalFormatting sqref="AW96">
    <cfRule type="expression" dxfId="163" priority="177">
      <formula xml:space="preserve"> AW96&gt;(AE96+(AE96*0.05))</formula>
    </cfRule>
    <cfRule type="expression" dxfId="162" priority="178">
      <formula xml:space="preserve"> AW96&lt;(AE96-(AE96*0.05))</formula>
    </cfRule>
  </conditionalFormatting>
  <conditionalFormatting sqref="AV96">
    <cfRule type="expression" dxfId="161" priority="175">
      <formula xml:space="preserve"> AV96&gt;(AD96+(AD96*0.1))</formula>
    </cfRule>
    <cfRule type="expression" dxfId="160" priority="176">
      <formula xml:space="preserve"> AV96&lt;(AD96-(AD96*0.1))</formula>
    </cfRule>
  </conditionalFormatting>
  <conditionalFormatting sqref="T100 X100 AF100 AJ100 AN100 AB100:AB101">
    <cfRule type="expression" dxfId="159" priority="173">
      <formula xml:space="preserve"> T100&gt;(R101+(R101*0.1))</formula>
    </cfRule>
    <cfRule type="expression" dxfId="158" priority="174">
      <formula xml:space="preserve"> T100&lt;(R101-(R101*0.1))</formula>
    </cfRule>
  </conditionalFormatting>
  <conditionalFormatting sqref="U100 Y100 AG100 AK100 AO100 AC100:AC101">
    <cfRule type="expression" dxfId="157" priority="171">
      <formula xml:space="preserve"> U100&gt;(S101+(S101*0.05))</formula>
    </cfRule>
    <cfRule type="expression" dxfId="156" priority="172">
      <formula xml:space="preserve"> U100&lt;(S101-(S101*0.05))</formula>
    </cfRule>
  </conditionalFormatting>
  <conditionalFormatting sqref="H122:H154 L122:L154 P122:P154 T122:T154 AB122:AB154 CB122:CB154 AJ122:AJ154 AN122:AN154 AV122:AV154 AZ122:AZ154 BD122:BD154 BH122:BH154 BP122:BP154 BX122:BX154 X122:X154 AF122:AF154 BL122:BL154 BT122:BT154">
    <cfRule type="expression" dxfId="155" priority="169">
      <formula xml:space="preserve"> H122&gt;(F122+(F122*0.1))</formula>
    </cfRule>
    <cfRule type="expression" dxfId="154" priority="170">
      <formula xml:space="preserve"> H122&lt;(F122-(F122*0.1))</formula>
    </cfRule>
  </conditionalFormatting>
  <conditionalFormatting sqref="I122:I154 M122:M154 Q122:Q154 U122:U154 AC122:AC154 AK122:AK154 AO122:AO154 AW122:AW154 BA122:BA154 BE122:BE154 BI122:BI154 BQ122:BQ154 BY122:BY154 CC122:CC154 Y122:Y154 AG122:AG154 BM122:BM154 BU122:BU154">
    <cfRule type="expression" dxfId="153" priority="167">
      <formula xml:space="preserve"> I122&gt;(G122+(G122*0.05))</formula>
    </cfRule>
    <cfRule type="expression" dxfId="152" priority="168">
      <formula xml:space="preserve"> I122&lt;(G122-(G122*0.05))</formula>
    </cfRule>
  </conditionalFormatting>
  <conditionalFormatting sqref="H181:H204 L181:L204 P181:P204 T181:T204 AF181:AF204 AB181:AB204 CB181:CB204 AJ181:AJ204 AN181:AN204 AV181:AV204 AZ181:AZ204 BD181:BD204 BH181:BH204 X181:X204 BP181:BP204 BL181:BL204 BX181:BX204 BT181:BT204">
    <cfRule type="expression" dxfId="151" priority="161">
      <formula xml:space="preserve"> H181&gt;(F181+(F181*0.1))</formula>
    </cfRule>
    <cfRule type="expression" dxfId="150" priority="162">
      <formula xml:space="preserve"> H181&lt;(F181-(F181*0.1))</formula>
    </cfRule>
  </conditionalFormatting>
  <conditionalFormatting sqref="I181:I204 M181:M204 Q181:Q204 U181:U204 AC181:AC204 AK181:AK204 AO181:AO204 AW181:AW204 BA181:BA204 BE181:BE204 BI181:BI204 BQ181:BQ204 BY181:BY204 CC181:CC204 AG181:AG204 Y181:Y204 BU181:BU204 BM181:BM204">
    <cfRule type="expression" dxfId="149" priority="159">
      <formula xml:space="preserve"> I181&gt;(G181+(G181*0.05))</formula>
    </cfRule>
    <cfRule type="expression" dxfId="148" priority="160">
      <formula xml:space="preserve"> I181&lt;(G181-(G181*0.05))</formula>
    </cfRule>
  </conditionalFormatting>
  <conditionalFormatting sqref="AN230:AO230 AN223:AO223 AO226:AO229">
    <cfRule type="expression" dxfId="147" priority="157">
      <formula xml:space="preserve"> AN223&gt;(AL223+(AL223*0.1))</formula>
    </cfRule>
    <cfRule type="expression" dxfId="146" priority="158">
      <formula xml:space="preserve"> AN223&lt;(AL223-(AL223*0.1))</formula>
    </cfRule>
  </conditionalFormatting>
  <conditionalFormatting sqref="H237 L237 T237 AB237 CB237 AJ237 AN237 AV237 AZ237 BD237 BH237 BP237 BL237 BX237 BT237 AF237 X237 P237">
    <cfRule type="expression" dxfId="145" priority="153">
      <formula xml:space="preserve"> H237&gt;(F237+(F237*0.1))</formula>
    </cfRule>
    <cfRule type="expression" dxfId="144" priority="154">
      <formula xml:space="preserve"> H237&lt;(F237-(F237*0.1))</formula>
    </cfRule>
  </conditionalFormatting>
  <conditionalFormatting sqref="I237 M237 U237 AC237 AK237 AO237 AW237 BA237 BE237 BI237 BQ237 BY237 CC237 BU237 BM237 AG237 Y237 Q237">
    <cfRule type="expression" dxfId="143" priority="151">
      <formula xml:space="preserve"> I237&gt;(G237+(G237*0.05))</formula>
    </cfRule>
    <cfRule type="expression" dxfId="142" priority="152">
      <formula xml:space="preserve"> I237&lt;(G237-(G237*0.05))</formula>
    </cfRule>
  </conditionalFormatting>
  <conditionalFormatting sqref="H238:H264 L238:L264 P238:P264 T238:T264 AF238:AF264 AB238:AB264 CB238:CB264 AJ238:AJ264 AN238:AN264 AV238:AV264 AZ238:AZ264 BD238:BD264 BH238:BH264 X238:X264 BP238:BP264 BL238:BL264 BX238:BX264 BT238:BT264">
    <cfRule type="expression" dxfId="141" priority="145">
      <formula xml:space="preserve"> H238&gt;(F238+(F238*0.1))</formula>
    </cfRule>
    <cfRule type="expression" dxfId="140" priority="146">
      <formula xml:space="preserve"> H238&lt;(F238-(F238*0.1))</formula>
    </cfRule>
  </conditionalFormatting>
  <conditionalFormatting sqref="I238:I264 M238:M264 Q238:Q264 U238:U264 AC238:AC264 AK238:AK264 AO238:AO264 AW238:AW264 BA238:BA264 BE238:BE264 BI238:BI264 BQ238:BQ264 BY238:BY264 CC238:CC264 AG238:AG264 Y238:Y264 BU238:BU264 BM238:BM264">
    <cfRule type="expression" dxfId="139" priority="143">
      <formula xml:space="preserve"> I238&gt;(G238+(G238*0.05))</formula>
    </cfRule>
    <cfRule type="expression" dxfId="138" priority="144">
      <formula xml:space="preserve"> I238&lt;(G238-(G238*0.05))</formula>
    </cfRule>
  </conditionalFormatting>
  <conditionalFormatting sqref="H265:H272 L265:L272 P265:P272 T265:T272 AF265:AF272 AB265:AB272 CB265:CB272 AJ265:AJ272 AN265:AN272 AV265:AV272 AZ265:AZ272 BD265:BD272 BH265:BH272 X265:X272 BP265:BP272 BL265:BL272 BX265:BX272 BT265:BT272">
    <cfRule type="expression" dxfId="137" priority="141">
      <formula xml:space="preserve"> H265&gt;(F265+(F265*0.1))</formula>
    </cfRule>
    <cfRule type="expression" dxfId="136" priority="142">
      <formula xml:space="preserve"> H265&lt;(F265-(F265*0.1))</formula>
    </cfRule>
  </conditionalFormatting>
  <conditionalFormatting sqref="I265:I272 M265:M272 Q265:Q272 U265:U272 AC265:AC272 AK265:AK272 AO265:AO272 AW265:AW272 BA265:BA272 BE265:BE272 BI265:BI272 BQ265:BQ272 BY265:BY272 CC265:CC272 AG265:AG272 Y265:Y272 BU265:BU272 BM265:BM272">
    <cfRule type="expression" dxfId="135" priority="139">
      <formula xml:space="preserve"> I265&gt;(G265+(G265*0.05))</formula>
    </cfRule>
    <cfRule type="expression" dxfId="134" priority="140">
      <formula xml:space="preserve"> I265&lt;(G265-(G265*0.05))</formula>
    </cfRule>
  </conditionalFormatting>
  <conditionalFormatting sqref="H273:H287 L273:L287 P273:P287 T273:T287 AF273:AF287 AB273:AB287 AJ273:AJ287 AN273:AN287 AV273:AV287 AZ273:AZ287 BD273:BD287 X273:X287 BP273:BP287 BL273:BL287 BX273:BX287 BT273:BT287 BH273:BH287 CB273:CB287">
    <cfRule type="expression" dxfId="133" priority="137">
      <formula xml:space="preserve"> H273&gt;(F273+(F273*0.1))</formula>
    </cfRule>
    <cfRule type="expression" dxfId="132" priority="138">
      <formula xml:space="preserve"> H273&lt;(F273-(F273*0.1))</formula>
    </cfRule>
  </conditionalFormatting>
  <conditionalFormatting sqref="I273:I287 M273:M287 Q273:Q287 U273:U287 AC273:AC287 AK273:AK287 AO273:AO287 AW273:AW287 BA273:BA287 BE273:BE287 BI273:BI287 BQ273:BQ287 BY273:BY287 CC273:CC287 AG273:AG287 Y273:Y287 BU273:BU287 BM273:BM287">
    <cfRule type="expression" dxfId="131" priority="135">
      <formula xml:space="preserve"> I273&gt;(G273+(G273*0.05))</formula>
    </cfRule>
    <cfRule type="expression" dxfId="130" priority="136">
      <formula xml:space="preserve"> I273&lt;(G273-(G273*0.05))</formula>
    </cfRule>
  </conditionalFormatting>
  <conditionalFormatting sqref="H273:H287">
    <cfRule type="expression" dxfId="129" priority="133">
      <formula xml:space="preserve"> H273&gt;(E273+(E273*0.1))</formula>
    </cfRule>
    <cfRule type="expression" dxfId="128" priority="134">
      <formula xml:space="preserve"> H273&lt;(E273-(E273*0.1))</formula>
    </cfRule>
  </conditionalFormatting>
  <conditionalFormatting sqref="L273:L287">
    <cfRule type="expression" dxfId="127" priority="131">
      <formula xml:space="preserve"> L273&gt;(I273+(I273*0.1))</formula>
    </cfRule>
    <cfRule type="expression" dxfId="126" priority="132">
      <formula xml:space="preserve"> L273&lt;(I273-(I273*0.1))</formula>
    </cfRule>
  </conditionalFormatting>
  <conditionalFormatting sqref="T273:T287">
    <cfRule type="expression" dxfId="125" priority="129">
      <formula xml:space="preserve"> T273&gt;(Q273+(Q273*0.1))</formula>
    </cfRule>
    <cfRule type="expression" dxfId="124" priority="130">
      <formula xml:space="preserve"> T273&lt;(Q273-(Q273*0.1))</formula>
    </cfRule>
  </conditionalFormatting>
  <conditionalFormatting sqref="X273:X287">
    <cfRule type="expression" dxfId="123" priority="127">
      <formula xml:space="preserve"> X273&gt;(U273+(U273*0.1))</formula>
    </cfRule>
    <cfRule type="expression" dxfId="122" priority="128">
      <formula xml:space="preserve"> X273&lt;(U273-(U273*0.1))</formula>
    </cfRule>
  </conditionalFormatting>
  <conditionalFormatting sqref="AB273:AB287">
    <cfRule type="expression" dxfId="121" priority="125">
      <formula xml:space="preserve"> AB273&gt;(Y273+(Y273*0.1))</formula>
    </cfRule>
    <cfRule type="expression" dxfId="120" priority="126">
      <formula xml:space="preserve"> AB273&lt;(Y273-(Y273*0.1))</formula>
    </cfRule>
  </conditionalFormatting>
  <conditionalFormatting sqref="AF273:AF287">
    <cfRule type="expression" dxfId="119" priority="123">
      <formula xml:space="preserve"> AF273&gt;(AC273+(AC273*0.1))</formula>
    </cfRule>
    <cfRule type="expression" dxfId="118" priority="124">
      <formula xml:space="preserve"> AF273&lt;(AC273-(AC273*0.1))</formula>
    </cfRule>
  </conditionalFormatting>
  <conditionalFormatting sqref="AV273:AV287">
    <cfRule type="expression" dxfId="117" priority="121">
      <formula xml:space="preserve"> AV273&gt;(AS273+(AS273*0.1))</formula>
    </cfRule>
    <cfRule type="expression" dxfId="116" priority="122">
      <formula xml:space="preserve"> AV273&lt;(AS273-(AS273*0.1))</formula>
    </cfRule>
  </conditionalFormatting>
  <conditionalFormatting sqref="AZ273:AZ287">
    <cfRule type="expression" dxfId="115" priority="119">
      <formula xml:space="preserve"> AZ273&gt;(AW273+(AW273*0.1))</formula>
    </cfRule>
    <cfRule type="expression" dxfId="114" priority="120">
      <formula xml:space="preserve"> AZ273&lt;(AW273-(AW273*0.1))</formula>
    </cfRule>
  </conditionalFormatting>
  <conditionalFormatting sqref="BL273:BL287">
    <cfRule type="expression" dxfId="113" priority="117">
      <formula xml:space="preserve"> BL273&gt;(BI273+(BI273*0.1))</formula>
    </cfRule>
    <cfRule type="expression" dxfId="112" priority="118">
      <formula xml:space="preserve"> BL273&lt;(BI273-(BI273*0.1))</formula>
    </cfRule>
  </conditionalFormatting>
  <conditionalFormatting sqref="BP273:BP287">
    <cfRule type="expression" dxfId="111" priority="115">
      <formula xml:space="preserve"> BP273&gt;(BM273+(BM273*0.1))</formula>
    </cfRule>
    <cfRule type="expression" dxfId="110" priority="116">
      <formula xml:space="preserve"> BP273&lt;(BM273-(BM273*0.1))</formula>
    </cfRule>
  </conditionalFormatting>
  <conditionalFormatting sqref="BT273:BT287">
    <cfRule type="expression" dxfId="109" priority="113">
      <formula xml:space="preserve"> BT273&gt;(BQ273+(BQ273*0.1))</formula>
    </cfRule>
    <cfRule type="expression" dxfId="108" priority="114">
      <formula xml:space="preserve"> BT273&lt;(BQ273-(BQ273*0.1))</formula>
    </cfRule>
  </conditionalFormatting>
  <conditionalFormatting sqref="BH273:BH287">
    <cfRule type="expression" dxfId="107" priority="111">
      <formula xml:space="preserve"> BH273&gt;(BE273+(BE273*0.1))</formula>
    </cfRule>
    <cfRule type="expression" dxfId="106" priority="112">
      <formula xml:space="preserve"> BH273&lt;(BE273-(BE273*0.1))</formula>
    </cfRule>
  </conditionalFormatting>
  <conditionalFormatting sqref="CB273:CB287">
    <cfRule type="expression" dxfId="105" priority="109">
      <formula xml:space="preserve"> CB273&gt;(BY273+(BY273*0.1))</formula>
    </cfRule>
    <cfRule type="expression" dxfId="104" priority="110">
      <formula xml:space="preserve"> CB273&lt;(BY273-(BY273*0.1))</formula>
    </cfRule>
  </conditionalFormatting>
  <conditionalFormatting sqref="CB273:CB287">
    <cfRule type="expression" dxfId="103" priority="107">
      <formula xml:space="preserve"> CB273&gt;(BY273+(BY273*0.1))</formula>
    </cfRule>
    <cfRule type="expression" dxfId="102" priority="108">
      <formula xml:space="preserve"> CB273&lt;(BY273-(BY273*0.1))</formula>
    </cfRule>
  </conditionalFormatting>
  <conditionalFormatting sqref="H288:H302 L288:L302 P288:P302 T288:T302 AF288:AF302 AB288:AB302 CB288:CB302 AJ288:AJ302 AN288:AN302 AV288:AV302 AZ288:AZ302 BD288:BD302 BH288:BH302 X288:X302 BP288:BP302 BL288:BL302 BX288:BX302 BT288:BT302">
    <cfRule type="expression" dxfId="101" priority="105">
      <formula xml:space="preserve"> H288&gt;(F288+(F288*0.1))</formula>
    </cfRule>
    <cfRule type="expression" dxfId="100" priority="106">
      <formula xml:space="preserve"> H288&lt;(F288-(F288*0.1))</formula>
    </cfRule>
  </conditionalFormatting>
  <conditionalFormatting sqref="I288:I302 M288:M302 Q288:Q302 U288:U302 AC288:AC302 AK288:AK302 AO288:AO302 AW288:AW302 BA288:BA302 BE288:BE302 BI288:BI302 BQ288:BQ302 BY288:BY302 CC288:CC302 AG288:AG302 Y288:Y302 BU288:BU302 BM288:BM302">
    <cfRule type="expression" dxfId="99" priority="103">
      <formula xml:space="preserve"> I288&gt;(G288+(G288*0.05))</formula>
    </cfRule>
    <cfRule type="expression" dxfId="98" priority="104">
      <formula xml:space="preserve"> I288&lt;(G288-(G288*0.05))</formula>
    </cfRule>
  </conditionalFormatting>
  <conditionalFormatting sqref="H303:H360 L303:L360 P303:P360 T303:T360 AF303:AF360 AB303:AB360 CB303:CB360 AJ303:AJ360 AN303:AN360 AV303:AV360 AZ303:AZ360 BD303:BD360 BH303:BH360 X303:X360 BP303:BP360 BL303:BL360 BX303:BX360 BT303:BT360">
    <cfRule type="expression" dxfId="97" priority="101">
      <formula xml:space="preserve"> H303&gt;(F303+(F303*0.1))</formula>
    </cfRule>
    <cfRule type="expression" dxfId="96" priority="102">
      <formula xml:space="preserve"> H303&lt;(F303-(F303*0.1))</formula>
    </cfRule>
  </conditionalFormatting>
  <conditionalFormatting sqref="I303:I360 M303:M360 Q303:Q360 U303:U360 AC303:AC360 AK303:AK360 AO303:AO360 AW303:AW360 BA303:BA360 BE303:BE360 BI303:BI360 BQ303:BQ360 BY303:BY360 CC303:CC360 AG303:AG360 Y303:Y360 BU303:BU360 BM303:BM360">
    <cfRule type="expression" dxfId="95" priority="99">
      <formula xml:space="preserve"> I303&gt;(G303+(G303*0.05))</formula>
    </cfRule>
    <cfRule type="expression" dxfId="94" priority="100">
      <formula xml:space="preserve"> I303&lt;(G303-(G303*0.05))</formula>
    </cfRule>
  </conditionalFormatting>
  <conditionalFormatting sqref="H361:H428 P361:P428 T361:T428 AF361:AF428 AB361:AB428 CB361:CB428 AJ361:AJ428 AN361:AN428 AV361:AV428 BD361:BD428 BH361:BH428 X361:X428 BP361:BP428 BL361:BL428 BX361:BX428 BT361:BT428 L361:L428 AZ361:AZ428">
    <cfRule type="expression" dxfId="93" priority="97" stopIfTrue="1">
      <formula xml:space="preserve"> H361&gt;(F361+(F361*0.1))</formula>
    </cfRule>
    <cfRule type="expression" dxfId="92" priority="98" stopIfTrue="1">
      <formula xml:space="preserve"> H361&lt;(F361-(F361*0.1))</formula>
    </cfRule>
  </conditionalFormatting>
  <conditionalFormatting sqref="I361:I428 M361:M428 Q361:Q428 U361:U428 AK361:AK428 AO361:AO428 AW361:AW428 BA361:BA428 BE361:BE428 BI361:BI428 BQ361:BQ428 BY361:BY428 CC361:CC428 BU361:BU428 BM361:BM428 Y361:Y428 AC361:AC428 AG361:AG428">
    <cfRule type="expression" dxfId="91" priority="95" stopIfTrue="1">
      <formula xml:space="preserve"> I361&gt;(G361+(G361*0.05))</formula>
    </cfRule>
    <cfRule type="expression" dxfId="90" priority="96" stopIfTrue="1">
      <formula xml:space="preserve"> I361&lt;(G361-(G361*0.05))</formula>
    </cfRule>
  </conditionalFormatting>
  <conditionalFormatting sqref="H435:H466 L435:L466 P435:P466 T435:T466 AF435:AF466 AB435:AB466 CB435:CB466 AJ435:AJ466 AN435:AN466 AV435:AV466 AZ435:AZ466 BD435:BD466 BH435:BH466 X435:X466 BP435:BP466 BL435:BL466 BX435:BX466 BT435:BT466">
    <cfRule type="expression" dxfId="89" priority="89">
      <formula xml:space="preserve"> H435&gt;(F435+(F435*0.1))</formula>
    </cfRule>
    <cfRule type="expression" dxfId="88" priority="90">
      <formula xml:space="preserve"> H435&lt;(F435-(F435*0.1))</formula>
    </cfRule>
  </conditionalFormatting>
  <conditionalFormatting sqref="I435:I466 M435:M466 Q435:Q466 U435:U466 AC435:AC466 AK435:AK466 AO435:AO466 AW435:AW466 BA435:BA466 BE435:BE466 BI435:BI466 BQ435:BQ466 BY435:BY466 CC435:CC466 AG435:AG466 Y435:Y466 BU435:BU466 BM435:BM466">
    <cfRule type="expression" dxfId="87" priority="87">
      <formula xml:space="preserve"> I435&gt;(G435+(G435*0.05))</formula>
    </cfRule>
    <cfRule type="expression" dxfId="86" priority="88">
      <formula xml:space="preserve"> I435&lt;(G435-(G435*0.05))</formula>
    </cfRule>
  </conditionalFormatting>
  <conditionalFormatting sqref="BT467:BT515 L467:L515 P467:P515 T467:T515 AF467:AF515 AB467:AB515 CB467:CB515 AJ467:AJ515 AN467:AN515 AV467:AV515 AZ467:AZ515 BD467:BD515 BH467:BH515 X467:X515 BP467:BP515 BL467:BL515 BX467:BX515 H467:H515">
    <cfRule type="expression" dxfId="85" priority="85">
      <formula xml:space="preserve"> H467&gt;(F467+(F467*0.1))</formula>
    </cfRule>
    <cfRule type="expression" dxfId="84" priority="86">
      <formula xml:space="preserve"> H467&lt;(F467-(F467*0.1))</formula>
    </cfRule>
  </conditionalFormatting>
  <conditionalFormatting sqref="BM467:BM515 M467:M515 Q467:Q515 U467:U515 AC467:AC515 AK467:AK515 AO467:AO515 I467:I515 BA467:BA515 BE467:BE515 BI467:BI515 BQ467:BQ515 BY467:BY515 CC467:CC515 AG467:AG515 Y467:Y515 BU467:BU515 AW467:AW515">
    <cfRule type="expression" dxfId="83" priority="83">
      <formula xml:space="preserve"> I467&gt;(G467+(G467*0.05))</formula>
    </cfRule>
    <cfRule type="expression" dxfId="82" priority="84">
      <formula xml:space="preserve"> I467&lt;(G467-(G467*0.05))</formula>
    </cfRule>
  </conditionalFormatting>
  <conditionalFormatting sqref="H516:H621 L516:L621 P516:P621 T516:T621 AF516:AF621 AB516:AB621 BT516:BT621 AJ516:AJ621 AN516:AN621 AV516:AV621 AZ516:AZ621 BD516:BD621 BH516:BH621 X516:X621 BP516:BP621 BL516:BL621 BX516:BX621">
    <cfRule type="expression" dxfId="81" priority="81">
      <formula xml:space="preserve"> H516&gt;(F516+(F516*0.1))</formula>
    </cfRule>
    <cfRule type="expression" dxfId="80" priority="82">
      <formula xml:space="preserve"> H516&lt;(F516-(F516*0.1))</formula>
    </cfRule>
  </conditionalFormatting>
  <conditionalFormatting sqref="I516:I621 M516:M621 Q516:Q621 U516:U621 AC516:AC621 AK516:AK621 AO516:AO621 AW516:AW621 BA516:BA621 BE516:BE621 BI516:BI621 BQ516:BQ621 BY516:BY621 BM516:BM621 AG516:AG621 Y516:Y621 BU516:BU621">
    <cfRule type="expression" dxfId="79" priority="79">
      <formula xml:space="preserve"> I516&gt;(G516+(G516*0.05))</formula>
    </cfRule>
    <cfRule type="expression" dxfId="78" priority="80">
      <formula xml:space="preserve"> I516&lt;(G516-(G516*0.05))</formula>
    </cfRule>
  </conditionalFormatting>
  <conditionalFormatting sqref="CB516:CB619">
    <cfRule type="expression" dxfId="77" priority="77">
      <formula xml:space="preserve"> CB516&gt;(BZ518+(BZ518*0.1))</formula>
    </cfRule>
    <cfRule type="expression" dxfId="76" priority="78">
      <formula xml:space="preserve"> CB516&lt;(BZ518-(BZ518*0.1))</formula>
    </cfRule>
  </conditionalFormatting>
  <conditionalFormatting sqref="CC516:CC619">
    <cfRule type="expression" dxfId="75" priority="75">
      <formula xml:space="preserve"> CC516&gt;(CA518+(CA518*0.05))</formula>
    </cfRule>
    <cfRule type="expression" dxfId="74" priority="76">
      <formula xml:space="preserve"> CC516&lt;(CA518-(CA518*0.05))</formula>
    </cfRule>
  </conditionalFormatting>
  <conditionalFormatting sqref="H622:H660 L622:L660 P622:P660 T622:T660 AF622:AF660 AB622:AB660 CB622:CB660 AJ622:AJ660 AN622:AN660 AV622:AV660 AZ622:AZ660 BD622:BD660 BH622:BH660 X622:X660 BP622:BP660 BL622:BL660 BX622:BX660 BT622:BT660">
    <cfRule type="expression" dxfId="73" priority="73">
      <formula xml:space="preserve"> H622&gt;(F622+(F622*0.1))</formula>
    </cfRule>
    <cfRule type="expression" dxfId="72" priority="74">
      <formula xml:space="preserve"> H622&lt;(F622-(F622*0.1))</formula>
    </cfRule>
  </conditionalFormatting>
  <conditionalFormatting sqref="I622:I660 M622:M660 Q622:Q660 U622:U660 AC622:AC660 AK622:AK660 AO622:AO660 AW622:AW660 BA622:BA660 BE622:BE660 BI622:BI660 BQ622:BQ660 BY622:BY660 CC622:CC660 AG622:AG660 Y622:Y660 BU622:BU660 BM622:BM660">
    <cfRule type="expression" dxfId="71" priority="71">
      <formula xml:space="preserve"> I622&gt;(G622+(G622*0.05))</formula>
    </cfRule>
    <cfRule type="expression" dxfId="70" priority="72">
      <formula xml:space="preserve"> I622&lt;(G622-(G622*0.05))</formula>
    </cfRule>
  </conditionalFormatting>
  <conditionalFormatting sqref="P661:P681 CB661:CB681 AJ661:AJ681 AN661:AN681 AZ661:AZ681 BD661:BD681 BH661:BH681 X661:X681 BP661:BP681 BL661:BL681 BX661:BX681 H661:H681 AV661:AV681 BT661:BT681 L661:L681 T661:T681 AB661:AB681 AF661:AF681">
    <cfRule type="expression" dxfId="69" priority="69">
      <formula xml:space="preserve"> H661&gt;(F661+(F661*0.1))</formula>
    </cfRule>
    <cfRule type="expression" dxfId="68" priority="70">
      <formula xml:space="preserve"> H661&lt;(F661-(F661*0.1))</formula>
    </cfRule>
  </conditionalFormatting>
  <conditionalFormatting sqref="Q661:Q681 AK661:AK681 AO661:AO681 BE661:BE681 BY661:BY681 CC661:CC681 Y661:Y681 BM661:BM681 I661:I681 M661:M681 U661:U681 AC661:AC681 AG661:AG681 AW661:AW681 BA661:BA681 BQ661:BQ681 BI661:BI681 BU661:BU681">
    <cfRule type="expression" dxfId="67" priority="67">
      <formula xml:space="preserve"> I661&gt;(G661+(G661*0.05))</formula>
    </cfRule>
    <cfRule type="expression" dxfId="66" priority="68">
      <formula xml:space="preserve"> I661&lt;(G661-(G661*0.05))</formula>
    </cfRule>
  </conditionalFormatting>
  <conditionalFormatting sqref="I661:I681">
    <cfRule type="expression" dxfId="65" priority="65">
      <formula xml:space="preserve"> I661&gt;(G661+(G661*0.1))</formula>
    </cfRule>
    <cfRule type="expression" dxfId="64" priority="66">
      <formula xml:space="preserve"> I661&lt;(G661-(G661*0.1))</formula>
    </cfRule>
  </conditionalFormatting>
  <conditionalFormatting sqref="M661:M681">
    <cfRule type="expression" dxfId="63" priority="63">
      <formula xml:space="preserve"> M661&gt;(K661+(K661*0.1))</formula>
    </cfRule>
    <cfRule type="expression" dxfId="62" priority="64">
      <formula xml:space="preserve"> M661&lt;(K661-(K661*0.1))</formula>
    </cfRule>
  </conditionalFormatting>
  <conditionalFormatting sqref="U661:U681">
    <cfRule type="expression" dxfId="61" priority="61">
      <formula xml:space="preserve"> U661&gt;(S661+(S661*0.1))</formula>
    </cfRule>
    <cfRule type="expression" dxfId="60" priority="62">
      <formula xml:space="preserve"> U661&lt;(S661-(S661*0.1))</formula>
    </cfRule>
  </conditionalFormatting>
  <conditionalFormatting sqref="AC661:AC681">
    <cfRule type="expression" dxfId="59" priority="59">
      <formula xml:space="preserve"> AC661&gt;(AA661+(AA661*0.1))</formula>
    </cfRule>
    <cfRule type="expression" dxfId="58" priority="60">
      <formula xml:space="preserve"> AC661&lt;(AA661-(AA661*0.1))</formula>
    </cfRule>
  </conditionalFormatting>
  <conditionalFormatting sqref="AG661:AG681">
    <cfRule type="expression" dxfId="57" priority="57">
      <formula xml:space="preserve"> AG661&gt;(AE661+(AE661*0.1))</formula>
    </cfRule>
    <cfRule type="expression" dxfId="56" priority="58">
      <formula xml:space="preserve"> AG661&lt;(AE661-(AE661*0.1))</formula>
    </cfRule>
  </conditionalFormatting>
  <conditionalFormatting sqref="AW661:AW681">
    <cfRule type="expression" dxfId="55" priority="55">
      <formula xml:space="preserve"> AW661&gt;(AU661+(AU661*0.1))</formula>
    </cfRule>
    <cfRule type="expression" dxfId="54" priority="56">
      <formula xml:space="preserve"> AW661&lt;(AU661-(AU661*0.1))</formula>
    </cfRule>
  </conditionalFormatting>
  <conditionalFormatting sqref="AW661:AW681">
    <cfRule type="expression" dxfId="53" priority="53">
      <formula xml:space="preserve"> AW661&gt;(AU661+(AU661*0.1))</formula>
    </cfRule>
    <cfRule type="expression" dxfId="52" priority="54">
      <formula xml:space="preserve"> AW661&lt;(AU661-(AU661*0.1))</formula>
    </cfRule>
  </conditionalFormatting>
  <conditionalFormatting sqref="BA661:BA681">
    <cfRule type="expression" dxfId="51" priority="51">
      <formula xml:space="preserve"> BA661&gt;(AY661+(AY661*0.1))</formula>
    </cfRule>
    <cfRule type="expression" dxfId="50" priority="52">
      <formula xml:space="preserve"> BA661&lt;(AY661-(AY661*0.1))</formula>
    </cfRule>
  </conditionalFormatting>
  <conditionalFormatting sqref="BQ661:BQ681">
    <cfRule type="expression" dxfId="49" priority="49">
      <formula xml:space="preserve"> BQ661&gt;(BO661+(BO661*0.1))</formula>
    </cfRule>
    <cfRule type="expression" dxfId="48" priority="50">
      <formula xml:space="preserve"> BQ661&lt;(BO661-(BO661*0.1))</formula>
    </cfRule>
  </conditionalFormatting>
  <conditionalFormatting sqref="BI661:BI681">
    <cfRule type="expression" dxfId="47" priority="47">
      <formula xml:space="preserve"> BI661&gt;(BG661+(BG661*0.1))</formula>
    </cfRule>
    <cfRule type="expression" dxfId="46" priority="48">
      <formula xml:space="preserve"> BI661&lt;(BG661-(BG661*0.1))</formula>
    </cfRule>
  </conditionalFormatting>
  <conditionalFormatting sqref="BU661:BU681">
    <cfRule type="expression" dxfId="45" priority="45">
      <formula xml:space="preserve"> BU661&gt;(BS661+(BS661*0.1))</formula>
    </cfRule>
    <cfRule type="expression" dxfId="44" priority="46">
      <formula xml:space="preserve"> BU661&lt;(BS661-(BS661*0.1))</formula>
    </cfRule>
  </conditionalFormatting>
  <conditionalFormatting sqref="U661:U681">
    <cfRule type="expression" dxfId="43" priority="43">
      <formula xml:space="preserve"> U661&gt;(S661+(S661*0.05))</formula>
    </cfRule>
    <cfRule type="expression" dxfId="42" priority="44">
      <formula xml:space="preserve"> U661&lt;(S661-(S661*0.05))</formula>
    </cfRule>
  </conditionalFormatting>
  <conditionalFormatting sqref="U661:U681">
    <cfRule type="expression" dxfId="41" priority="41">
      <formula xml:space="preserve"> U661&gt;(S661+(S661*0.1))</formula>
    </cfRule>
    <cfRule type="expression" dxfId="40" priority="42">
      <formula xml:space="preserve"> U661&lt;(S661-(S661*0.1))</formula>
    </cfRule>
  </conditionalFormatting>
  <conditionalFormatting sqref="U661:U681">
    <cfRule type="expression" dxfId="39" priority="39">
      <formula xml:space="preserve"> U661&gt;(S661+(S661*0.05))</formula>
    </cfRule>
    <cfRule type="expression" dxfId="38" priority="40">
      <formula xml:space="preserve"> U661&lt;(S661-(S661*0.05))</formula>
    </cfRule>
  </conditionalFormatting>
  <conditionalFormatting sqref="U661:U681">
    <cfRule type="expression" dxfId="37" priority="37">
      <formula xml:space="preserve"> U661&gt;(S661+(S661*0.1))</formula>
    </cfRule>
    <cfRule type="expression" dxfId="36" priority="38">
      <formula xml:space="preserve"> U661&lt;(S661-(S661*0.1))</formula>
    </cfRule>
  </conditionalFormatting>
  <conditionalFormatting sqref="AC661:AC681">
    <cfRule type="expression" dxfId="35" priority="35">
      <formula xml:space="preserve"> AC661&gt;(AA661+(AA661*0.05))</formula>
    </cfRule>
    <cfRule type="expression" dxfId="34" priority="36">
      <formula xml:space="preserve"> AC661&lt;(AA661-(AA661*0.05))</formula>
    </cfRule>
  </conditionalFormatting>
  <conditionalFormatting sqref="AC661:AC681">
    <cfRule type="expression" dxfId="33" priority="33">
      <formula xml:space="preserve"> AC661&gt;(AA661+(AA661*0.1))</formula>
    </cfRule>
    <cfRule type="expression" dxfId="32" priority="34">
      <formula xml:space="preserve"> AC661&lt;(AA661-(AA661*0.1))</formula>
    </cfRule>
  </conditionalFormatting>
  <conditionalFormatting sqref="AG661:AG681">
    <cfRule type="expression" dxfId="31" priority="31">
      <formula xml:space="preserve"> AG661&gt;(AE661+(AE661*0.05))</formula>
    </cfRule>
    <cfRule type="expression" dxfId="30" priority="32">
      <formula xml:space="preserve"> AG661&lt;(AE661-(AE661*0.05))</formula>
    </cfRule>
  </conditionalFormatting>
  <conditionalFormatting sqref="AG661:AG681">
    <cfRule type="expression" dxfId="29" priority="29">
      <formula xml:space="preserve"> AG661&gt;(AE661+(AE661*0.1))</formula>
    </cfRule>
    <cfRule type="expression" dxfId="28" priority="30">
      <formula xml:space="preserve"> AG661&lt;(AE661-(AE661*0.1))</formula>
    </cfRule>
  </conditionalFormatting>
  <conditionalFormatting sqref="BI661:BI681">
    <cfRule type="expression" dxfId="27" priority="27">
      <formula xml:space="preserve"> BI661&gt;(BG661+(BG661*0.05))</formula>
    </cfRule>
    <cfRule type="expression" dxfId="26" priority="28">
      <formula xml:space="preserve"> BI661&lt;(BG661-(BG661*0.05))</formula>
    </cfRule>
  </conditionalFormatting>
  <conditionalFormatting sqref="BI661:BI681">
    <cfRule type="expression" dxfId="25" priority="25">
      <formula xml:space="preserve"> BI661&gt;(BG661+(BG661*0.1))</formula>
    </cfRule>
    <cfRule type="expression" dxfId="24" priority="26">
      <formula xml:space="preserve"> BI661&lt;(BG661-(BG661*0.1))</formula>
    </cfRule>
  </conditionalFormatting>
  <conditionalFormatting sqref="BQ661:BQ681">
    <cfRule type="expression" dxfId="23" priority="23">
      <formula xml:space="preserve"> BQ661&gt;(BO661+(BO661*0.05))</formula>
    </cfRule>
    <cfRule type="expression" dxfId="22" priority="24">
      <formula xml:space="preserve"> BQ661&lt;(BO661-(BO661*0.05))</formula>
    </cfRule>
  </conditionalFormatting>
  <conditionalFormatting sqref="BQ661:BQ681">
    <cfRule type="expression" dxfId="21" priority="21">
      <formula xml:space="preserve"> BQ661&gt;(BO661+(BO661*0.1))</formula>
    </cfRule>
    <cfRule type="expression" dxfId="20" priority="22">
      <formula xml:space="preserve"> BQ661&lt;(BO661-(BO661*0.1))</formula>
    </cfRule>
  </conditionalFormatting>
  <conditionalFormatting sqref="BU661:BU681">
    <cfRule type="expression" dxfId="19" priority="19">
      <formula xml:space="preserve"> BU661&gt;(BS661+(BS661*0.05))</formula>
    </cfRule>
    <cfRule type="expression" dxfId="18" priority="20">
      <formula xml:space="preserve"> BU661&lt;(BS661-(BS661*0.05))</formula>
    </cfRule>
  </conditionalFormatting>
  <conditionalFormatting sqref="BU661:BU681">
    <cfRule type="expression" dxfId="17" priority="17">
      <formula xml:space="preserve"> BU661&gt;(BS661+(BS661*0.1))</formula>
    </cfRule>
    <cfRule type="expression" dxfId="16" priority="18">
      <formula xml:space="preserve"> BU661&lt;(BS661-(BS661*0.1))</formula>
    </cfRule>
  </conditionalFormatting>
  <conditionalFormatting sqref="H388:H434 L388:L434 P388:P434 T388:T434 AF388:AF434 AB388:AB434 CB388:CB434 AJ388:AJ434 AN388:AN434 AV388:AV434 AZ388:AZ434 BD388:BD434 BH388:BH434 X388:X434 BP388:BP434 BL388:BL434 BX388:BX434 BT388:BT434">
    <cfRule type="expression" dxfId="15" priority="15">
      <formula xml:space="preserve"> H388&gt;(F388+(F388*0.1))</formula>
    </cfRule>
    <cfRule type="expression" dxfId="14" priority="16">
      <formula xml:space="preserve"> H388&lt;(F388-(F388*0.1))</formula>
    </cfRule>
  </conditionalFormatting>
  <conditionalFormatting sqref="I388:I434 M388:M434 Q388:Q434 U388:U434 AC388:AC434 AK388:AK434 AO388:AO434 AW388:AW434 BA388:BA434 BE388:BE434 BI388:BI434 BQ388:BQ434 BY388:BY434 CC388:CC434 AG388:AG434 Y388:Y434 BU388:BU434 BM388:BM434">
    <cfRule type="expression" dxfId="13" priority="13">
      <formula xml:space="preserve"> I388&gt;(G388+(G388*0.05))</formula>
    </cfRule>
    <cfRule type="expression" dxfId="12" priority="14">
      <formula xml:space="preserve"> I388&lt;(G388-(G388*0.05))</formula>
    </cfRule>
  </conditionalFormatting>
  <conditionalFormatting sqref="H467:H516 L467:L516 P467:P516 T467:T516 AF467:AF516 AB467:AB516 CB467:CB516 AJ467:AJ516 AN467:AN516 AV467:AV516 AZ467:AZ516 BD467:BD516 BH467:BH516 X467:X516 BP467:BP516 BL467:BL516 BX467:BX516 BT467:BT516">
    <cfRule type="expression" dxfId="11" priority="11">
      <formula xml:space="preserve"> H467&gt;(F467+(F467*0.1))</formula>
    </cfRule>
    <cfRule type="expression" dxfId="10" priority="12">
      <formula xml:space="preserve"> H467&lt;(F467-(F467*0.1))</formula>
    </cfRule>
  </conditionalFormatting>
  <conditionalFormatting sqref="I467:I516 M467:M516 Q467:Q516 U467:U516 AC467:AC516 AK467:AK516 AO467:AO516 AW467:AW516 BA467:BA516 BE467:BE516 BI467:BI516 BQ467:BQ516 BY467:BY516 CC467:CC516 AG467:AG516 Y467:Y516 BU467:BU516 BM467:BM516">
    <cfRule type="expression" dxfId="9" priority="9">
      <formula xml:space="preserve"> I467&gt;(G467+(G467*0.05))</formula>
    </cfRule>
    <cfRule type="expression" dxfId="8" priority="10">
      <formula xml:space="preserve"> I467&lt;(G467-(G467*0.05))</formula>
    </cfRule>
  </conditionalFormatting>
  <conditionalFormatting sqref="H361:H387 L361:L387 P361:P387 T361:T387 AF361:AF387 AB361:AB387 CB361:CB387 AJ361:AJ387 AN361:AN387 AV361:AV387 AZ361:AZ387 BD361:BD387 BH361:BH387 X361:X387 BP361:BP387 BL361:BL387 BX361:BX387 BT361:BT387">
    <cfRule type="expression" dxfId="7" priority="7">
      <formula xml:space="preserve"> H361&gt;(F361+(F361*0.1))</formula>
    </cfRule>
    <cfRule type="expression" dxfId="6" priority="8">
      <formula xml:space="preserve"> H361&lt;(F361-(F361*0.1))</formula>
    </cfRule>
  </conditionalFormatting>
  <conditionalFormatting sqref="I361:I387 M361:M387 Q361:Q387 U361:U387 AC361:AC387 AK361:AK387 AO361:AO387 AW361:AW387 BA361:BA387 BE361:BE387 BI361:BI387 BQ361:BQ387 BY361:BY387 CC361:CC387 AG361:AG387 Y361:Y387 BU361:BU387 BM361:BM387">
    <cfRule type="expression" dxfId="5" priority="5">
      <formula xml:space="preserve"> I361&gt;(G361+(G361*0.05))</formula>
    </cfRule>
    <cfRule type="expression" dxfId="4" priority="6">
      <formula xml:space="preserve"> I361&lt;(G361-(G361*0.05))</formula>
    </cfRule>
  </conditionalFormatting>
  <conditionalFormatting sqref="AN238:AN267 H238:H267 L238:L267 T238:T267 AB238:AB267 CB238:CB267 AJ238:AJ267 AV238:AV267 AZ238:AZ267 BD238:BD267 BH238:BH267 BP238:BP267 BL238:BL267 BX238:BX267 BT238:BT267 AF238:AF267 X238:X267 P238:P267">
    <cfRule type="expression" dxfId="3" priority="3">
      <formula xml:space="preserve"> H238&gt;(F238+(F238*0.1))</formula>
    </cfRule>
    <cfRule type="expression" dxfId="2" priority="4">
      <formula xml:space="preserve"> H238&lt;(F238-(F238*0.1))</formula>
    </cfRule>
  </conditionalFormatting>
  <conditionalFormatting sqref="I238:I267 M238:M267 U238:U267 AC238:AC267 AK238:AK267 AO238:AO267 AW238:AW267 BA238:BA267 BE238:BE267 BI238:BI267 BQ238:BQ267 BY238:BY267 CC238:CC267 BU238:BU267 BM238:BM267 AG238:AG267 Y238:Y267 Q238:Q267">
    <cfRule type="expression" dxfId="1" priority="1">
      <formula xml:space="preserve"> I238&gt;(G238+(G238*0.05))</formula>
    </cfRule>
    <cfRule type="expression" dxfId="0" priority="2">
      <formula xml:space="preserve"> I238&lt;(G238-(G238*0.05))</formula>
    </cfRule>
  </conditionalFormatting>
  <pageMargins left="0.75" right="0.75" top="1" bottom="1" header="0.5" footer="0.5"/>
  <pageSetup paperSize="5" firstPageNumber="131" orientation="landscape" useFirstPageNumber="1" r:id="rId1"/>
  <headerFooter alignWithMargins="0"/>
  <legacyDrawing r:id="rId2"/>
</worksheet>
</file>

<file path=xl/worksheets/sheet9.xml><?xml version="1.0" encoding="utf-8"?>
<worksheet xmlns="http://schemas.openxmlformats.org/spreadsheetml/2006/main" xmlns:r="http://schemas.openxmlformats.org/officeDocument/2006/relationships">
  <sheetPr>
    <tabColor theme="3" tint="0.39997558519241921"/>
  </sheetPr>
  <dimension ref="A1:E33"/>
  <sheetViews>
    <sheetView showGridLines="0" showZeros="0" view="pageBreakPreview" zoomScaleNormal="40" zoomScaleSheetLayoutView="100" workbookViewId="0">
      <pane xSplit="1" ySplit="4" topLeftCell="B5" activePane="bottomRight" state="frozen"/>
      <selection activeCell="A27" sqref="A27:F27"/>
      <selection pane="topRight" activeCell="A27" sqref="A27:F27"/>
      <selection pane="bottomLeft" activeCell="A27" sqref="A27:F27"/>
      <selection pane="bottomRight" activeCell="C8" sqref="C8"/>
    </sheetView>
  </sheetViews>
  <sheetFormatPr defaultColWidth="9" defaultRowHeight="12"/>
  <cols>
    <col min="1" max="1" width="13.625" style="243" customWidth="1"/>
    <col min="2" max="2" width="31.625" style="180" customWidth="1"/>
    <col min="3" max="3" width="26.5" style="180" customWidth="1"/>
    <col min="4" max="4" width="18.5" style="180" customWidth="1"/>
    <col min="5" max="5" width="15.375" style="180" customWidth="1"/>
    <col min="6" max="16384" width="9" style="180"/>
  </cols>
  <sheetData>
    <row r="1" spans="1:5" ht="18">
      <c r="A1" s="595" t="s">
        <v>1117</v>
      </c>
      <c r="B1" s="225"/>
      <c r="C1" s="225"/>
      <c r="D1" s="225"/>
      <c r="E1" s="225"/>
    </row>
    <row r="2" spans="1:5" s="173" customFormat="1" ht="18">
      <c r="A2" s="655" t="s">
        <v>1311</v>
      </c>
      <c r="B2" s="655"/>
      <c r="C2" s="655"/>
      <c r="D2" s="655"/>
      <c r="E2" s="655"/>
    </row>
    <row r="3" spans="1:5" s="139" customFormat="1" ht="11.25">
      <c r="A3" s="240"/>
      <c r="B3" s="174"/>
      <c r="C3" s="174"/>
      <c r="D3" s="174"/>
      <c r="E3" s="174"/>
    </row>
    <row r="4" spans="1:5" s="177" customFormat="1">
      <c r="A4" s="238" t="s">
        <v>827</v>
      </c>
      <c r="B4" s="239" t="s">
        <v>828</v>
      </c>
      <c r="C4" s="239" t="s">
        <v>829</v>
      </c>
      <c r="D4" s="239" t="s">
        <v>830</v>
      </c>
      <c r="E4" s="239" t="s">
        <v>710</v>
      </c>
    </row>
    <row r="5" spans="1:5" s="591" customFormat="1" ht="36.75" customHeight="1">
      <c r="A5" s="241" t="s">
        <v>831</v>
      </c>
      <c r="B5" s="181" t="s">
        <v>832</v>
      </c>
      <c r="C5" s="182" t="s">
        <v>833</v>
      </c>
      <c r="D5" s="182" t="s">
        <v>833</v>
      </c>
      <c r="E5" s="181" t="s">
        <v>834</v>
      </c>
    </row>
    <row r="6" spans="1:5" s="592" customFormat="1" ht="78.75">
      <c r="A6" s="241" t="s">
        <v>835</v>
      </c>
      <c r="B6" s="181" t="s">
        <v>836</v>
      </c>
      <c r="C6" s="182" t="s">
        <v>837</v>
      </c>
      <c r="D6" s="182" t="s">
        <v>838</v>
      </c>
      <c r="E6" s="181" t="s">
        <v>834</v>
      </c>
    </row>
    <row r="7" spans="1:5" s="592" customFormat="1" ht="86.25" customHeight="1">
      <c r="A7" s="241" t="s">
        <v>1134</v>
      </c>
      <c r="B7" s="181" t="s">
        <v>1135</v>
      </c>
      <c r="C7" s="182" t="s">
        <v>1136</v>
      </c>
      <c r="D7" s="182" t="s">
        <v>839</v>
      </c>
      <c r="E7" s="181" t="s">
        <v>840</v>
      </c>
    </row>
    <row r="8" spans="1:5" s="592" customFormat="1" ht="222" customHeight="1">
      <c r="A8" s="241" t="s">
        <v>841</v>
      </c>
      <c r="B8" s="181" t="s">
        <v>842</v>
      </c>
      <c r="C8" s="182" t="s">
        <v>843</v>
      </c>
      <c r="D8" s="182" t="s">
        <v>844</v>
      </c>
      <c r="E8" s="181" t="s">
        <v>845</v>
      </c>
    </row>
    <row r="9" spans="1:5" s="592" customFormat="1" ht="249.75" customHeight="1">
      <c r="A9" s="241" t="s">
        <v>846</v>
      </c>
      <c r="B9" s="181" t="s">
        <v>1282</v>
      </c>
      <c r="C9" s="182" t="s">
        <v>984</v>
      </c>
      <c r="D9" s="182" t="s">
        <v>1283</v>
      </c>
      <c r="E9" s="181" t="s">
        <v>845</v>
      </c>
    </row>
    <row r="10" spans="1:5" s="592" customFormat="1" ht="281.25">
      <c r="A10" s="241" t="s">
        <v>846</v>
      </c>
      <c r="B10" s="181" t="s">
        <v>1282</v>
      </c>
      <c r="C10" s="182" t="s">
        <v>984</v>
      </c>
      <c r="D10" s="182" t="s">
        <v>1283</v>
      </c>
      <c r="E10" s="181" t="s">
        <v>845</v>
      </c>
    </row>
    <row r="11" spans="1:5" s="592" customFormat="1" ht="212.25" customHeight="1">
      <c r="A11" s="241" t="s">
        <v>847</v>
      </c>
      <c r="B11" s="181" t="s">
        <v>848</v>
      </c>
      <c r="C11" s="182" t="s">
        <v>1284</v>
      </c>
      <c r="D11" s="182" t="s">
        <v>844</v>
      </c>
      <c r="E11" s="181" t="s">
        <v>845</v>
      </c>
    </row>
    <row r="12" spans="1:5" s="592" customFormat="1" ht="212.25" customHeight="1">
      <c r="A12" s="241" t="s">
        <v>847</v>
      </c>
      <c r="B12" s="181" t="s">
        <v>848</v>
      </c>
      <c r="C12" s="182" t="s">
        <v>1284</v>
      </c>
      <c r="D12" s="182" t="s">
        <v>844</v>
      </c>
      <c r="E12" s="181" t="s">
        <v>845</v>
      </c>
    </row>
    <row r="13" spans="1:5" s="592" customFormat="1" ht="216.75" customHeight="1">
      <c r="A13" s="241" t="s">
        <v>849</v>
      </c>
      <c r="B13" s="181" t="s">
        <v>1285</v>
      </c>
      <c r="C13" s="182" t="s">
        <v>1286</v>
      </c>
      <c r="D13" s="182" t="s">
        <v>850</v>
      </c>
      <c r="E13" s="181" t="s">
        <v>845</v>
      </c>
    </row>
    <row r="14" spans="1:5" s="592" customFormat="1" ht="253.5" customHeight="1">
      <c r="A14" s="241" t="s">
        <v>851</v>
      </c>
      <c r="B14" s="181" t="s">
        <v>848</v>
      </c>
      <c r="C14" s="182" t="s">
        <v>852</v>
      </c>
      <c r="D14" s="593" t="s">
        <v>853</v>
      </c>
      <c r="E14" s="181" t="s">
        <v>845</v>
      </c>
    </row>
    <row r="15" spans="1:5" s="592" customFormat="1" ht="316.5" customHeight="1">
      <c r="A15" s="241" t="s">
        <v>854</v>
      </c>
      <c r="B15" s="181" t="s">
        <v>1287</v>
      </c>
      <c r="C15" s="182" t="s">
        <v>1288</v>
      </c>
      <c r="D15" s="182" t="s">
        <v>1289</v>
      </c>
      <c r="E15" s="181" t="s">
        <v>845</v>
      </c>
    </row>
    <row r="16" spans="1:5" s="592" customFormat="1" ht="326.25">
      <c r="A16" s="241" t="s">
        <v>855</v>
      </c>
      <c r="B16" s="181" t="s">
        <v>1309</v>
      </c>
      <c r="C16" s="182" t="s">
        <v>1310</v>
      </c>
      <c r="D16" s="182" t="s">
        <v>1303</v>
      </c>
      <c r="E16" s="181" t="s">
        <v>1304</v>
      </c>
    </row>
    <row r="17" spans="1:5" s="139" customFormat="1" ht="48.75" customHeight="1">
      <c r="A17" s="241" t="s">
        <v>856</v>
      </c>
      <c r="B17" s="178" t="s">
        <v>834</v>
      </c>
      <c r="C17" s="179" t="s">
        <v>834</v>
      </c>
      <c r="D17" s="179" t="s">
        <v>834</v>
      </c>
      <c r="E17" s="178" t="s">
        <v>834</v>
      </c>
    </row>
    <row r="18" spans="1:5" s="592" customFormat="1" ht="123.75">
      <c r="A18" s="241" t="s">
        <v>857</v>
      </c>
      <c r="B18" s="181" t="s">
        <v>1305</v>
      </c>
      <c r="C18" s="182" t="s">
        <v>1306</v>
      </c>
      <c r="D18" s="182" t="s">
        <v>833</v>
      </c>
      <c r="E18" s="181" t="s">
        <v>858</v>
      </c>
    </row>
    <row r="19" spans="1:5" s="139" customFormat="1" ht="315">
      <c r="A19" s="242" t="s">
        <v>859</v>
      </c>
      <c r="B19" s="228" t="s">
        <v>860</v>
      </c>
      <c r="C19" s="229" t="s">
        <v>985</v>
      </c>
      <c r="D19" s="230" t="s">
        <v>1118</v>
      </c>
      <c r="E19" s="228" t="s">
        <v>1119</v>
      </c>
    </row>
    <row r="20" spans="1:5" s="592" customFormat="1" ht="96" customHeight="1">
      <c r="A20" s="241" t="s">
        <v>861</v>
      </c>
      <c r="B20" s="181" t="s">
        <v>862</v>
      </c>
      <c r="C20" s="182" t="s">
        <v>863</v>
      </c>
      <c r="D20" s="182" t="s">
        <v>864</v>
      </c>
      <c r="E20" s="181" t="s">
        <v>1290</v>
      </c>
    </row>
    <row r="21" spans="1:5" s="592" customFormat="1" ht="38.25" customHeight="1">
      <c r="A21" s="241" t="s">
        <v>865</v>
      </c>
      <c r="B21" s="181" t="s">
        <v>866</v>
      </c>
      <c r="C21" s="181" t="s">
        <v>834</v>
      </c>
      <c r="D21" s="181" t="s">
        <v>834</v>
      </c>
      <c r="E21" s="181" t="s">
        <v>834</v>
      </c>
    </row>
    <row r="22" spans="1:5" s="592" customFormat="1" ht="242.25" customHeight="1">
      <c r="A22" s="241" t="s">
        <v>867</v>
      </c>
      <c r="B22" s="181" t="s">
        <v>868</v>
      </c>
      <c r="C22" s="182" t="s">
        <v>986</v>
      </c>
      <c r="D22" s="182" t="s">
        <v>987</v>
      </c>
      <c r="E22" s="181" t="s">
        <v>869</v>
      </c>
    </row>
    <row r="23" spans="1:5" s="139" customFormat="1" ht="56.25">
      <c r="A23" s="241" t="s">
        <v>870</v>
      </c>
      <c r="B23" s="181" t="s">
        <v>988</v>
      </c>
      <c r="C23" s="182" t="s">
        <v>989</v>
      </c>
      <c r="D23" s="182" t="s">
        <v>871</v>
      </c>
      <c r="E23" s="181" t="s">
        <v>990</v>
      </c>
    </row>
    <row r="24" spans="1:5" s="594" customFormat="1" ht="87" customHeight="1">
      <c r="A24" s="241" t="s">
        <v>1292</v>
      </c>
      <c r="B24" s="222" t="s">
        <v>872</v>
      </c>
      <c r="C24" s="223" t="s">
        <v>1291</v>
      </c>
      <c r="D24" s="224" t="s">
        <v>873</v>
      </c>
      <c r="E24" s="223" t="s">
        <v>874</v>
      </c>
    </row>
    <row r="25" spans="1:5" ht="28.5" customHeight="1">
      <c r="A25" s="241" t="s">
        <v>875</v>
      </c>
      <c r="B25" s="181" t="s">
        <v>876</v>
      </c>
      <c r="C25" s="182" t="s">
        <v>991</v>
      </c>
      <c r="D25" s="181" t="s">
        <v>834</v>
      </c>
      <c r="E25" s="181" t="s">
        <v>834</v>
      </c>
    </row>
    <row r="26" spans="1:5" s="594" customFormat="1" ht="62.25" customHeight="1">
      <c r="A26" s="241" t="s">
        <v>877</v>
      </c>
      <c r="B26" s="181" t="s">
        <v>1293</v>
      </c>
      <c r="C26" s="182" t="s">
        <v>1294</v>
      </c>
      <c r="D26" s="182" t="s">
        <v>878</v>
      </c>
      <c r="E26" s="181" t="s">
        <v>1295</v>
      </c>
    </row>
    <row r="27" spans="1:5" s="594" customFormat="1" ht="30" customHeight="1">
      <c r="A27" s="241" t="s">
        <v>879</v>
      </c>
      <c r="B27" s="181" t="s">
        <v>880</v>
      </c>
      <c r="C27" s="182" t="s">
        <v>881</v>
      </c>
      <c r="D27" s="182" t="s">
        <v>882</v>
      </c>
      <c r="E27" s="181" t="s">
        <v>882</v>
      </c>
    </row>
    <row r="28" spans="1:5" s="594" customFormat="1" ht="41.25" customHeight="1">
      <c r="A28" s="241" t="s">
        <v>883</v>
      </c>
      <c r="B28" s="181" t="s">
        <v>884</v>
      </c>
      <c r="C28" s="182" t="s">
        <v>885</v>
      </c>
      <c r="D28" s="182" t="s">
        <v>886</v>
      </c>
      <c r="E28" s="181" t="s">
        <v>882</v>
      </c>
    </row>
    <row r="29" spans="1:5" s="594" customFormat="1" ht="105.75" customHeight="1">
      <c r="A29" s="241" t="s">
        <v>887</v>
      </c>
      <c r="B29" s="181" t="s">
        <v>888</v>
      </c>
      <c r="C29" s="182" t="s">
        <v>863</v>
      </c>
      <c r="D29" s="182" t="s">
        <v>889</v>
      </c>
      <c r="E29" s="181" t="s">
        <v>992</v>
      </c>
    </row>
    <row r="30" spans="1:5" s="594" customFormat="1" ht="72.75" customHeight="1">
      <c r="A30" s="241" t="s">
        <v>890</v>
      </c>
      <c r="B30" s="181" t="s">
        <v>891</v>
      </c>
      <c r="C30" s="182" t="s">
        <v>892</v>
      </c>
      <c r="D30" s="182" t="s">
        <v>893</v>
      </c>
      <c r="E30" s="181" t="s">
        <v>894</v>
      </c>
    </row>
    <row r="31" spans="1:5" s="594" customFormat="1" ht="105.75" customHeight="1">
      <c r="A31" s="241" t="s">
        <v>895</v>
      </c>
      <c r="B31" s="231" t="s">
        <v>1120</v>
      </c>
      <c r="C31" s="232" t="s">
        <v>896</v>
      </c>
      <c r="D31" s="232" t="s">
        <v>897</v>
      </c>
      <c r="E31" s="231" t="s">
        <v>898</v>
      </c>
    </row>
    <row r="32" spans="1:5" s="594" customFormat="1" ht="60.75" customHeight="1">
      <c r="A32" s="241" t="s">
        <v>899</v>
      </c>
      <c r="B32" s="181" t="s">
        <v>900</v>
      </c>
      <c r="C32" s="182" t="s">
        <v>901</v>
      </c>
      <c r="D32" s="182" t="s">
        <v>902</v>
      </c>
      <c r="E32" s="181" t="s">
        <v>903</v>
      </c>
    </row>
    <row r="33" spans="1:5" s="594" customFormat="1" ht="90">
      <c r="A33" s="598" t="s">
        <v>904</v>
      </c>
      <c r="B33" s="181" t="s">
        <v>905</v>
      </c>
      <c r="C33" s="182" t="s">
        <v>1296</v>
      </c>
      <c r="D33" s="182" t="s">
        <v>906</v>
      </c>
      <c r="E33" s="181" t="s">
        <v>907</v>
      </c>
    </row>
  </sheetData>
  <mergeCells count="1">
    <mergeCell ref="A2:E2"/>
  </mergeCells>
  <printOptions horizontalCentered="1"/>
  <pageMargins left="0.5" right="0.5" top="0.9" bottom="0.5" header="0.75" footer="0.25"/>
  <pageSetup firstPageNumber="225" orientation="landscape" useFirstPageNumber="1" r:id="rId1"/>
  <headerFooter alignWithMargins="0">
    <oddHeader>&amp;R&amp;"Arial,Regular"&amp;8SREB-State Data Exchange</oddHeader>
    <oddFooter>&amp;C&amp;"Arial,Regular"&amp;10&amp;P&amp;R&amp;"Arial,Regular"&amp;8January 2012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New Table 164</vt:lpstr>
      <vt:lpstr>Old Table 164</vt:lpstr>
      <vt:lpstr>New Tables 165-167</vt:lpstr>
      <vt:lpstr>Old Tables 165-167</vt:lpstr>
      <vt:lpstr>New Tables 168-184</vt:lpstr>
      <vt:lpstr>Old Tables 168-184</vt:lpstr>
      <vt:lpstr>$ Pivot Table</vt:lpstr>
      <vt:lpstr> Benefits Data</vt:lpstr>
      <vt:lpstr>11a Benefits Descriptions A</vt:lpstr>
      <vt:lpstr>11b Benefits Descriptions B</vt:lpstr>
      <vt:lpstr>Pivot format</vt:lpstr>
      <vt:lpstr>Sheet1</vt:lpstr>
      <vt:lpstr>'$ Pivot Table'!Print_Area</vt:lpstr>
      <vt:lpstr>'11a Benefits Descriptions A'!Print_Area</vt:lpstr>
      <vt:lpstr>'11b Benefits Descriptions B'!Print_Area</vt:lpstr>
      <vt:lpstr>'New Table 164'!Print_Area</vt:lpstr>
      <vt:lpstr>'New Tables 165-167'!Print_Area</vt:lpstr>
      <vt:lpstr>'New Tables 168-184'!Print_Area</vt:lpstr>
      <vt:lpstr>'Old Table 164'!Print_Area</vt:lpstr>
      <vt:lpstr>'Old Tables 165-167'!Print_Area</vt:lpstr>
      <vt:lpstr>'Old Tables 168-184'!Print_Area</vt:lpstr>
      <vt:lpstr>' Benefits Data'!Print_Titles</vt:lpstr>
      <vt:lpstr>'$ Pivot Table'!Print_Titles</vt:lpstr>
      <vt:lpstr>'11a Benefits Descriptions A'!Print_Titles</vt:lpstr>
      <vt:lpstr>'11b Benefits Descriptions B'!Print_Titles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2012-09-21T17:46:43Z</cp:lastPrinted>
  <dcterms:created xsi:type="dcterms:W3CDTF">1999-02-24T13:58:47Z</dcterms:created>
  <dcterms:modified xsi:type="dcterms:W3CDTF">2012-09-21T17:46:56Z</dcterms:modified>
</cp:coreProperties>
</file>